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CONTRATACION 2026\ALCA PITAL 2026\MENOR CUANTIA 2026\SAMC No003 del 2026 I.E. 2026\"/>
    </mc:Choice>
  </mc:AlternateContent>
  <xr:revisionPtr revIDLastSave="0" documentId="8_{E3EB06C0-2763-46EE-BB6A-B5A74A87B913}" xr6:coauthVersionLast="47" xr6:coauthVersionMax="47" xr10:uidLastSave="{00000000-0000-0000-0000-000000000000}"/>
  <bookViews>
    <workbookView xWindow="-108" yWindow="-108" windowWidth="23256" windowHeight="13896" tabRatio="910" activeTab="1" xr2:uid="{00000000-000D-0000-FFFF-FFFF00000000}"/>
  </bookViews>
  <sheets>
    <sheet name="CRON" sheetId="46" r:id="rId1"/>
    <sheet name="PRESUPUESTO OFICIAL (Entidad)" sheetId="1" r:id="rId2"/>
    <sheet name="PROPUESTA ECONOMICA(Proponente)" sheetId="152" r:id="rId3"/>
    <sheet name="AIU-OK" sheetId="150" r:id="rId4"/>
    <sheet name="INTERVENTORIA" sheetId="151" r:id="rId5"/>
    <sheet name="M.C. " sheetId="44" r:id="rId6"/>
    <sheet name="M.O" sheetId="4" r:id="rId7"/>
    <sheet name="EQ" sheetId="98" r:id="rId8"/>
    <sheet name="MAT" sheetId="45" r:id="rId9"/>
    <sheet name="C. 1700 PSI" sheetId="105" r:id="rId10"/>
    <sheet name="C. 2000 PSI" sheetId="101" r:id="rId11"/>
    <sheet name="C. 2500 PSI" sheetId="99" r:id="rId12"/>
    <sheet name="C. 3000 PSI" sheetId="9" r:id="rId13"/>
    <sheet name="C. CICL" sheetId="100" r:id="rId14"/>
    <sheet name="M 1-3" sheetId="110" r:id="rId15"/>
    <sheet name="M 1-4" sheetId="26" r:id="rId16"/>
    <sheet name="A1,1-B1,1-C1,1-E1,1-F1,1" sheetId="5" r:id="rId17"/>
    <sheet name="A1,2" sheetId="134" r:id="rId18"/>
    <sheet name="A2,1-B2,1-C2,1-E2,2-F3,1" sheetId="7" r:id="rId19"/>
    <sheet name="A2,2-C2,2-E2,1-F3,2" sheetId="53" r:id="rId20"/>
    <sheet name="A3,1-C3,1-E3,1" sheetId="52" r:id="rId21"/>
    <sheet name="A3,2" sheetId="51" r:id="rId22"/>
    <sheet name="A3,3" sheetId="50" r:id="rId23"/>
    <sheet name="A3,4 " sheetId="56" r:id="rId24"/>
    <sheet name="A3,5-C3,5" sheetId="55" r:id="rId25"/>
    <sheet name="A3,6" sheetId="59" r:id="rId26"/>
    <sheet name="A4,1 -B4,1-C5,1-F6,1" sheetId="58" r:id="rId27"/>
    <sheet name="A4,2-F6,2" sheetId="57" r:id="rId28"/>
    <sheet name="A4,3-C5,2" sheetId="54" r:id="rId29"/>
    <sheet name="A5,1-C4,1" sheetId="49" r:id="rId30"/>
    <sheet name="A5,2" sheetId="61" r:id="rId31"/>
    <sheet name="A5,3" sheetId="62" r:id="rId32"/>
    <sheet name="A5,4" sheetId="63" r:id="rId33"/>
    <sheet name="A5,5-B5,4" sheetId="60" r:id="rId34"/>
    <sheet name="A6,1-C6,7" sheetId="64" r:id="rId35"/>
    <sheet name="A6,2-C6,2" sheetId="66" r:id="rId36"/>
    <sheet name="A6,3" sheetId="67" r:id="rId37"/>
    <sheet name="A6,4-B6,2-C6,3" sheetId="69" r:id="rId38"/>
    <sheet name="A6,5-C6,1" sheetId="70" r:id="rId39"/>
    <sheet name="A6,6-C6,6" sheetId="72" r:id="rId40"/>
    <sheet name="A6,7-C6,5" sheetId="71" r:id="rId41"/>
    <sheet name="A6,8-B6,4-C6,4" sheetId="68" r:id="rId42"/>
    <sheet name="A6,9-B6,5-C6,8" sheetId="107" r:id="rId43"/>
    <sheet name="A7,1-B7,1-F7,1" sheetId="65" r:id="rId44"/>
    <sheet name="A7,2-B7,2-B7,2" sheetId="74" r:id="rId45"/>
    <sheet name="A7,3-B7,3" sheetId="78" r:id="rId46"/>
    <sheet name="A7,4-B7,4" sheetId="80" r:id="rId47"/>
    <sheet name="A7,5-B7,5-F7,3" sheetId="79" r:id="rId48"/>
    <sheet name="A7,6-B7,6-F7,4" sheetId="77" r:id="rId49"/>
    <sheet name="A7,7-B7,7-F7,5" sheetId="75" r:id="rId50"/>
    <sheet name="A7,8-B7,8-F7,6" sheetId="76" r:id="rId51"/>
    <sheet name="A7,9-F7,7" sheetId="81" r:id="rId52"/>
    <sheet name="A7,10-B7,9" sheetId="82" r:id="rId53"/>
    <sheet name="A8,1-B9,1-C7,1-F8,1" sheetId="73" r:id="rId54"/>
    <sheet name="A9,1-C8,1-D2,1" sheetId="111" r:id="rId55"/>
    <sheet name="A9,2-C8,4" sheetId="85" r:id="rId56"/>
    <sheet name="A9,3" sheetId="86" r:id="rId57"/>
    <sheet name="A9,4" sheetId="135" r:id="rId58"/>
    <sheet name="A10,1-C9,2-F9,2" sheetId="84" r:id="rId59"/>
    <sheet name="A10,2-B10,2-C9,1" sheetId="88" r:id="rId60"/>
    <sheet name="A10,3-B10,3-C9,3-F9,3" sheetId="89" r:id="rId61"/>
    <sheet name="A10,4-B10,4-C9,4-F9,4" sheetId="90" r:id="rId62"/>
    <sheet name="A11,1-F10,1" sheetId="87" r:id="rId63"/>
    <sheet name="A11,2-F10,2" sheetId="92" r:id="rId64"/>
    <sheet name="A11,3" sheetId="93" r:id="rId65"/>
    <sheet name="A11,4" sheetId="136" r:id="rId66"/>
    <sheet name="A12,1-C11,1-F11,3" sheetId="91" r:id="rId67"/>
    <sheet name="A12,2-B12,1-C11,2-F11,4" sheetId="95" r:id="rId68"/>
    <sheet name="A13,1-C12,1" sheetId="94" r:id="rId69"/>
    <sheet name="A13,2" sheetId="97" r:id="rId70"/>
    <sheet name="A13,3-C12,2-F12,1" sheetId="96" r:id="rId71"/>
    <sheet name="A14,1-B14,1-C13,1-E4,1-F13,1" sheetId="102" r:id="rId72"/>
    <sheet name="B1,2-C1,2" sheetId="6" r:id="rId73"/>
    <sheet name="B3,1-F4,1" sheetId="8" r:id="rId74"/>
    <sheet name="B5,1-F5,1" sheetId="12" r:id="rId75"/>
    <sheet name="B5,2-F5,2" sheetId="11" r:id="rId76"/>
    <sheet name="B5,3" sheetId="14" r:id="rId77"/>
    <sheet name="B6,1" sheetId="41" r:id="rId78"/>
    <sheet name="B6,3" sheetId="42" r:id="rId79"/>
    <sheet name="B7,11" sheetId="32" r:id="rId80"/>
    <sheet name="B8,1" sheetId="21" r:id="rId81"/>
    <sheet name="B8,2" sheetId="22" r:id="rId82"/>
    <sheet name="B10,1" sheetId="18" r:id="rId83"/>
    <sheet name="B10,5" sheetId="20" r:id="rId84"/>
    <sheet name="B11,1," sheetId="24" r:id="rId85"/>
    <sheet name="B11,2," sheetId="23" r:id="rId86"/>
    <sheet name="B13,1" sheetId="48" r:id="rId87"/>
    <sheet name="C3,2" sheetId="112" r:id="rId88"/>
    <sheet name="C3,3" sheetId="113" r:id="rId89"/>
    <sheet name="C3,4" sheetId="114" r:id="rId90"/>
    <sheet name="C4,2" sheetId="115" r:id="rId91"/>
    <sheet name="C4,3" sheetId="116" r:id="rId92"/>
    <sheet name="C4,4" sheetId="117" r:id="rId93"/>
    <sheet name="C4,5" sheetId="118" r:id="rId94"/>
    <sheet name="C8,2-D2,2" sheetId="125" r:id="rId95"/>
    <sheet name="C8,3" sheetId="120" r:id="rId96"/>
    <sheet name="C10,1" sheetId="121" r:id="rId97"/>
    <sheet name="C10,2" sheetId="122" r:id="rId98"/>
    <sheet name="C10,3" sheetId="123" r:id="rId99"/>
    <sheet name="C12,3" sheetId="124" r:id="rId100"/>
    <sheet name="D1,1" sheetId="126" r:id="rId101"/>
    <sheet name="D3,1" sheetId="127" r:id="rId102"/>
    <sheet name="D3,2" sheetId="128" r:id="rId103"/>
    <sheet name="D3,3" sheetId="129" r:id="rId104"/>
    <sheet name="D3,4" sheetId="130" r:id="rId105"/>
    <sheet name="D3,5" sheetId="131" r:id="rId106"/>
    <sheet name="D3,6" sheetId="132" r:id="rId107"/>
    <sheet name="D4,1" sheetId="133" r:id="rId108"/>
    <sheet name="E3,2" sheetId="137" r:id="rId109"/>
    <sheet name="E3,3" sheetId="138" r:id="rId110"/>
    <sheet name="E3,4" sheetId="139" r:id="rId111"/>
    <sheet name="20X20" sheetId="140" r:id="rId112"/>
    <sheet name="LAD. VISTA" sheetId="141" r:id="rId113"/>
    <sheet name="A5,3 (2)" sheetId="143" r:id="rId114"/>
    <sheet name="F2,1" sheetId="144" r:id="rId115"/>
    <sheet name="F2,2" sheetId="145" r:id="rId116"/>
    <sheet name="F2,3" sheetId="146" r:id="rId117"/>
    <sheet name="F2,4" sheetId="147" r:id="rId118"/>
    <sheet name="F2,5" sheetId="148" r:id="rId119"/>
  </sheets>
  <externalReferences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</externalReferences>
  <definedNames>
    <definedName name="___EST12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xlnm._FilterDatabase" localSheetId="0" hidden="1">CRON!$A$6:$D$262</definedName>
    <definedName name="_xlnm._FilterDatabase" localSheetId="8" hidden="1">MAT!$B$34:$E$147</definedName>
    <definedName name="a">#REF!</definedName>
    <definedName name="ab">#REF!</definedName>
    <definedName name="_xlnm.Print_Area" localSheetId="111">'20X20'!$A$1:$F$53</definedName>
    <definedName name="_xlnm.Print_Area" localSheetId="16">'A1,1-B1,1-C1,1-E1,1-F1,1'!$A$1:$F$52</definedName>
    <definedName name="_xlnm.Print_Area" localSheetId="17">'A1,2'!$A$1:$F$52</definedName>
    <definedName name="_xlnm.Print_Area" localSheetId="58">'A10,1-C9,2-F9,2'!$A$1:$F$53</definedName>
    <definedName name="_xlnm.Print_Area" localSheetId="59">'A10,2-B10,2-C9,1'!$A$1:$F$53</definedName>
    <definedName name="_xlnm.Print_Area" localSheetId="60">'A10,3-B10,3-C9,3-F9,3'!$A$1:$F$53</definedName>
    <definedName name="_xlnm.Print_Area" localSheetId="61">'A10,4-B10,4-C9,4-F9,4'!$A$1:$F$53</definedName>
    <definedName name="_xlnm.Print_Area" localSheetId="62">'A11,1-F10,1'!$A$1:$F$53</definedName>
    <definedName name="_xlnm.Print_Area" localSheetId="63">'A11,2-F10,2'!$A$1:$F$53</definedName>
    <definedName name="_xlnm.Print_Area" localSheetId="64">'A11,3'!$A$1:$F$53</definedName>
    <definedName name="_xlnm.Print_Area" localSheetId="65">'A11,4'!$A$1:$F$53</definedName>
    <definedName name="_xlnm.Print_Area" localSheetId="66">'A12,1-C11,1-F11,3'!$A$1:$F$53</definedName>
    <definedName name="_xlnm.Print_Area" localSheetId="67">'A12,2-B12,1-C11,2-F11,4'!$A$1:$F$53</definedName>
    <definedName name="_xlnm.Print_Area" localSheetId="68">'A13,1-C12,1'!$A$1:$F$53</definedName>
    <definedName name="_xlnm.Print_Area" localSheetId="69">'A13,2'!$A$1:$F$53</definedName>
    <definedName name="_xlnm.Print_Area" localSheetId="70">'A13,3-C12,2-F12,1'!$A$1:$F$53</definedName>
    <definedName name="_xlnm.Print_Area" localSheetId="71">'A14,1-B14,1-C13,1-E4,1-F13,1'!$A$1:$F$53</definedName>
    <definedName name="_xlnm.Print_Area" localSheetId="18">'A2,1-B2,1-C2,1-E2,2-F3,1'!$A$1:$F$53</definedName>
    <definedName name="_xlnm.Print_Area" localSheetId="19">'A2,2-C2,2-E2,1-F3,2'!$A$1:$F$53</definedName>
    <definedName name="_xlnm.Print_Area" localSheetId="20">'A3,1-C3,1-E3,1'!$A$1:$F$53</definedName>
    <definedName name="_xlnm.Print_Area" localSheetId="21">'A3,2'!$A$1:$F$53</definedName>
    <definedName name="_xlnm.Print_Area" localSheetId="22">'A3,3'!$A$1:$F$53</definedName>
    <definedName name="_xlnm.Print_Area" localSheetId="23">'A3,4 '!$A$1:$F$53</definedName>
    <definedName name="_xlnm.Print_Area" localSheetId="24">'A3,5-C3,5'!$A$1:$F$53</definedName>
    <definedName name="_xlnm.Print_Area" localSheetId="25">'A3,6'!$A$1:$F$53</definedName>
    <definedName name="_xlnm.Print_Area" localSheetId="26">'A4,1 -B4,1-C5,1-F6,1'!$A$1:$F$53</definedName>
    <definedName name="_xlnm.Print_Area" localSheetId="27">'A4,2-F6,2'!$A$1:$F$53</definedName>
    <definedName name="_xlnm.Print_Area" localSheetId="28">'A4,3-C5,2'!$A$1:$F$53</definedName>
    <definedName name="_xlnm.Print_Area" localSheetId="29">'A5,1-C4,1'!$A$1:$F$53</definedName>
    <definedName name="_xlnm.Print_Area" localSheetId="30">'A5,2'!$A$1:$F$53</definedName>
    <definedName name="_xlnm.Print_Area" localSheetId="31">'A5,3'!$A$1:$F$53</definedName>
    <definedName name="_xlnm.Print_Area" localSheetId="113">'A5,3 (2)'!$A$1:$F$53</definedName>
    <definedName name="_xlnm.Print_Area" localSheetId="32">'A5,4'!$A$1:$F$53</definedName>
    <definedName name="_xlnm.Print_Area" localSheetId="33">'A5,5-B5,4'!$A$1:$F$53</definedName>
    <definedName name="_xlnm.Print_Area" localSheetId="34">'A6,1-C6,7'!$A$1:$F$53</definedName>
    <definedName name="_xlnm.Print_Area" localSheetId="35">'A6,2-C6,2'!$A$1:$F$54</definedName>
    <definedName name="_xlnm.Print_Area" localSheetId="36">'A6,3'!$A$1:$F$53</definedName>
    <definedName name="_xlnm.Print_Area" localSheetId="37">'A6,4-B6,2-C6,3'!$A$1:$F$53</definedName>
    <definedName name="_xlnm.Print_Area" localSheetId="38">'A6,5-C6,1'!$A$1:$F$53</definedName>
    <definedName name="_xlnm.Print_Area" localSheetId="39">'A6,6-C6,6'!$A$1:$F$55</definedName>
    <definedName name="_xlnm.Print_Area" localSheetId="40">'A6,7-C6,5'!$A$1:$F$53</definedName>
    <definedName name="_xlnm.Print_Area" localSheetId="41">'A6,8-B6,4-C6,4'!$A$1:$F$53</definedName>
    <definedName name="_xlnm.Print_Area" localSheetId="42">'A6,9-B6,5-C6,8'!$A$1:$F$53</definedName>
    <definedName name="_xlnm.Print_Area" localSheetId="52">'A7,10-B7,9'!$A$1:$F$53</definedName>
    <definedName name="_xlnm.Print_Area" localSheetId="43">'A7,1-B7,1-F7,1'!$A$1:$F$53</definedName>
    <definedName name="_xlnm.Print_Area" localSheetId="44">'A7,2-B7,2-B7,2'!$A$1:$F$53</definedName>
    <definedName name="_xlnm.Print_Area" localSheetId="45">'A7,3-B7,3'!$A$1:$F$53</definedName>
    <definedName name="_xlnm.Print_Area" localSheetId="46">'A7,4-B7,4'!$A$1:$F$53</definedName>
    <definedName name="_xlnm.Print_Area" localSheetId="47">'A7,5-B7,5-F7,3'!$A$1:$F$55</definedName>
    <definedName name="_xlnm.Print_Area" localSheetId="48">'A7,6-B7,6-F7,4'!$A$1:$F$53</definedName>
    <definedName name="_xlnm.Print_Area" localSheetId="49">'A7,7-B7,7-F7,5'!$A$1:$F$56</definedName>
    <definedName name="_xlnm.Print_Area" localSheetId="50">'A7,8-B7,8-F7,6'!$A$1:$F$53</definedName>
    <definedName name="_xlnm.Print_Area" localSheetId="51">'A7,9-F7,7'!$A$1:$F$53</definedName>
    <definedName name="_xlnm.Print_Area" localSheetId="53">'A8,1-B9,1-C7,1-F8,1'!$A$1:$F$53</definedName>
    <definedName name="_xlnm.Print_Area" localSheetId="54">'A9,1-C8,1-D2,1'!$A$1:$F$54</definedName>
    <definedName name="_xlnm.Print_Area" localSheetId="55">'A9,2-C8,4'!$A$1:$F$53</definedName>
    <definedName name="_xlnm.Print_Area" localSheetId="56">'A9,3'!$A$1:$F$53</definedName>
    <definedName name="_xlnm.Print_Area" localSheetId="57">'A9,4'!$A$1:$F$54</definedName>
    <definedName name="_xlnm.Print_Area" localSheetId="3">'AIU-OK'!$B$2:$H$43</definedName>
    <definedName name="_xlnm.Print_Area" localSheetId="72">'B1,2-C1,2'!$A$1:$F$52</definedName>
    <definedName name="_xlnm.Print_Area" localSheetId="82">'B10,1'!$A$1:$F$53</definedName>
    <definedName name="_xlnm.Print_Area" localSheetId="83">'B10,5'!$A$1:$F$53</definedName>
    <definedName name="_xlnm.Print_Area" localSheetId="84">'B11,1,'!$A$1:$F$53</definedName>
    <definedName name="_xlnm.Print_Area" localSheetId="85">'B11,2,'!$A$1:$F$53</definedName>
    <definedName name="_xlnm.Print_Area" localSheetId="86">'B13,1'!$A$1:$F$53</definedName>
    <definedName name="_xlnm.Print_Area" localSheetId="73">'B3,1-F4,1'!$A$1:$F$53</definedName>
    <definedName name="_xlnm.Print_Area" localSheetId="74">'B5,1-F5,1'!$A$1:$F$53</definedName>
    <definedName name="_xlnm.Print_Area" localSheetId="75">'B5,2-F5,2'!$A$1:$F$53</definedName>
    <definedName name="_xlnm.Print_Area" localSheetId="76">'B5,3'!$A$1:$F$53</definedName>
    <definedName name="_xlnm.Print_Area" localSheetId="77">'B6,1'!$A$1:$F$54</definedName>
    <definedName name="_xlnm.Print_Area" localSheetId="78">'B6,3'!$A$1:$F$53</definedName>
    <definedName name="_xlnm.Print_Area" localSheetId="79">'B7,11'!$A$1:$F$53</definedName>
    <definedName name="_xlnm.Print_Area" localSheetId="80">'B8,1'!$A$1:$F$52</definedName>
    <definedName name="_xlnm.Print_Area" localSheetId="81">'B8,2'!$A$1:$F$53</definedName>
    <definedName name="_xlnm.Print_Area" localSheetId="9">'C. 1700 PSI'!$A$1:$F$51</definedName>
    <definedName name="_xlnm.Print_Area" localSheetId="10">'C. 2000 PSI'!$A$1:$F$50</definedName>
    <definedName name="_xlnm.Print_Area" localSheetId="11">'C. 2500 PSI'!$A$1:$F$50</definedName>
    <definedName name="_xlnm.Print_Area" localSheetId="12">'C. 3000 PSI'!$A$1:$F$50</definedName>
    <definedName name="_xlnm.Print_Area" localSheetId="13">'C. CICL'!$A$1:$F$50</definedName>
    <definedName name="_xlnm.Print_Area" localSheetId="96">'C10,1'!$A$1:$F$53</definedName>
    <definedName name="_xlnm.Print_Area" localSheetId="97">'C10,2'!$A$1:$F$53</definedName>
    <definedName name="_xlnm.Print_Area" localSheetId="98">'C10,3'!$A$1:$F$53</definedName>
    <definedName name="_xlnm.Print_Area" localSheetId="99">'C12,3'!$A$1:$F$53</definedName>
    <definedName name="_xlnm.Print_Area" localSheetId="87">'C3,2'!$A$1:$F$53</definedName>
    <definedName name="_xlnm.Print_Area" localSheetId="88">'C3,3'!$A$1:$F$53</definedName>
    <definedName name="_xlnm.Print_Area" localSheetId="89">'C3,4'!$A$1:$F$53</definedName>
    <definedName name="_xlnm.Print_Area" localSheetId="90">'C4,2'!$A$1:$F$53</definedName>
    <definedName name="_xlnm.Print_Area" localSheetId="91">'C4,3'!$A$1:$F$53</definedName>
    <definedName name="_xlnm.Print_Area" localSheetId="92">'C4,4'!$A$1:$F$53</definedName>
    <definedName name="_xlnm.Print_Area" localSheetId="93">'C4,5'!$A$1:$F$53</definedName>
    <definedName name="_xlnm.Print_Area" localSheetId="94">'C8,2-D2,2'!$A$1:$F$54</definedName>
    <definedName name="_xlnm.Print_Area" localSheetId="95">'C8,3'!$A$1:$F$53</definedName>
    <definedName name="_xlnm.Print_Area" localSheetId="0">CRON!$A$1:$BM$270</definedName>
    <definedName name="_xlnm.Print_Area" localSheetId="100">'D1,1'!$A$1:$F$54</definedName>
    <definedName name="_xlnm.Print_Area" localSheetId="101">'D3,1'!$A$1:$F$54</definedName>
    <definedName name="_xlnm.Print_Area" localSheetId="102">'D3,2'!$A$1:$F$54</definedName>
    <definedName name="_xlnm.Print_Area" localSheetId="103">'D3,3'!$A$1:$F$53</definedName>
    <definedName name="_xlnm.Print_Area" localSheetId="104">'D3,4'!$A$1:$F$53</definedName>
    <definedName name="_xlnm.Print_Area" localSheetId="105">'D3,5'!$A$1:$F$53</definedName>
    <definedName name="_xlnm.Print_Area" localSheetId="106">'D3,6'!$A$1:$F$53</definedName>
    <definedName name="_xlnm.Print_Area" localSheetId="107">'D4,1'!$A$1:$F$53</definedName>
    <definedName name="_xlnm.Print_Area" localSheetId="108">'E3,2'!$A$1:$F$55</definedName>
    <definedName name="_xlnm.Print_Area" localSheetId="109">'E3,3'!$A$1:$F$55</definedName>
    <definedName name="_xlnm.Print_Area" localSheetId="110">'E3,4'!$A$1:$F$55</definedName>
    <definedName name="_xlnm.Print_Area" localSheetId="7">EQ!$B$1:$F$30</definedName>
    <definedName name="_xlnm.Print_Area" localSheetId="114">'F2,1'!$A$1:$F$52</definedName>
    <definedName name="_xlnm.Print_Area" localSheetId="115">'F2,2'!$A$1:$F$52</definedName>
    <definedName name="_xlnm.Print_Area" localSheetId="116">'F2,3'!$A$1:$F$52</definedName>
    <definedName name="_xlnm.Print_Area" localSheetId="117">'F2,4'!$A$1:$F$52</definedName>
    <definedName name="_xlnm.Print_Area" localSheetId="118">'F2,5'!$A$1:$F$52</definedName>
    <definedName name="_xlnm.Print_Area" localSheetId="4">INTERVENTORIA!$A$1:$H$29</definedName>
    <definedName name="_xlnm.Print_Area" localSheetId="112">'LAD. VISTA'!$A$1:$F$53</definedName>
    <definedName name="_xlnm.Print_Area" localSheetId="14">'M 1-3'!$A$1:$F$52</definedName>
    <definedName name="_xlnm.Print_Area" localSheetId="15">'M 1-4'!$A$1:$F$51</definedName>
    <definedName name="_xlnm.Print_Area" localSheetId="5">'M.C. '!$B$6:$M$715</definedName>
    <definedName name="_xlnm.Print_Area" localSheetId="6">M.O!$B$1:$F$112</definedName>
    <definedName name="_xlnm.Print_Area" localSheetId="8">MAT!$B$1:$E$157</definedName>
    <definedName name="_xlnm.Print_Area" localSheetId="1">'PRESUPUESTO OFICIAL (Entidad)'!$B$3:$G$289</definedName>
    <definedName name="_xlnm.Print_Area" localSheetId="2">'PROPUESTA ECONOMICA(Proponente)'!$B$3:$G$289</definedName>
    <definedName name="_xlnm.Print_Area">#REF!</definedName>
    <definedName name="b">#REF!</definedName>
    <definedName name="D">#REF!</definedName>
    <definedName name="e">#REF!</definedName>
    <definedName name="EQUI">[2]EQUIPO!$B$2:$B$36</definedName>
    <definedName name="EQUIPO_1">[2]EQUIPO!$B$2:$D$36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'[3]COSTOS OFICINA'!#REF!</definedName>
    <definedName name="Excel_BuiltIn_Print_Titles_4">'[3]COSTOS CAMPAMENTO'!#REF!</definedName>
    <definedName name="Festivos">'[4]días habiles 2015'!$D$2:$D$21</definedName>
    <definedName name="Fin_de_semana">'[4]días habiles 2015'!$M$1:$M$2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mac">#REF!</definedName>
    <definedName name="MATER">[2]MATERIAL!$B$3:$B$580</definedName>
    <definedName name="MATERIALES">[2]MATERIAL!$B$2:$D$580</definedName>
    <definedName name="prueba">#REF!</definedName>
    <definedName name="Q">#REF!</definedName>
    <definedName name="rfref">#REF!</definedName>
    <definedName name="S">#REF!</definedName>
    <definedName name="sdf">#REF!</definedName>
    <definedName name="_xlnm.Print_Titles" localSheetId="0">CRON!$1:$6</definedName>
    <definedName name="Unidades">[5]Presup_Cancha!$J$14:$J$18</definedName>
    <definedName name="v">#REF!</definedName>
    <definedName name="WSERWEER">'[3]COSTOS OFICINA'!#REF!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6" i="46" l="1"/>
  <c r="A259" i="46"/>
  <c r="B259" i="46"/>
  <c r="A260" i="46"/>
  <c r="B260" i="46"/>
  <c r="C260" i="46"/>
  <c r="A261" i="46"/>
  <c r="B261" i="46"/>
  <c r="A262" i="46"/>
  <c r="B262" i="46"/>
  <c r="C262" i="46"/>
  <c r="A250" i="46"/>
  <c r="B250" i="46"/>
  <c r="C250" i="46"/>
  <c r="A251" i="46"/>
  <c r="B251" i="46"/>
  <c r="A252" i="46"/>
  <c r="B252" i="46"/>
  <c r="C252" i="46"/>
  <c r="A253" i="46"/>
  <c r="B253" i="46"/>
  <c r="C253" i="46"/>
  <c r="A254" i="46"/>
  <c r="B254" i="46"/>
  <c r="A255" i="46"/>
  <c r="B255" i="46"/>
  <c r="C255" i="46"/>
  <c r="A256" i="46"/>
  <c r="B256" i="46"/>
  <c r="C256" i="46"/>
  <c r="A257" i="46"/>
  <c r="B257" i="46"/>
  <c r="C257" i="46"/>
  <c r="A258" i="46"/>
  <c r="B258" i="46"/>
  <c r="C258" i="46"/>
  <c r="A241" i="46"/>
  <c r="B241" i="46"/>
  <c r="C241" i="46"/>
  <c r="A242" i="46"/>
  <c r="B242" i="46"/>
  <c r="C242" i="46"/>
  <c r="A243" i="46"/>
  <c r="B243" i="46"/>
  <c r="C243" i="46"/>
  <c r="A244" i="46"/>
  <c r="B244" i="46"/>
  <c r="A245" i="46"/>
  <c r="B245" i="46"/>
  <c r="C245" i="46"/>
  <c r="A246" i="46"/>
  <c r="B246" i="46"/>
  <c r="A247" i="46"/>
  <c r="B247" i="46"/>
  <c r="C247" i="46"/>
  <c r="A248" i="46"/>
  <c r="B248" i="46"/>
  <c r="C248" i="46"/>
  <c r="A249" i="46"/>
  <c r="B249" i="46"/>
  <c r="C249" i="46"/>
  <c r="A221" i="46"/>
  <c r="B221" i="46"/>
  <c r="C221" i="46"/>
  <c r="A222" i="46"/>
  <c r="B222" i="46"/>
  <c r="C222" i="46"/>
  <c r="A223" i="46"/>
  <c r="B223" i="46"/>
  <c r="C223" i="46"/>
  <c r="A224" i="46"/>
  <c r="B224" i="46"/>
  <c r="C224" i="46"/>
  <c r="A225" i="46"/>
  <c r="B225" i="46"/>
  <c r="A226" i="46"/>
  <c r="B226" i="46"/>
  <c r="C226" i="46"/>
  <c r="A227" i="46"/>
  <c r="B227" i="46"/>
  <c r="C227" i="46"/>
  <c r="A228" i="46"/>
  <c r="B228" i="46"/>
  <c r="A229" i="46"/>
  <c r="B229" i="46"/>
  <c r="C229" i="46"/>
  <c r="A230" i="46"/>
  <c r="B230" i="46"/>
  <c r="A231" i="46"/>
  <c r="B231" i="46"/>
  <c r="C231" i="46"/>
  <c r="A232" i="46"/>
  <c r="B232" i="46"/>
  <c r="C232" i="46"/>
  <c r="A233" i="46"/>
  <c r="B233" i="46"/>
  <c r="A234" i="46"/>
  <c r="B234" i="46"/>
  <c r="C234" i="46"/>
  <c r="A235" i="46"/>
  <c r="B235" i="46"/>
  <c r="C235" i="46"/>
  <c r="A236" i="46"/>
  <c r="B236" i="46"/>
  <c r="A237" i="46"/>
  <c r="B237" i="46"/>
  <c r="C237" i="46"/>
  <c r="A238" i="46"/>
  <c r="B238" i="46"/>
  <c r="C238" i="46"/>
  <c r="A239" i="46"/>
  <c r="B239" i="46"/>
  <c r="C239" i="46"/>
  <c r="A240" i="46"/>
  <c r="B240" i="46"/>
  <c r="C240" i="46"/>
  <c r="A206" i="46"/>
  <c r="B206" i="46"/>
  <c r="A207" i="46"/>
  <c r="B207" i="46"/>
  <c r="C207" i="46"/>
  <c r="A208" i="46"/>
  <c r="B208" i="46"/>
  <c r="C208" i="46"/>
  <c r="A209" i="46"/>
  <c r="B209" i="46"/>
  <c r="A210" i="46"/>
  <c r="B210" i="46"/>
  <c r="C210" i="46"/>
  <c r="A211" i="46"/>
  <c r="B211" i="46"/>
  <c r="C211" i="46"/>
  <c r="A212" i="46"/>
  <c r="B212" i="46"/>
  <c r="C212" i="46"/>
  <c r="A213" i="46"/>
  <c r="B213" i="46"/>
  <c r="C213" i="46"/>
  <c r="A214" i="46"/>
  <c r="B214" i="46"/>
  <c r="A215" i="46"/>
  <c r="B215" i="46"/>
  <c r="C215" i="46"/>
  <c r="A216" i="46"/>
  <c r="A217" i="46"/>
  <c r="B217" i="46"/>
  <c r="A218" i="46"/>
  <c r="B218" i="46"/>
  <c r="C218" i="46"/>
  <c r="A219" i="46"/>
  <c r="B219" i="46"/>
  <c r="A220" i="46"/>
  <c r="B220" i="46"/>
  <c r="C220" i="46"/>
  <c r="C205" i="46"/>
  <c r="A205" i="46"/>
  <c r="B205" i="46"/>
  <c r="B204" i="46"/>
  <c r="A204" i="46"/>
  <c r="A191" i="46"/>
  <c r="B191" i="46"/>
  <c r="A192" i="46"/>
  <c r="B192" i="46"/>
  <c r="C192" i="46"/>
  <c r="A193" i="46"/>
  <c r="B193" i="46"/>
  <c r="C193" i="46"/>
  <c r="A194" i="46"/>
  <c r="B194" i="46"/>
  <c r="A195" i="46"/>
  <c r="B195" i="46"/>
  <c r="C195" i="46"/>
  <c r="A196" i="46"/>
  <c r="B196" i="46"/>
  <c r="C196" i="46"/>
  <c r="A197" i="46"/>
  <c r="B197" i="46"/>
  <c r="C197" i="46"/>
  <c r="A198" i="46"/>
  <c r="B198" i="46"/>
  <c r="C198" i="46"/>
  <c r="A199" i="46"/>
  <c r="B199" i="46"/>
  <c r="C199" i="46"/>
  <c r="A200" i="46"/>
  <c r="B200" i="46"/>
  <c r="C200" i="46"/>
  <c r="A201" i="46"/>
  <c r="B201" i="46"/>
  <c r="A202" i="46"/>
  <c r="B202" i="46"/>
  <c r="C202" i="46"/>
  <c r="A203" i="46"/>
  <c r="B203" i="46"/>
  <c r="A184" i="46"/>
  <c r="B184" i="46"/>
  <c r="C184" i="46"/>
  <c r="A185" i="46"/>
  <c r="B185" i="46"/>
  <c r="C185" i="46"/>
  <c r="A186" i="46"/>
  <c r="B186" i="46"/>
  <c r="A187" i="46"/>
  <c r="B187" i="46"/>
  <c r="C187" i="46"/>
  <c r="A146" i="46"/>
  <c r="B146" i="46"/>
  <c r="C146" i="46"/>
  <c r="A147" i="46"/>
  <c r="B147" i="46"/>
  <c r="C147" i="46"/>
  <c r="A148" i="46"/>
  <c r="B148" i="46"/>
  <c r="C148" i="46"/>
  <c r="A149" i="46"/>
  <c r="B149" i="46"/>
  <c r="C149" i="46"/>
  <c r="D149" i="46"/>
  <c r="A150" i="46"/>
  <c r="B150" i="46"/>
  <c r="C150" i="46"/>
  <c r="A151" i="46"/>
  <c r="B151" i="46"/>
  <c r="C151" i="46"/>
  <c r="A152" i="46"/>
  <c r="B152" i="46"/>
  <c r="A153" i="46"/>
  <c r="B153" i="46"/>
  <c r="C153" i="46"/>
  <c r="A154" i="46"/>
  <c r="B154" i="46"/>
  <c r="C154" i="46"/>
  <c r="A155" i="46"/>
  <c r="B155" i="46"/>
  <c r="C155" i="46"/>
  <c r="A156" i="46"/>
  <c r="B156" i="46"/>
  <c r="C156" i="46"/>
  <c r="A157" i="46"/>
  <c r="B157" i="46"/>
  <c r="C157" i="46"/>
  <c r="A158" i="46"/>
  <c r="B158" i="46"/>
  <c r="C158" i="46"/>
  <c r="A159" i="46"/>
  <c r="B159" i="46"/>
  <c r="C159" i="46"/>
  <c r="A160" i="46"/>
  <c r="B160" i="46"/>
  <c r="C160" i="46"/>
  <c r="A161" i="46"/>
  <c r="B161" i="46"/>
  <c r="A162" i="46"/>
  <c r="B162" i="46"/>
  <c r="C162" i="46"/>
  <c r="A163" i="46"/>
  <c r="B163" i="46"/>
  <c r="A164" i="46"/>
  <c r="B164" i="46"/>
  <c r="C164" i="46"/>
  <c r="A165" i="46"/>
  <c r="B165" i="46"/>
  <c r="C165" i="46"/>
  <c r="A166" i="46"/>
  <c r="B166" i="46"/>
  <c r="C166" i="46"/>
  <c r="A167" i="46"/>
  <c r="B167" i="46"/>
  <c r="C167" i="46"/>
  <c r="A168" i="46"/>
  <c r="B168" i="46"/>
  <c r="C168" i="46"/>
  <c r="A169" i="46"/>
  <c r="B169" i="46"/>
  <c r="A170" i="46"/>
  <c r="B170" i="46"/>
  <c r="C170" i="46"/>
  <c r="A171" i="46"/>
  <c r="B171" i="46"/>
  <c r="C171" i="46"/>
  <c r="A172" i="46"/>
  <c r="B172" i="46"/>
  <c r="C172" i="46"/>
  <c r="A173" i="46"/>
  <c r="B173" i="46"/>
  <c r="C173" i="46"/>
  <c r="A174" i="46"/>
  <c r="B174" i="46"/>
  <c r="A175" i="46"/>
  <c r="B175" i="46"/>
  <c r="C175" i="46"/>
  <c r="A176" i="46"/>
  <c r="B176" i="46"/>
  <c r="C176" i="46"/>
  <c r="A177" i="46"/>
  <c r="B177" i="46"/>
  <c r="C177" i="46"/>
  <c r="A178" i="46"/>
  <c r="B178" i="46"/>
  <c r="C178" i="46"/>
  <c r="A179" i="46"/>
  <c r="B179" i="46"/>
  <c r="A180" i="46"/>
  <c r="B180" i="46"/>
  <c r="C180" i="46"/>
  <c r="A181" i="46"/>
  <c r="B181" i="46"/>
  <c r="C181" i="46"/>
  <c r="A182" i="46"/>
  <c r="B182" i="46"/>
  <c r="A183" i="46"/>
  <c r="B183" i="46"/>
  <c r="C183" i="46"/>
  <c r="A133" i="46"/>
  <c r="B133" i="46"/>
  <c r="C133" i="46"/>
  <c r="A134" i="46"/>
  <c r="B134" i="46"/>
  <c r="A135" i="46"/>
  <c r="B135" i="46"/>
  <c r="C135" i="46"/>
  <c r="A136" i="46"/>
  <c r="B136" i="46"/>
  <c r="C136" i="46"/>
  <c r="A137" i="46"/>
  <c r="B137" i="46"/>
  <c r="A138" i="46"/>
  <c r="B138" i="46"/>
  <c r="C138" i="46"/>
  <c r="A139" i="46"/>
  <c r="B139" i="46"/>
  <c r="C139" i="46"/>
  <c r="A140" i="46"/>
  <c r="B140" i="46"/>
  <c r="C140" i="46"/>
  <c r="A141" i="46"/>
  <c r="B141" i="46"/>
  <c r="C141" i="46"/>
  <c r="A142" i="46"/>
  <c r="B142" i="46"/>
  <c r="C142" i="46"/>
  <c r="A143" i="46"/>
  <c r="B143" i="46"/>
  <c r="A144" i="46"/>
  <c r="B144" i="46"/>
  <c r="C144" i="46"/>
  <c r="A145" i="46"/>
  <c r="B145" i="46"/>
  <c r="C145" i="46"/>
  <c r="B132" i="46"/>
  <c r="C132" i="46"/>
  <c r="A112" i="46"/>
  <c r="B112" i="46"/>
  <c r="C112" i="46"/>
  <c r="A113" i="46"/>
  <c r="B113" i="46"/>
  <c r="A114" i="46"/>
  <c r="B114" i="46"/>
  <c r="C114" i="46"/>
  <c r="A115" i="46"/>
  <c r="B115" i="46"/>
  <c r="A116" i="46"/>
  <c r="B116" i="46"/>
  <c r="C116" i="46"/>
  <c r="A117" i="46"/>
  <c r="B117" i="46"/>
  <c r="C117" i="46"/>
  <c r="A118" i="46"/>
  <c r="B118" i="46"/>
  <c r="C118" i="46"/>
  <c r="A119" i="46"/>
  <c r="B119" i="46"/>
  <c r="C119" i="46"/>
  <c r="A120" i="46"/>
  <c r="B120" i="46"/>
  <c r="C120" i="46"/>
  <c r="A121" i="46"/>
  <c r="B121" i="46"/>
  <c r="A122" i="46"/>
  <c r="B122" i="46"/>
  <c r="C122" i="46"/>
  <c r="A123" i="46"/>
  <c r="B123" i="46"/>
  <c r="C123" i="46"/>
  <c r="A124" i="46"/>
  <c r="B124" i="46"/>
  <c r="A125" i="46"/>
  <c r="B125" i="46"/>
  <c r="C125" i="46"/>
  <c r="A126" i="46"/>
  <c r="B126" i="46"/>
  <c r="A127" i="46"/>
  <c r="B127" i="46"/>
  <c r="C127" i="46"/>
  <c r="A128" i="46"/>
  <c r="B128" i="46"/>
  <c r="A129" i="46"/>
  <c r="B129" i="46"/>
  <c r="C129" i="46"/>
  <c r="A94" i="46"/>
  <c r="B94" i="46"/>
  <c r="C94" i="46"/>
  <c r="A95" i="46"/>
  <c r="B95" i="46"/>
  <c r="C95" i="46"/>
  <c r="A96" i="46"/>
  <c r="B96" i="46"/>
  <c r="C96" i="46"/>
  <c r="A97" i="46"/>
  <c r="B97" i="46"/>
  <c r="C97" i="46"/>
  <c r="A98" i="46"/>
  <c r="B98" i="46"/>
  <c r="C98" i="46"/>
  <c r="A99" i="46"/>
  <c r="B99" i="46"/>
  <c r="A100" i="46"/>
  <c r="B100" i="46"/>
  <c r="C100" i="46"/>
  <c r="A101" i="46"/>
  <c r="B101" i="46"/>
  <c r="C101" i="46"/>
  <c r="A102" i="46"/>
  <c r="B102" i="46"/>
  <c r="C102" i="46"/>
  <c r="A103" i="46"/>
  <c r="B103" i="46"/>
  <c r="C103" i="46"/>
  <c r="A104" i="46"/>
  <c r="B104" i="46"/>
  <c r="C104" i="46"/>
  <c r="A105" i="46"/>
  <c r="B105" i="46"/>
  <c r="C105" i="46"/>
  <c r="A106" i="46"/>
  <c r="B106" i="46"/>
  <c r="C106" i="46"/>
  <c r="A107" i="46"/>
  <c r="B107" i="46"/>
  <c r="C107" i="46"/>
  <c r="A108" i="46"/>
  <c r="B108" i="46"/>
  <c r="C108" i="46"/>
  <c r="A109" i="46"/>
  <c r="B109" i="46"/>
  <c r="C109" i="46"/>
  <c r="A110" i="46"/>
  <c r="B110" i="46"/>
  <c r="A111" i="46"/>
  <c r="B111" i="46"/>
  <c r="C111" i="46"/>
  <c r="A81" i="46"/>
  <c r="B81" i="46"/>
  <c r="C81" i="46"/>
  <c r="A82" i="46"/>
  <c r="B82" i="46"/>
  <c r="A83" i="46"/>
  <c r="B83" i="46"/>
  <c r="C83" i="46"/>
  <c r="A84" i="46"/>
  <c r="B84" i="46"/>
  <c r="A85" i="46"/>
  <c r="B85" i="46"/>
  <c r="C85" i="46"/>
  <c r="A86" i="46"/>
  <c r="B86" i="46"/>
  <c r="A87" i="46"/>
  <c r="B87" i="46"/>
  <c r="C87" i="46"/>
  <c r="A88" i="46"/>
  <c r="B88" i="46"/>
  <c r="A89" i="46"/>
  <c r="B89" i="46"/>
  <c r="C89" i="46"/>
  <c r="A90" i="46"/>
  <c r="B90" i="46"/>
  <c r="C90" i="46"/>
  <c r="A91" i="46"/>
  <c r="B91" i="46"/>
  <c r="C91" i="46"/>
  <c r="A92" i="46"/>
  <c r="B92" i="46"/>
  <c r="C92" i="46"/>
  <c r="A93" i="46"/>
  <c r="B93" i="46"/>
  <c r="C80" i="46"/>
  <c r="A80" i="46"/>
  <c r="B80" i="46"/>
  <c r="B79" i="46"/>
  <c r="A79" i="46"/>
  <c r="C9" i="46"/>
  <c r="C10" i="46"/>
  <c r="C12" i="46"/>
  <c r="C13" i="46"/>
  <c r="C15" i="46"/>
  <c r="C16" i="46"/>
  <c r="C17" i="46"/>
  <c r="C18" i="46"/>
  <c r="C19" i="46"/>
  <c r="C20" i="46"/>
  <c r="C22" i="46"/>
  <c r="C23" i="46"/>
  <c r="C24" i="46"/>
  <c r="C26" i="46"/>
  <c r="C27" i="46"/>
  <c r="C28" i="46"/>
  <c r="C29" i="46"/>
  <c r="C30" i="46"/>
  <c r="C32" i="46"/>
  <c r="C33" i="46"/>
  <c r="C34" i="46"/>
  <c r="C35" i="46"/>
  <c r="C36" i="46"/>
  <c r="C37" i="46"/>
  <c r="C38" i="46"/>
  <c r="C39" i="46"/>
  <c r="C40" i="46"/>
  <c r="C42" i="46"/>
  <c r="C43" i="46"/>
  <c r="C44" i="46"/>
  <c r="C45" i="46"/>
  <c r="C46" i="46"/>
  <c r="C47" i="46"/>
  <c r="C48" i="46"/>
  <c r="C49" i="46"/>
  <c r="C50" i="46"/>
  <c r="C51" i="46"/>
  <c r="C53" i="46"/>
  <c r="C55" i="46"/>
  <c r="C56" i="46"/>
  <c r="C57" i="46"/>
  <c r="C58" i="46"/>
  <c r="C60" i="46"/>
  <c r="C61" i="46"/>
  <c r="C62" i="46"/>
  <c r="C63" i="46"/>
  <c r="C65" i="46"/>
  <c r="C66" i="46"/>
  <c r="C67" i="46"/>
  <c r="C68" i="46"/>
  <c r="C70" i="46"/>
  <c r="C71" i="46"/>
  <c r="C73" i="46"/>
  <c r="C74" i="46"/>
  <c r="C75" i="46"/>
  <c r="C77" i="46"/>
  <c r="A10" i="46"/>
  <c r="B10" i="46"/>
  <c r="A11" i="46"/>
  <c r="B11" i="46"/>
  <c r="A12" i="46"/>
  <c r="B12" i="46"/>
  <c r="A13" i="46"/>
  <c r="B13" i="46"/>
  <c r="A14" i="46"/>
  <c r="B14" i="46"/>
  <c r="A15" i="46"/>
  <c r="B15" i="46"/>
  <c r="A16" i="46"/>
  <c r="B16" i="46"/>
  <c r="A17" i="46"/>
  <c r="B17" i="46"/>
  <c r="A18" i="46"/>
  <c r="B18" i="46"/>
  <c r="A19" i="46"/>
  <c r="B19" i="46"/>
  <c r="A20" i="46"/>
  <c r="B20" i="46"/>
  <c r="A21" i="46"/>
  <c r="B21" i="46"/>
  <c r="A22" i="46"/>
  <c r="B22" i="46"/>
  <c r="A23" i="46"/>
  <c r="B23" i="46"/>
  <c r="A24" i="46"/>
  <c r="B24" i="46"/>
  <c r="A25" i="46"/>
  <c r="B25" i="46"/>
  <c r="A26" i="46"/>
  <c r="B26" i="46"/>
  <c r="A27" i="46"/>
  <c r="B27" i="46"/>
  <c r="A28" i="46"/>
  <c r="B28" i="46"/>
  <c r="A29" i="46"/>
  <c r="B29" i="46"/>
  <c r="A30" i="46"/>
  <c r="B30" i="46"/>
  <c r="A31" i="46"/>
  <c r="B31" i="46"/>
  <c r="A32" i="46"/>
  <c r="B32" i="46"/>
  <c r="A33" i="46"/>
  <c r="B33" i="46"/>
  <c r="A34" i="46"/>
  <c r="B34" i="46"/>
  <c r="A35" i="46"/>
  <c r="B35" i="46"/>
  <c r="A36" i="46"/>
  <c r="B36" i="46"/>
  <c r="A37" i="46"/>
  <c r="B37" i="46"/>
  <c r="A38" i="46"/>
  <c r="B38" i="46"/>
  <c r="A39" i="46"/>
  <c r="B39" i="46"/>
  <c r="A40" i="46"/>
  <c r="B40" i="46"/>
  <c r="A41" i="46"/>
  <c r="B41" i="46"/>
  <c r="A42" i="46"/>
  <c r="B42" i="46"/>
  <c r="A43" i="46"/>
  <c r="B43" i="46"/>
  <c r="A44" i="46"/>
  <c r="B44" i="46"/>
  <c r="A45" i="46"/>
  <c r="B45" i="46"/>
  <c r="A46" i="46"/>
  <c r="B46" i="46"/>
  <c r="A47" i="46"/>
  <c r="B47" i="46"/>
  <c r="A48" i="46"/>
  <c r="B48" i="46"/>
  <c r="A49" i="46"/>
  <c r="B49" i="46"/>
  <c r="A50" i="46"/>
  <c r="B50" i="46"/>
  <c r="A51" i="46"/>
  <c r="B51" i="46"/>
  <c r="A52" i="46"/>
  <c r="B52" i="46"/>
  <c r="A53" i="46"/>
  <c r="B53" i="46"/>
  <c r="A54" i="46"/>
  <c r="B54" i="46"/>
  <c r="A55" i="46"/>
  <c r="B55" i="46"/>
  <c r="A56" i="46"/>
  <c r="B56" i="46"/>
  <c r="A57" i="46"/>
  <c r="B57" i="46"/>
  <c r="A58" i="46"/>
  <c r="B58" i="46"/>
  <c r="A59" i="46"/>
  <c r="B59" i="46"/>
  <c r="A60" i="46"/>
  <c r="B60" i="46"/>
  <c r="A61" i="46"/>
  <c r="B61" i="46"/>
  <c r="A62" i="46"/>
  <c r="B62" i="46"/>
  <c r="A63" i="46"/>
  <c r="B63" i="46"/>
  <c r="A64" i="46"/>
  <c r="B64" i="46"/>
  <c r="A65" i="46"/>
  <c r="B65" i="46"/>
  <c r="A66" i="46"/>
  <c r="B66" i="46"/>
  <c r="A67" i="46"/>
  <c r="B67" i="46"/>
  <c r="A68" i="46"/>
  <c r="B68" i="46"/>
  <c r="A69" i="46"/>
  <c r="B69" i="46"/>
  <c r="A70" i="46"/>
  <c r="B70" i="46"/>
  <c r="A71" i="46"/>
  <c r="B71" i="46"/>
  <c r="A72" i="46"/>
  <c r="B72" i="46"/>
  <c r="A73" i="46"/>
  <c r="B73" i="46"/>
  <c r="A74" i="46"/>
  <c r="B74" i="46"/>
  <c r="A75" i="46"/>
  <c r="B75" i="46"/>
  <c r="A76" i="46"/>
  <c r="B76" i="46"/>
  <c r="A77" i="46"/>
  <c r="B77" i="46"/>
  <c r="B8" i="46"/>
  <c r="B9" i="46"/>
  <c r="A9" i="46"/>
  <c r="G15" i="151"/>
  <c r="F18" i="150"/>
  <c r="H16" i="150"/>
  <c r="H15" i="150"/>
  <c r="H16" i="151"/>
  <c r="H15" i="151"/>
  <c r="F8" i="151"/>
  <c r="H8" i="151" s="1"/>
  <c r="I8" i="151" s="1"/>
  <c r="F7" i="151"/>
  <c r="H7" i="151" s="1"/>
  <c r="F9" i="6"/>
  <c r="B10" i="6"/>
  <c r="H9" i="151" l="1"/>
  <c r="H11" i="151" s="1"/>
  <c r="I7" i="151"/>
  <c r="I11" i="151" s="1"/>
  <c r="H18" i="150"/>
  <c r="G272" i="152" l="1"/>
  <c r="K645" i="44"/>
  <c r="K699" i="44"/>
  <c r="K698" i="44"/>
  <c r="I697" i="44"/>
  <c r="K697" i="44" s="1"/>
  <c r="K695" i="44"/>
  <c r="K694" i="44"/>
  <c r="I693" i="44"/>
  <c r="K693" i="44" s="1"/>
  <c r="K692" i="44" s="1"/>
  <c r="K691" i="44"/>
  <c r="K689" i="44"/>
  <c r="K684" i="44"/>
  <c r="K668" i="44"/>
  <c r="K667" i="44"/>
  <c r="I666" i="44"/>
  <c r="K666" i="44" s="1"/>
  <c r="K665" i="44" s="1"/>
  <c r="K661" i="44"/>
  <c r="K659" i="44"/>
  <c r="K657" i="44"/>
  <c r="K655" i="44"/>
  <c r="K653" i="44"/>
  <c r="K651" i="44"/>
  <c r="K644" i="44"/>
  <c r="E639" i="44"/>
  <c r="K639" i="44" s="1"/>
  <c r="E643" i="44"/>
  <c r="K643" i="44" s="1"/>
  <c r="K642" i="44"/>
  <c r="K648" i="44"/>
  <c r="E647" i="44"/>
  <c r="K647" i="44" s="1"/>
  <c r="K646" i="44" s="1"/>
  <c r="K637" i="44"/>
  <c r="K634" i="44"/>
  <c r="K624" i="44"/>
  <c r="K617" i="44"/>
  <c r="K616" i="44"/>
  <c r="I615" i="44"/>
  <c r="K613" i="44"/>
  <c r="D36" i="148"/>
  <c r="F9" i="148"/>
  <c r="B10" i="148"/>
  <c r="F45" i="148"/>
  <c r="F44" i="148"/>
  <c r="F43" i="148"/>
  <c r="A42" i="148"/>
  <c r="F37" i="148"/>
  <c r="H36" i="148"/>
  <c r="E36" i="148" s="1"/>
  <c r="F31" i="148"/>
  <c r="F30" i="148"/>
  <c r="F29" i="148"/>
  <c r="F28" i="148"/>
  <c r="F27" i="148"/>
  <c r="F26" i="148"/>
  <c r="F25" i="148"/>
  <c r="F24" i="148"/>
  <c r="F32" i="148" s="1"/>
  <c r="F19" i="148"/>
  <c r="F18" i="148"/>
  <c r="F17" i="148"/>
  <c r="F16" i="148"/>
  <c r="B9" i="148"/>
  <c r="F9" i="147"/>
  <c r="B10" i="147"/>
  <c r="F45" i="147"/>
  <c r="F44" i="147"/>
  <c r="F43" i="147"/>
  <c r="A42" i="147"/>
  <c r="F37" i="147"/>
  <c r="H36" i="147"/>
  <c r="F36" i="147"/>
  <c r="F38" i="147" s="1"/>
  <c r="F31" i="147"/>
  <c r="F30" i="147"/>
  <c r="F29" i="147"/>
  <c r="F28" i="147"/>
  <c r="F27" i="147"/>
  <c r="F26" i="147"/>
  <c r="F25" i="147"/>
  <c r="F24" i="147"/>
  <c r="F32" i="147" s="1"/>
  <c r="F19" i="147"/>
  <c r="F18" i="147"/>
  <c r="F17" i="147"/>
  <c r="F16" i="147"/>
  <c r="B9" i="147"/>
  <c r="F9" i="146"/>
  <c r="B10" i="146"/>
  <c r="F45" i="146"/>
  <c r="F44" i="146"/>
  <c r="F43" i="146"/>
  <c r="A42" i="146"/>
  <c r="F37" i="146"/>
  <c r="H36" i="146"/>
  <c r="F36" i="146"/>
  <c r="F38" i="146" s="1"/>
  <c r="F31" i="146"/>
  <c r="F30" i="146"/>
  <c r="F29" i="146"/>
  <c r="F28" i="146"/>
  <c r="F27" i="146"/>
  <c r="F26" i="146"/>
  <c r="F25" i="146"/>
  <c r="F24" i="146"/>
  <c r="F19" i="146"/>
  <c r="F18" i="146"/>
  <c r="F17" i="146"/>
  <c r="F16" i="146"/>
  <c r="B9" i="146"/>
  <c r="F9" i="145"/>
  <c r="B10" i="145"/>
  <c r="F45" i="145"/>
  <c r="F44" i="145"/>
  <c r="F43" i="145"/>
  <c r="A42" i="145"/>
  <c r="F37" i="145"/>
  <c r="H36" i="145"/>
  <c r="F36" i="145"/>
  <c r="F38" i="145" s="1"/>
  <c r="F31" i="145"/>
  <c r="F30" i="145"/>
  <c r="F29" i="145"/>
  <c r="F28" i="145"/>
  <c r="F27" i="145"/>
  <c r="F26" i="145"/>
  <c r="F25" i="145"/>
  <c r="F24" i="145"/>
  <c r="F32" i="145" s="1"/>
  <c r="F19" i="145"/>
  <c r="F18" i="145"/>
  <c r="F17" i="145"/>
  <c r="F16" i="145"/>
  <c r="B9" i="145"/>
  <c r="A42" i="134"/>
  <c r="A42" i="144"/>
  <c r="K641" i="44" l="1"/>
  <c r="F32" i="146"/>
  <c r="G275" i="152"/>
  <c r="G274" i="152"/>
  <c r="G273" i="152"/>
  <c r="G276" i="152" s="1"/>
  <c r="G277" i="152" s="1"/>
  <c r="K696" i="44"/>
  <c r="K615" i="44"/>
  <c r="K614" i="44" s="1"/>
  <c r="F36" i="148"/>
  <c r="F38" i="148" s="1"/>
  <c r="G278" i="152" l="1"/>
  <c r="G279" i="152" s="1"/>
  <c r="F9" i="144"/>
  <c r="B10" i="144"/>
  <c r="B9" i="144"/>
  <c r="F45" i="144"/>
  <c r="F44" i="144"/>
  <c r="F43" i="144"/>
  <c r="F37" i="144"/>
  <c r="H36" i="144"/>
  <c r="E36" i="144" s="1"/>
  <c r="F36" i="144" s="1"/>
  <c r="F38" i="144" s="1"/>
  <c r="D36" i="144"/>
  <c r="F31" i="144"/>
  <c r="F30" i="144"/>
  <c r="F29" i="144"/>
  <c r="F28" i="144"/>
  <c r="F27" i="144"/>
  <c r="F26" i="144"/>
  <c r="F25" i="144"/>
  <c r="F24" i="144"/>
  <c r="F19" i="144"/>
  <c r="F18" i="144"/>
  <c r="F17" i="144"/>
  <c r="E16" i="144"/>
  <c r="F16" i="144" s="1"/>
  <c r="F32" i="144" l="1"/>
  <c r="G280" i="152"/>
  <c r="G281" i="152" s="1"/>
  <c r="K702" i="44"/>
  <c r="K705" i="44"/>
  <c r="K686" i="44"/>
  <c r="K683" i="44"/>
  <c r="K682" i="44" s="1"/>
  <c r="K679" i="44"/>
  <c r="E680" i="44"/>
  <c r="K680" i="44" s="1"/>
  <c r="K678" i="44"/>
  <c r="K677" i="44"/>
  <c r="K676" i="44"/>
  <c r="K675" i="44"/>
  <c r="K674" i="44"/>
  <c r="K673" i="44"/>
  <c r="K672" i="44"/>
  <c r="K671" i="44"/>
  <c r="K663" i="44"/>
  <c r="K662" i="44" s="1"/>
  <c r="E251" i="1" s="1"/>
  <c r="D243" i="46" s="1"/>
  <c r="K631" i="44"/>
  <c r="K630" i="44"/>
  <c r="K628" i="44"/>
  <c r="K627" i="44"/>
  <c r="K626" i="44" s="1"/>
  <c r="K623" i="44"/>
  <c r="K622" i="44" s="1"/>
  <c r="E232" i="1" s="1"/>
  <c r="K621" i="44"/>
  <c r="K620" i="44" s="1"/>
  <c r="E231" i="1" s="1"/>
  <c r="K619" i="44"/>
  <c r="K618" i="44" s="1"/>
  <c r="E230" i="1" s="1"/>
  <c r="K612" i="44"/>
  <c r="K611" i="44" s="1"/>
  <c r="E228" i="1" s="1"/>
  <c r="K609" i="44"/>
  <c r="K608" i="44" s="1"/>
  <c r="E226" i="1" s="1"/>
  <c r="D218" i="46" s="1"/>
  <c r="K704" i="44"/>
  <c r="E270" i="1" s="1"/>
  <c r="D262" i="46" s="1"/>
  <c r="K701" i="44"/>
  <c r="E268" i="1" s="1"/>
  <c r="D260" i="46" s="1"/>
  <c r="E266" i="1"/>
  <c r="D258" i="46" s="1"/>
  <c r="E265" i="1"/>
  <c r="D257" i="46" s="1"/>
  <c r="K690" i="44"/>
  <c r="E264" i="1" s="1"/>
  <c r="D256" i="46" s="1"/>
  <c r="K688" i="44"/>
  <c r="E263" i="1" s="1"/>
  <c r="D255" i="46" s="1"/>
  <c r="K685" i="44"/>
  <c r="E261" i="1" s="1"/>
  <c r="D253" i="46" s="1"/>
  <c r="E260" i="1"/>
  <c r="D252" i="46" s="1"/>
  <c r="E258" i="1"/>
  <c r="D250" i="46" s="1"/>
  <c r="E257" i="1"/>
  <c r="D249" i="46" s="1"/>
  <c r="E256" i="1"/>
  <c r="D248" i="46" s="1"/>
  <c r="K670" i="44"/>
  <c r="E255" i="1" s="1"/>
  <c r="D247" i="46" s="1"/>
  <c r="E253" i="1"/>
  <c r="D245" i="46" s="1"/>
  <c r="K660" i="44"/>
  <c r="E250" i="1" s="1"/>
  <c r="D242" i="46" s="1"/>
  <c r="K658" i="44"/>
  <c r="E249" i="1" s="1"/>
  <c r="D241" i="46" s="1"/>
  <c r="K656" i="44"/>
  <c r="E248" i="1" s="1"/>
  <c r="D240" i="46" s="1"/>
  <c r="K654" i="44"/>
  <c r="E247" i="1" s="1"/>
  <c r="D239" i="46" s="1"/>
  <c r="K652" i="44"/>
  <c r="E246" i="1" s="1"/>
  <c r="D238" i="46" s="1"/>
  <c r="K650" i="44"/>
  <c r="E245" i="1" s="1"/>
  <c r="D237" i="46" s="1"/>
  <c r="E243" i="1"/>
  <c r="D235" i="46" s="1"/>
  <c r="E242" i="1"/>
  <c r="D234" i="46" s="1"/>
  <c r="K638" i="44"/>
  <c r="E240" i="1" s="1"/>
  <c r="D232" i="46" s="1"/>
  <c r="K636" i="44"/>
  <c r="E239" i="1" s="1"/>
  <c r="D231" i="46" s="1"/>
  <c r="K633" i="44"/>
  <c r="E237" i="1" s="1"/>
  <c r="E229" i="1"/>
  <c r="B682" i="44"/>
  <c r="C682" i="44"/>
  <c r="D682" i="44"/>
  <c r="B685" i="44"/>
  <c r="C685" i="44"/>
  <c r="D685" i="44"/>
  <c r="B687" i="44"/>
  <c r="C687" i="44"/>
  <c r="B688" i="44"/>
  <c r="C688" i="44"/>
  <c r="D688" i="44"/>
  <c r="B690" i="44"/>
  <c r="C690" i="44"/>
  <c r="D690" i="44"/>
  <c r="B692" i="44"/>
  <c r="C692" i="44"/>
  <c r="D692" i="44"/>
  <c r="B696" i="44"/>
  <c r="C696" i="44"/>
  <c r="D696" i="44"/>
  <c r="B700" i="44"/>
  <c r="C700" i="44"/>
  <c r="B701" i="44"/>
  <c r="C701" i="44"/>
  <c r="D701" i="44"/>
  <c r="B703" i="44"/>
  <c r="C703" i="44"/>
  <c r="B704" i="44"/>
  <c r="C704" i="44"/>
  <c r="D704" i="44"/>
  <c r="B658" i="44"/>
  <c r="C658" i="44"/>
  <c r="D658" i="44"/>
  <c r="B660" i="44"/>
  <c r="C660" i="44"/>
  <c r="D660" i="44"/>
  <c r="B662" i="44"/>
  <c r="C662" i="44"/>
  <c r="D662" i="44"/>
  <c r="B664" i="44"/>
  <c r="C664" i="44"/>
  <c r="B665" i="44"/>
  <c r="C665" i="44"/>
  <c r="D665" i="44"/>
  <c r="B669" i="44"/>
  <c r="C669" i="44"/>
  <c r="B670" i="44"/>
  <c r="C670" i="44"/>
  <c r="D670" i="44"/>
  <c r="B672" i="44"/>
  <c r="C672" i="44"/>
  <c r="D672" i="44"/>
  <c r="B675" i="44"/>
  <c r="C675" i="44"/>
  <c r="D675" i="44"/>
  <c r="B678" i="44"/>
  <c r="C678" i="44"/>
  <c r="D678" i="44"/>
  <c r="B681" i="44"/>
  <c r="C681" i="44"/>
  <c r="B636" i="44"/>
  <c r="C636" i="44"/>
  <c r="D636" i="44"/>
  <c r="B638" i="44"/>
  <c r="C638" i="44"/>
  <c r="D638" i="44"/>
  <c r="B640" i="44"/>
  <c r="C640" i="44"/>
  <c r="B641" i="44"/>
  <c r="C641" i="44"/>
  <c r="D641" i="44"/>
  <c r="B646" i="44"/>
  <c r="C646" i="44"/>
  <c r="D646" i="44"/>
  <c r="B649" i="44"/>
  <c r="C649" i="44"/>
  <c r="B650" i="44"/>
  <c r="C650" i="44"/>
  <c r="D650" i="44"/>
  <c r="B652" i="44"/>
  <c r="C652" i="44"/>
  <c r="D652" i="44"/>
  <c r="B654" i="44"/>
  <c r="C654" i="44"/>
  <c r="D654" i="44"/>
  <c r="B656" i="44"/>
  <c r="C656" i="44"/>
  <c r="D656" i="44"/>
  <c r="B610" i="44"/>
  <c r="C610" i="44"/>
  <c r="B611" i="44"/>
  <c r="C611" i="44"/>
  <c r="D611" i="44"/>
  <c r="B614" i="44"/>
  <c r="C614" i="44"/>
  <c r="D614" i="44"/>
  <c r="B618" i="44"/>
  <c r="C618" i="44"/>
  <c r="D618" i="44"/>
  <c r="B620" i="44"/>
  <c r="C620" i="44"/>
  <c r="D620" i="44"/>
  <c r="B622" i="44"/>
  <c r="C622" i="44"/>
  <c r="D622" i="44"/>
  <c r="B625" i="44"/>
  <c r="C625" i="44"/>
  <c r="B626" i="44"/>
  <c r="C626" i="44"/>
  <c r="D626" i="44"/>
  <c r="B629" i="44"/>
  <c r="C629" i="44"/>
  <c r="D629" i="44"/>
  <c r="B632" i="44"/>
  <c r="C632" i="44"/>
  <c r="B633" i="44"/>
  <c r="C633" i="44"/>
  <c r="D633" i="44"/>
  <c r="B635" i="44"/>
  <c r="C635" i="44"/>
  <c r="C608" i="44"/>
  <c r="D608" i="44"/>
  <c r="B608" i="44"/>
  <c r="B607" i="44"/>
  <c r="C607" i="44"/>
  <c r="C606" i="44"/>
  <c r="B606" i="44"/>
  <c r="K629" i="44" l="1"/>
  <c r="E235" i="1" s="1"/>
  <c r="D227" i="46" s="1"/>
  <c r="D220" i="46"/>
  <c r="D221" i="46"/>
  <c r="D222" i="46"/>
  <c r="D223" i="46"/>
  <c r="D224" i="46"/>
  <c r="D229" i="46"/>
  <c r="E234" i="1"/>
  <c r="D226" i="46" l="1"/>
  <c r="J281" i="1"/>
  <c r="E604" i="44"/>
  <c r="K604" i="44" s="1"/>
  <c r="K603" i="44" s="1"/>
  <c r="E222" i="1" s="1"/>
  <c r="D215" i="46" s="1"/>
  <c r="D603" i="44"/>
  <c r="C603" i="44"/>
  <c r="B603" i="44"/>
  <c r="C602" i="44"/>
  <c r="B602" i="44"/>
  <c r="A42" i="143"/>
  <c r="E17" i="143"/>
  <c r="E16" i="143"/>
  <c r="F45" i="143"/>
  <c r="F44" i="143"/>
  <c r="F43" i="143"/>
  <c r="F37" i="143"/>
  <c r="F36" i="143"/>
  <c r="F38" i="143" s="1"/>
  <c r="F31" i="143"/>
  <c r="F30" i="143"/>
  <c r="F29" i="143"/>
  <c r="F28" i="143"/>
  <c r="J26" i="143"/>
  <c r="L26" i="143" s="1"/>
  <c r="D26" i="143" s="1"/>
  <c r="L25" i="143"/>
  <c r="M25" i="143" s="1"/>
  <c r="D25" i="143" s="1"/>
  <c r="D24" i="143"/>
  <c r="F19" i="143"/>
  <c r="F18" i="143"/>
  <c r="F17" i="143"/>
  <c r="F16" i="143"/>
  <c r="D15" i="143"/>
  <c r="F9" i="143"/>
  <c r="B9" i="143"/>
  <c r="A42" i="141"/>
  <c r="A42" i="140"/>
  <c r="A45" i="139"/>
  <c r="A45" i="138"/>
  <c r="A45" i="137"/>
  <c r="A42" i="120"/>
  <c r="E18" i="139"/>
  <c r="F18" i="139" s="1"/>
  <c r="E18" i="138"/>
  <c r="F18" i="138" s="1"/>
  <c r="E18" i="137"/>
  <c r="F18" i="137" s="1"/>
  <c r="E17" i="139"/>
  <c r="F17" i="139" s="1"/>
  <c r="E16" i="139"/>
  <c r="F16" i="139" s="1"/>
  <c r="E17" i="138"/>
  <c r="F17" i="138" s="1"/>
  <c r="E16" i="138"/>
  <c r="F16" i="138" s="1"/>
  <c r="E17" i="137"/>
  <c r="F17" i="137" s="1"/>
  <c r="E16" i="137"/>
  <c r="F16" i="137" s="1"/>
  <c r="F9" i="139"/>
  <c r="B10" i="139"/>
  <c r="F9" i="138"/>
  <c r="B10" i="138"/>
  <c r="B9" i="139"/>
  <c r="B9" i="138"/>
  <c r="F9" i="137"/>
  <c r="B9" i="137"/>
  <c r="B10" i="137"/>
  <c r="F45" i="141"/>
  <c r="F44" i="141"/>
  <c r="F43" i="141"/>
  <c r="F37" i="141"/>
  <c r="F36" i="141"/>
  <c r="F38" i="141" s="1"/>
  <c r="D36" i="141"/>
  <c r="F31" i="141"/>
  <c r="F30" i="141"/>
  <c r="F29" i="141"/>
  <c r="F28" i="141"/>
  <c r="F27" i="141"/>
  <c r="F26" i="141"/>
  <c r="E24" i="141"/>
  <c r="F24" i="141" s="1"/>
  <c r="F19" i="141"/>
  <c r="F18" i="141"/>
  <c r="F17" i="141"/>
  <c r="E16" i="141"/>
  <c r="F16" i="141" s="1"/>
  <c r="D15" i="141"/>
  <c r="B10" i="141"/>
  <c r="F9" i="141"/>
  <c r="B9" i="141"/>
  <c r="F45" i="140"/>
  <c r="F44" i="140"/>
  <c r="F43" i="140"/>
  <c r="F37" i="140"/>
  <c r="F36" i="140"/>
  <c r="F31" i="140"/>
  <c r="F30" i="140"/>
  <c r="F29" i="140"/>
  <c r="F28" i="140"/>
  <c r="J26" i="140"/>
  <c r="I26" i="140"/>
  <c r="L26" i="140" s="1"/>
  <c r="D26" i="140" s="1"/>
  <c r="J25" i="140"/>
  <c r="L25" i="140" s="1"/>
  <c r="M25" i="140" s="1"/>
  <c r="D25" i="140" s="1"/>
  <c r="D24" i="140"/>
  <c r="F19" i="140"/>
  <c r="F18" i="140"/>
  <c r="F17" i="140"/>
  <c r="F16" i="140"/>
  <c r="D15" i="140"/>
  <c r="B9" i="140"/>
  <c r="F48" i="139"/>
  <c r="F47" i="139"/>
  <c r="F46" i="139"/>
  <c r="F40" i="139"/>
  <c r="F34" i="139"/>
  <c r="F33" i="139"/>
  <c r="F32" i="139"/>
  <c r="F19" i="139"/>
  <c r="D15" i="139"/>
  <c r="F48" i="138"/>
  <c r="F47" i="138"/>
  <c r="F46" i="138"/>
  <c r="F40" i="138"/>
  <c r="F34" i="138"/>
  <c r="F33" i="138"/>
  <c r="F32" i="138"/>
  <c r="F19" i="138"/>
  <c r="D15" i="138"/>
  <c r="F48" i="137"/>
  <c r="F47" i="137"/>
  <c r="F46" i="137"/>
  <c r="F40" i="137"/>
  <c r="F19" i="137"/>
  <c r="D15" i="137"/>
  <c r="K601" i="44"/>
  <c r="C600" i="44"/>
  <c r="D600" i="44"/>
  <c r="C598" i="44"/>
  <c r="D598" i="44"/>
  <c r="C596" i="44"/>
  <c r="D596" i="44"/>
  <c r="C594" i="44"/>
  <c r="D594" i="44"/>
  <c r="B600" i="44"/>
  <c r="B598" i="44"/>
  <c r="B596" i="44"/>
  <c r="B594" i="44"/>
  <c r="C593" i="44"/>
  <c r="B593" i="44"/>
  <c r="C588" i="44"/>
  <c r="B588" i="44"/>
  <c r="C591" i="44"/>
  <c r="D591" i="44"/>
  <c r="B591" i="44"/>
  <c r="C589" i="44"/>
  <c r="D589" i="44"/>
  <c r="B589" i="44"/>
  <c r="C586" i="44"/>
  <c r="D586" i="44"/>
  <c r="B586" i="44"/>
  <c r="C585" i="44"/>
  <c r="B585" i="44"/>
  <c r="C584" i="44"/>
  <c r="B584" i="44"/>
  <c r="K600" i="44"/>
  <c r="E220" i="1" s="1"/>
  <c r="K599" i="44"/>
  <c r="K598" i="44"/>
  <c r="E219" i="1" s="1"/>
  <c r="E597" i="44"/>
  <c r="K597" i="44" s="1"/>
  <c r="K596" i="44"/>
  <c r="E218" i="1" s="1"/>
  <c r="D211" i="46" s="1"/>
  <c r="E595" i="44"/>
  <c r="K595" i="44" s="1"/>
  <c r="K594" i="44"/>
  <c r="E217" i="1" s="1"/>
  <c r="D210" i="46" s="1"/>
  <c r="E592" i="44"/>
  <c r="K592" i="44" s="1"/>
  <c r="K591" i="44"/>
  <c r="E215" i="1" s="1"/>
  <c r="D208" i="46" s="1"/>
  <c r="E590" i="44"/>
  <c r="K590" i="44" s="1"/>
  <c r="K589" i="44"/>
  <c r="E214" i="1" s="1"/>
  <c r="D207" i="46" s="1"/>
  <c r="E587" i="44"/>
  <c r="K587" i="44" s="1"/>
  <c r="K586" i="44"/>
  <c r="E212" i="1" s="1"/>
  <c r="D205" i="46" s="1"/>
  <c r="F38" i="140" l="1"/>
  <c r="D213" i="46"/>
  <c r="D212" i="46"/>
  <c r="E150" i="45" l="1"/>
  <c r="M150" i="45"/>
  <c r="J95" i="45"/>
  <c r="E27" i="138" l="1"/>
  <c r="F27" i="138" s="1"/>
  <c r="E27" i="139"/>
  <c r="F27" i="139" s="1"/>
  <c r="K426" i="44"/>
  <c r="E424" i="44"/>
  <c r="K424" i="44" s="1"/>
  <c r="E370" i="44"/>
  <c r="E367" i="44"/>
  <c r="E378" i="44" s="1"/>
  <c r="K196" i="44"/>
  <c r="K197" i="44"/>
  <c r="K171" i="44"/>
  <c r="E134" i="44"/>
  <c r="E132" i="44"/>
  <c r="I79" i="44"/>
  <c r="I82" i="44"/>
  <c r="K73" i="44"/>
  <c r="K72" i="44"/>
  <c r="K71" i="44" s="1"/>
  <c r="K70" i="44"/>
  <c r="K69" i="44"/>
  <c r="K49" i="44"/>
  <c r="K40" i="44"/>
  <c r="K41" i="44"/>
  <c r="K42" i="44"/>
  <c r="D239" i="44"/>
  <c r="C239" i="44"/>
  <c r="K240" i="44"/>
  <c r="K239" i="44"/>
  <c r="E78" i="1" s="1"/>
  <c r="D73" i="46" s="1"/>
  <c r="B239" i="44"/>
  <c r="B10" i="94"/>
  <c r="K370" i="44" l="1"/>
  <c r="E371" i="44"/>
  <c r="K371" i="44" s="1"/>
  <c r="E67" i="45"/>
  <c r="J16" i="45" l="1"/>
  <c r="J149" i="45"/>
  <c r="E149" i="45" s="1"/>
  <c r="J148" i="45"/>
  <c r="J142" i="45"/>
  <c r="J141" i="45"/>
  <c r="J140" i="45"/>
  <c r="J139" i="45"/>
  <c r="J134" i="45"/>
  <c r="J133" i="45"/>
  <c r="J132" i="45"/>
  <c r="J131" i="45"/>
  <c r="J130" i="45"/>
  <c r="J129" i="45"/>
  <c r="J128" i="45"/>
  <c r="J125" i="45"/>
  <c r="J124" i="45"/>
  <c r="J107" i="45"/>
  <c r="J104" i="45"/>
  <c r="J103" i="45"/>
  <c r="J101" i="45"/>
  <c r="J80" i="45"/>
  <c r="J76" i="45"/>
  <c r="J73" i="45"/>
  <c r="J60" i="45"/>
  <c r="J46" i="45"/>
  <c r="J45" i="45"/>
  <c r="J44" i="45"/>
  <c r="J43" i="45"/>
  <c r="J42" i="45"/>
  <c r="E528" i="44"/>
  <c r="E515" i="44"/>
  <c r="K515" i="44" s="1"/>
  <c r="E514" i="44"/>
  <c r="K514" i="44" s="1"/>
  <c r="E513" i="44"/>
  <c r="K513" i="44" s="1"/>
  <c r="E512" i="44"/>
  <c r="K512" i="44" s="1"/>
  <c r="E511" i="44"/>
  <c r="K511" i="44" s="1"/>
  <c r="E510" i="44"/>
  <c r="E503" i="44"/>
  <c r="K503" i="44" s="1"/>
  <c r="E502" i="44"/>
  <c r="K502" i="44" s="1"/>
  <c r="E501" i="44"/>
  <c r="K501" i="44" s="1"/>
  <c r="E500" i="44"/>
  <c r="K500" i="44" s="1"/>
  <c r="E499" i="44"/>
  <c r="K499" i="44" s="1"/>
  <c r="E498" i="44"/>
  <c r="K498" i="44" s="1"/>
  <c r="E497" i="44"/>
  <c r="K497" i="44" s="1"/>
  <c r="E496" i="44"/>
  <c r="E453" i="44"/>
  <c r="K453" i="44" s="1"/>
  <c r="E452" i="44"/>
  <c r="K452" i="44" s="1"/>
  <c r="E451" i="44"/>
  <c r="K451" i="44" s="1"/>
  <c r="E450" i="44"/>
  <c r="K450" i="44" s="1"/>
  <c r="E449" i="44"/>
  <c r="K449" i="44" s="1"/>
  <c r="E448" i="44"/>
  <c r="K448" i="44" s="1"/>
  <c r="E447" i="44"/>
  <c r="K447" i="44" s="1"/>
  <c r="E446" i="44"/>
  <c r="E421" i="44"/>
  <c r="K421" i="44" s="1"/>
  <c r="E420" i="44"/>
  <c r="K420" i="44" s="1"/>
  <c r="E419" i="44"/>
  <c r="E416" i="44"/>
  <c r="E418" i="44"/>
  <c r="E417" i="44"/>
  <c r="E415" i="44"/>
  <c r="E414" i="44"/>
  <c r="K415" i="44"/>
  <c r="K416" i="44"/>
  <c r="K417" i="44"/>
  <c r="K418" i="44"/>
  <c r="K419" i="44"/>
  <c r="K411" i="44"/>
  <c r="E408" i="44"/>
  <c r="K408" i="44" s="1"/>
  <c r="E409" i="44"/>
  <c r="E407" i="44"/>
  <c r="E402" i="44"/>
  <c r="K403" i="44"/>
  <c r="K402" i="44"/>
  <c r="E401" i="44"/>
  <c r="K401" i="44" s="1"/>
  <c r="K469" i="44"/>
  <c r="C393" i="44"/>
  <c r="K493" i="44"/>
  <c r="C492" i="44"/>
  <c r="D492" i="44"/>
  <c r="B492" i="44"/>
  <c r="K492" i="44"/>
  <c r="E184" i="1" s="1"/>
  <c r="D178" i="46" s="1"/>
  <c r="C468" i="44"/>
  <c r="D468" i="44"/>
  <c r="B468" i="44"/>
  <c r="K468" i="44"/>
  <c r="E174" i="1" s="1"/>
  <c r="D168" i="46" s="1"/>
  <c r="K486" i="44"/>
  <c r="K487" i="44"/>
  <c r="K489" i="44"/>
  <c r="C483" i="44"/>
  <c r="K481" i="44"/>
  <c r="K482" i="44"/>
  <c r="K479" i="44"/>
  <c r="K476" i="44"/>
  <c r="K473" i="44"/>
  <c r="C470" i="44"/>
  <c r="K465" i="44"/>
  <c r="E437" i="44"/>
  <c r="K437" i="44" s="1"/>
  <c r="E435" i="44"/>
  <c r="K435" i="44" s="1"/>
  <c r="E425" i="44"/>
  <c r="E423" i="44"/>
  <c r="E399" i="44"/>
  <c r="E398" i="44"/>
  <c r="E397" i="44"/>
  <c r="E396" i="44"/>
  <c r="E395" i="44"/>
  <c r="K399" i="44"/>
  <c r="E386" i="44"/>
  <c r="K386" i="44" s="1"/>
  <c r="E385" i="44"/>
  <c r="E384" i="44"/>
  <c r="E383" i="44"/>
  <c r="E382" i="44"/>
  <c r="E375" i="44"/>
  <c r="K369" i="44"/>
  <c r="G368" i="44"/>
  <c r="G367" i="44"/>
  <c r="M148" i="45"/>
  <c r="E148" i="45"/>
  <c r="E24" i="135" s="1"/>
  <c r="K480" i="44" l="1"/>
  <c r="E17" i="135"/>
  <c r="E16" i="135"/>
  <c r="I336" i="44" l="1"/>
  <c r="K336" i="44" s="1"/>
  <c r="K338" i="44"/>
  <c r="M36" i="6"/>
  <c r="E237" i="44"/>
  <c r="E236" i="44"/>
  <c r="K236" i="44" s="1"/>
  <c r="E235" i="44"/>
  <c r="K235" i="44" s="1"/>
  <c r="K234" i="44"/>
  <c r="K233" i="44"/>
  <c r="K232" i="44"/>
  <c r="I231" i="44"/>
  <c r="E231" i="44"/>
  <c r="K231" i="44" s="1"/>
  <c r="I230" i="44"/>
  <c r="K230" i="44" s="1"/>
  <c r="E229" i="44"/>
  <c r="K229" i="44" s="1"/>
  <c r="I228" i="44"/>
  <c r="K228" i="44" s="1"/>
  <c r="E219" i="44"/>
  <c r="E218" i="44"/>
  <c r="K218" i="44" s="1"/>
  <c r="K217" i="44"/>
  <c r="K210" i="44"/>
  <c r="I209" i="44"/>
  <c r="E209" i="44"/>
  <c r="C202" i="44"/>
  <c r="D202" i="44"/>
  <c r="B202" i="44"/>
  <c r="K203" i="44"/>
  <c r="K202" i="44"/>
  <c r="E73" i="1" s="1"/>
  <c r="D68" i="46" s="1"/>
  <c r="F45" i="136"/>
  <c r="F44" i="136"/>
  <c r="F43" i="136"/>
  <c r="A42" i="136"/>
  <c r="F37" i="136"/>
  <c r="F36" i="136"/>
  <c r="F19" i="136"/>
  <c r="F18" i="136"/>
  <c r="F17" i="136"/>
  <c r="F16" i="136"/>
  <c r="D15" i="136"/>
  <c r="B10" i="136"/>
  <c r="F9" i="136"/>
  <c r="B9" i="136"/>
  <c r="K189" i="44"/>
  <c r="K177" i="44"/>
  <c r="K176" i="44" s="1"/>
  <c r="E63" i="1" s="1"/>
  <c r="D58" i="46" s="1"/>
  <c r="D176" i="44"/>
  <c r="C176" i="44"/>
  <c r="B176" i="44"/>
  <c r="F45" i="135"/>
  <c r="F44" i="135"/>
  <c r="F43" i="135"/>
  <c r="A42" i="135"/>
  <c r="F37" i="135"/>
  <c r="F36" i="135"/>
  <c r="F38" i="135" s="1"/>
  <c r="F31" i="135"/>
  <c r="F30" i="135"/>
  <c r="F29" i="135"/>
  <c r="F24" i="135"/>
  <c r="F19" i="135"/>
  <c r="F18" i="135"/>
  <c r="F17" i="135"/>
  <c r="L16" i="135"/>
  <c r="F16" i="135"/>
  <c r="D15" i="135"/>
  <c r="H10" i="135"/>
  <c r="B10" i="135"/>
  <c r="F9" i="135"/>
  <c r="B9" i="135"/>
  <c r="F38" i="136" l="1"/>
  <c r="H42" i="135"/>
  <c r="J29" i="135"/>
  <c r="I29" i="135"/>
  <c r="H29" i="135"/>
  <c r="H28" i="135"/>
  <c r="H27" i="135"/>
  <c r="H26" i="135"/>
  <c r="H25" i="135"/>
  <c r="J24" i="135"/>
  <c r="I24" i="135"/>
  <c r="H24" i="135"/>
  <c r="J17" i="135"/>
  <c r="I17" i="135"/>
  <c r="H17" i="135"/>
  <c r="J16" i="135"/>
  <c r="I16" i="135"/>
  <c r="H16" i="135"/>
  <c r="H15" i="135"/>
  <c r="H38" i="135"/>
  <c r="K167" i="44" l="1"/>
  <c r="K166" i="44"/>
  <c r="G164" i="44"/>
  <c r="K164" i="44" s="1"/>
  <c r="I163" i="44"/>
  <c r="I162" i="44"/>
  <c r="G163" i="44"/>
  <c r="G162" i="44"/>
  <c r="G161" i="44"/>
  <c r="K161" i="44" s="1"/>
  <c r="G160" i="44"/>
  <c r="K117" i="44"/>
  <c r="K115" i="44"/>
  <c r="E88" i="44"/>
  <c r="K88" i="44" s="1"/>
  <c r="E87" i="44"/>
  <c r="K87" i="44"/>
  <c r="E112" i="44"/>
  <c r="E107" i="44"/>
  <c r="E109" i="44"/>
  <c r="E106" i="44"/>
  <c r="K98" i="44"/>
  <c r="K99" i="44"/>
  <c r="K100" i="44"/>
  <c r="E81" i="44"/>
  <c r="K81" i="44" s="1"/>
  <c r="E50" i="44"/>
  <c r="K86" i="44"/>
  <c r="K79" i="44"/>
  <c r="I76" i="44"/>
  <c r="E53" i="44"/>
  <c r="P53" i="44"/>
  <c r="G29" i="44" l="1"/>
  <c r="G28" i="44"/>
  <c r="G30" i="44"/>
  <c r="E25" i="44"/>
  <c r="K25" i="44" s="1"/>
  <c r="E16" i="134"/>
  <c r="F45" i="134"/>
  <c r="F44" i="134"/>
  <c r="F43" i="134"/>
  <c r="F37" i="134"/>
  <c r="H36" i="134"/>
  <c r="E36" i="134"/>
  <c r="D36" i="134"/>
  <c r="F36" i="134" s="1"/>
  <c r="F31" i="134"/>
  <c r="F30" i="134"/>
  <c r="F29" i="134"/>
  <c r="F28" i="134"/>
  <c r="F27" i="134"/>
  <c r="F26" i="134"/>
  <c r="F25" i="134"/>
  <c r="F24" i="134"/>
  <c r="F32" i="134" s="1"/>
  <c r="F19" i="134"/>
  <c r="F18" i="134"/>
  <c r="F17" i="134"/>
  <c r="F16" i="134"/>
  <c r="B10" i="134"/>
  <c r="F9" i="134"/>
  <c r="B9" i="134"/>
  <c r="F38" i="134" l="1"/>
  <c r="E23" i="44" l="1"/>
  <c r="I16" i="45"/>
  <c r="I39" i="45"/>
  <c r="I105" i="45"/>
  <c r="I103" i="45"/>
  <c r="H103" i="45"/>
  <c r="I141" i="45"/>
  <c r="I129" i="45"/>
  <c r="I133" i="45"/>
  <c r="H144" i="45"/>
  <c r="H142" i="45"/>
  <c r="H141" i="45"/>
  <c r="H140" i="45"/>
  <c r="H139" i="45"/>
  <c r="H134" i="45"/>
  <c r="H133" i="45"/>
  <c r="H132" i="45"/>
  <c r="H131" i="45"/>
  <c r="H130" i="45"/>
  <c r="H129" i="45"/>
  <c r="H128" i="45"/>
  <c r="H107" i="45"/>
  <c r="H101" i="45"/>
  <c r="H76" i="45"/>
  <c r="H73" i="45"/>
  <c r="H60" i="45"/>
  <c r="H46" i="45"/>
  <c r="H45" i="45"/>
  <c r="H44" i="45"/>
  <c r="H43" i="45"/>
  <c r="H42" i="45"/>
  <c r="F45" i="133"/>
  <c r="F44" i="133"/>
  <c r="F43" i="133"/>
  <c r="A42" i="133"/>
  <c r="F37" i="133"/>
  <c r="F36" i="133"/>
  <c r="F38" i="133" s="1"/>
  <c r="F31" i="133"/>
  <c r="F30" i="133"/>
  <c r="F29" i="133"/>
  <c r="F28" i="133"/>
  <c r="F27" i="133"/>
  <c r="F26" i="133"/>
  <c r="F25" i="133"/>
  <c r="E24" i="133"/>
  <c r="F24" i="133" s="1"/>
  <c r="F32" i="133" s="1"/>
  <c r="F19" i="133"/>
  <c r="F18" i="133"/>
  <c r="F17" i="133"/>
  <c r="E16" i="133"/>
  <c r="F16" i="133" s="1"/>
  <c r="D15" i="133"/>
  <c r="H10" i="133"/>
  <c r="B10" i="133"/>
  <c r="F9" i="133"/>
  <c r="B9" i="133"/>
  <c r="F45" i="132"/>
  <c r="F44" i="132"/>
  <c r="F43" i="132"/>
  <c r="D42" i="132"/>
  <c r="F42" i="132" s="1"/>
  <c r="A42" i="132"/>
  <c r="F37" i="132"/>
  <c r="F36" i="132"/>
  <c r="F38" i="132" s="1"/>
  <c r="F31" i="132"/>
  <c r="F30" i="132"/>
  <c r="F29" i="132"/>
  <c r="F28" i="132"/>
  <c r="F27" i="132"/>
  <c r="F26" i="132"/>
  <c r="E25" i="132"/>
  <c r="F25" i="132" s="1"/>
  <c r="E24" i="132"/>
  <c r="F24" i="132" s="1"/>
  <c r="F32" i="132" s="1"/>
  <c r="F19" i="132"/>
  <c r="F18" i="132"/>
  <c r="F17" i="132"/>
  <c r="E16" i="132"/>
  <c r="F16" i="132" s="1"/>
  <c r="H10" i="132"/>
  <c r="B10" i="132"/>
  <c r="F9" i="132"/>
  <c r="B9" i="132"/>
  <c r="F45" i="131"/>
  <c r="F44" i="131"/>
  <c r="F43" i="131"/>
  <c r="D42" i="131"/>
  <c r="F42" i="131" s="1"/>
  <c r="A42" i="131"/>
  <c r="F37" i="131"/>
  <c r="F36" i="131"/>
  <c r="F38" i="131" s="1"/>
  <c r="F31" i="131"/>
  <c r="F30" i="131"/>
  <c r="F29" i="131"/>
  <c r="F28" i="131"/>
  <c r="F27" i="131"/>
  <c r="F26" i="131"/>
  <c r="E25" i="131"/>
  <c r="F25" i="131" s="1"/>
  <c r="E24" i="131"/>
  <c r="F24" i="131" s="1"/>
  <c r="F32" i="131" s="1"/>
  <c r="F19" i="131"/>
  <c r="F18" i="131"/>
  <c r="F17" i="131"/>
  <c r="E16" i="131"/>
  <c r="F16" i="131" s="1"/>
  <c r="H10" i="131"/>
  <c r="B10" i="131"/>
  <c r="F9" i="131"/>
  <c r="B9" i="131"/>
  <c r="F45" i="130"/>
  <c r="F44" i="130"/>
  <c r="F43" i="130"/>
  <c r="D42" i="130"/>
  <c r="F42" i="130" s="1"/>
  <c r="A42" i="130"/>
  <c r="F37" i="130"/>
  <c r="F36" i="130"/>
  <c r="F38" i="130" s="1"/>
  <c r="F31" i="130"/>
  <c r="F30" i="130"/>
  <c r="F29" i="130"/>
  <c r="F28" i="130"/>
  <c r="F27" i="130"/>
  <c r="F26" i="130"/>
  <c r="E25" i="130"/>
  <c r="F25" i="130" s="1"/>
  <c r="E24" i="130"/>
  <c r="F24" i="130" s="1"/>
  <c r="F32" i="130" s="1"/>
  <c r="F19" i="130"/>
  <c r="F18" i="130"/>
  <c r="F17" i="130"/>
  <c r="E16" i="130"/>
  <c r="F16" i="130" s="1"/>
  <c r="D15" i="130"/>
  <c r="H10" i="130"/>
  <c r="B10" i="130"/>
  <c r="F9" i="130"/>
  <c r="B9" i="130"/>
  <c r="F45" i="129"/>
  <c r="F44" i="129"/>
  <c r="F43" i="129"/>
  <c r="A42" i="129"/>
  <c r="F37" i="129"/>
  <c r="F36" i="129"/>
  <c r="F38" i="129" s="1"/>
  <c r="F31" i="129"/>
  <c r="F30" i="129"/>
  <c r="F29" i="129"/>
  <c r="F28" i="129"/>
  <c r="F27" i="129"/>
  <c r="F26" i="129"/>
  <c r="F25" i="129"/>
  <c r="E24" i="129"/>
  <c r="F24" i="129" s="1"/>
  <c r="F32" i="129" s="1"/>
  <c r="F19" i="129"/>
  <c r="F18" i="129"/>
  <c r="F17" i="129"/>
  <c r="F16" i="129"/>
  <c r="H10" i="129"/>
  <c r="B10" i="129"/>
  <c r="F9" i="129"/>
  <c r="B9" i="129"/>
  <c r="F45" i="128"/>
  <c r="F44" i="128"/>
  <c r="F43" i="128"/>
  <c r="D42" i="128"/>
  <c r="F42" i="128" s="1"/>
  <c r="A42" i="128"/>
  <c r="F37" i="128"/>
  <c r="F36" i="128"/>
  <c r="F38" i="128" s="1"/>
  <c r="F31" i="128"/>
  <c r="F30" i="128"/>
  <c r="F29" i="128"/>
  <c r="F28" i="128"/>
  <c r="F27" i="128"/>
  <c r="E26" i="128"/>
  <c r="F26" i="128" s="1"/>
  <c r="E25" i="128"/>
  <c r="F25" i="128" s="1"/>
  <c r="E24" i="128"/>
  <c r="F24" i="128" s="1"/>
  <c r="F32" i="128" s="1"/>
  <c r="F19" i="128"/>
  <c r="E18" i="128"/>
  <c r="F18" i="128" s="1"/>
  <c r="E17" i="128"/>
  <c r="F17" i="128" s="1"/>
  <c r="E16" i="128"/>
  <c r="F16" i="128" s="1"/>
  <c r="D15" i="128"/>
  <c r="H10" i="128"/>
  <c r="B10" i="128"/>
  <c r="F9" i="128"/>
  <c r="B9" i="128"/>
  <c r="F45" i="127"/>
  <c r="F44" i="127"/>
  <c r="F43" i="127"/>
  <c r="D42" i="127"/>
  <c r="F42" i="127" s="1"/>
  <c r="A42" i="127"/>
  <c r="F37" i="127"/>
  <c r="F36" i="127"/>
  <c r="F38" i="127" s="1"/>
  <c r="F31" i="127"/>
  <c r="F30" i="127"/>
  <c r="F29" i="127"/>
  <c r="F28" i="127"/>
  <c r="F27" i="127"/>
  <c r="E26" i="127"/>
  <c r="F26" i="127" s="1"/>
  <c r="E25" i="127"/>
  <c r="F25" i="127" s="1"/>
  <c r="E24" i="127"/>
  <c r="F24" i="127" s="1"/>
  <c r="F32" i="127" s="1"/>
  <c r="F19" i="127"/>
  <c r="E18" i="127"/>
  <c r="F18" i="127" s="1"/>
  <c r="E17" i="127"/>
  <c r="F17" i="127" s="1"/>
  <c r="E16" i="127"/>
  <c r="F16" i="127" s="1"/>
  <c r="D15" i="127"/>
  <c r="H10" i="127"/>
  <c r="B10" i="127"/>
  <c r="F9" i="127"/>
  <c r="B9" i="127"/>
  <c r="F45" i="126"/>
  <c r="F44" i="126"/>
  <c r="F43" i="126"/>
  <c r="A42" i="126"/>
  <c r="F37" i="126"/>
  <c r="F36" i="126"/>
  <c r="F38" i="126" s="1"/>
  <c r="F31" i="126"/>
  <c r="F30" i="126"/>
  <c r="F29" i="126"/>
  <c r="F28" i="126"/>
  <c r="F27" i="126"/>
  <c r="F26" i="126"/>
  <c r="F25" i="126"/>
  <c r="F24" i="126"/>
  <c r="F19" i="126"/>
  <c r="F18" i="126"/>
  <c r="F17" i="126"/>
  <c r="E16" i="126"/>
  <c r="F16" i="126" s="1"/>
  <c r="D15" i="126"/>
  <c r="H10" i="126"/>
  <c r="B10" i="126"/>
  <c r="F9" i="126"/>
  <c r="B9" i="126"/>
  <c r="B10" i="125"/>
  <c r="F9" i="125"/>
  <c r="B9" i="125"/>
  <c r="F45" i="125"/>
  <c r="F44" i="125"/>
  <c r="F43" i="125"/>
  <c r="A42" i="125"/>
  <c r="F37" i="125"/>
  <c r="F36" i="125"/>
  <c r="F38" i="125" s="1"/>
  <c r="F31" i="125"/>
  <c r="F30" i="125"/>
  <c r="F29" i="125"/>
  <c r="F28" i="125"/>
  <c r="F27" i="125"/>
  <c r="F26" i="125"/>
  <c r="E25" i="125"/>
  <c r="F25" i="125" s="1"/>
  <c r="E24" i="125"/>
  <c r="F24" i="125" s="1"/>
  <c r="F32" i="125" s="1"/>
  <c r="F19" i="125"/>
  <c r="F18" i="125"/>
  <c r="F17" i="125"/>
  <c r="L16" i="125"/>
  <c r="E16" i="125"/>
  <c r="F16" i="125" s="1"/>
  <c r="D15" i="125"/>
  <c r="H10" i="125"/>
  <c r="F45" i="124"/>
  <c r="F44" i="124"/>
  <c r="F43" i="124"/>
  <c r="A42" i="124"/>
  <c r="F37" i="124"/>
  <c r="F36" i="124"/>
  <c r="F38" i="124" s="1"/>
  <c r="F31" i="124"/>
  <c r="F28" i="124"/>
  <c r="F27" i="124"/>
  <c r="F26" i="124"/>
  <c r="E25" i="124"/>
  <c r="F25" i="124" s="1"/>
  <c r="E24" i="124"/>
  <c r="F24" i="124" s="1"/>
  <c r="F32" i="124" s="1"/>
  <c r="F19" i="124"/>
  <c r="F18" i="124"/>
  <c r="F17" i="124"/>
  <c r="F16" i="124"/>
  <c r="D15" i="124"/>
  <c r="B10" i="124"/>
  <c r="F9" i="124"/>
  <c r="B9" i="124"/>
  <c r="F45" i="123"/>
  <c r="F44" i="123"/>
  <c r="F43" i="123"/>
  <c r="A42" i="123"/>
  <c r="F37" i="123"/>
  <c r="F36" i="123"/>
  <c r="F38" i="123" s="1"/>
  <c r="E31" i="123"/>
  <c r="F31" i="123" s="1"/>
  <c r="E30" i="123"/>
  <c r="F30" i="123" s="1"/>
  <c r="E29" i="123"/>
  <c r="F29" i="123" s="1"/>
  <c r="E28" i="123"/>
  <c r="F28" i="123" s="1"/>
  <c r="E27" i="123"/>
  <c r="F27" i="123" s="1"/>
  <c r="E26" i="123"/>
  <c r="F26" i="123" s="1"/>
  <c r="E25" i="123"/>
  <c r="F25" i="123" s="1"/>
  <c r="E24" i="123"/>
  <c r="F24" i="123" s="1"/>
  <c r="F32" i="123" s="1"/>
  <c r="F19" i="123"/>
  <c r="F18" i="123"/>
  <c r="F17" i="123"/>
  <c r="F16" i="123"/>
  <c r="D15" i="123"/>
  <c r="B10" i="123"/>
  <c r="F9" i="123"/>
  <c r="B9" i="123"/>
  <c r="F45" i="122"/>
  <c r="F44" i="122"/>
  <c r="F43" i="122"/>
  <c r="A42" i="122"/>
  <c r="F37" i="122"/>
  <c r="F36" i="122"/>
  <c r="F38" i="122" s="1"/>
  <c r="F31" i="122"/>
  <c r="F30" i="122"/>
  <c r="E29" i="122"/>
  <c r="F29" i="122" s="1"/>
  <c r="E28" i="122"/>
  <c r="F28" i="122" s="1"/>
  <c r="E27" i="122"/>
  <c r="F27" i="122" s="1"/>
  <c r="E26" i="122"/>
  <c r="F26" i="122" s="1"/>
  <c r="E25" i="122"/>
  <c r="F25" i="122" s="1"/>
  <c r="E24" i="122"/>
  <c r="F24" i="122" s="1"/>
  <c r="F32" i="122" s="1"/>
  <c r="F19" i="122"/>
  <c r="F18" i="122"/>
  <c r="F17" i="122"/>
  <c r="F16" i="122"/>
  <c r="D15" i="122"/>
  <c r="B10" i="122"/>
  <c r="F9" i="122"/>
  <c r="B9" i="122"/>
  <c r="F45" i="121"/>
  <c r="F44" i="121"/>
  <c r="F43" i="121"/>
  <c r="A42" i="121"/>
  <c r="F37" i="121"/>
  <c r="F36" i="121"/>
  <c r="F38" i="121" s="1"/>
  <c r="F31" i="121"/>
  <c r="F30" i="121"/>
  <c r="E29" i="121"/>
  <c r="F29" i="121" s="1"/>
  <c r="E28" i="121"/>
  <c r="F28" i="121" s="1"/>
  <c r="E27" i="121"/>
  <c r="F27" i="121" s="1"/>
  <c r="E26" i="121"/>
  <c r="F26" i="121" s="1"/>
  <c r="E25" i="121"/>
  <c r="F25" i="121" s="1"/>
  <c r="E24" i="121"/>
  <c r="F24" i="121" s="1"/>
  <c r="F32" i="121" s="1"/>
  <c r="F19" i="121"/>
  <c r="F18" i="121"/>
  <c r="F17" i="121"/>
  <c r="F16" i="121"/>
  <c r="D15" i="121"/>
  <c r="B10" i="121"/>
  <c r="F9" i="121"/>
  <c r="B9" i="121"/>
  <c r="F45" i="120"/>
  <c r="F44" i="120"/>
  <c r="F43" i="120"/>
  <c r="F37" i="120"/>
  <c r="F36" i="120"/>
  <c r="F38" i="120" s="1"/>
  <c r="F31" i="120"/>
  <c r="F30" i="120"/>
  <c r="E29" i="120"/>
  <c r="F29" i="120" s="1"/>
  <c r="E28" i="120"/>
  <c r="F28" i="120" s="1"/>
  <c r="E27" i="120"/>
  <c r="F27" i="120" s="1"/>
  <c r="E26" i="120"/>
  <c r="F26" i="120" s="1"/>
  <c r="E25" i="120"/>
  <c r="F25" i="120" s="1"/>
  <c r="E24" i="120"/>
  <c r="F24" i="120" s="1"/>
  <c r="F32" i="120" s="1"/>
  <c r="F19" i="120"/>
  <c r="F18" i="120"/>
  <c r="E17" i="120"/>
  <c r="F17" i="120" s="1"/>
  <c r="E16" i="120"/>
  <c r="F16" i="120" s="1"/>
  <c r="D15" i="120"/>
  <c r="B10" i="120"/>
  <c r="F9" i="120"/>
  <c r="B9" i="120"/>
  <c r="F45" i="118"/>
  <c r="F44" i="118"/>
  <c r="F43" i="118"/>
  <c r="A42" i="118"/>
  <c r="F37" i="118"/>
  <c r="F36" i="118"/>
  <c r="F38" i="118" s="1"/>
  <c r="F31" i="118"/>
  <c r="F30" i="118"/>
  <c r="F29" i="118"/>
  <c r="L28" i="118"/>
  <c r="E28" i="118"/>
  <c r="D28" i="118"/>
  <c r="F28" i="118" s="1"/>
  <c r="L27" i="118"/>
  <c r="M27" i="118" s="1"/>
  <c r="E27" i="118"/>
  <c r="D27" i="118"/>
  <c r="F27" i="118" s="1"/>
  <c r="L26" i="118"/>
  <c r="M26" i="118" s="1"/>
  <c r="E26" i="118"/>
  <c r="D26" i="118"/>
  <c r="F26" i="118" s="1"/>
  <c r="E25" i="118"/>
  <c r="F25" i="118" s="1"/>
  <c r="E24" i="118"/>
  <c r="D24" i="118"/>
  <c r="F24" i="118" s="1"/>
  <c r="F32" i="118" s="1"/>
  <c r="F19" i="118"/>
  <c r="F18" i="118"/>
  <c r="E17" i="118"/>
  <c r="F17" i="118" s="1"/>
  <c r="E16" i="118"/>
  <c r="F16" i="118" s="1"/>
  <c r="D15" i="118"/>
  <c r="B10" i="118"/>
  <c r="F9" i="118"/>
  <c r="B9" i="118"/>
  <c r="F45" i="117"/>
  <c r="F44" i="117"/>
  <c r="F43" i="117"/>
  <c r="A42" i="117"/>
  <c r="F37" i="117"/>
  <c r="F36" i="117"/>
  <c r="F38" i="117" s="1"/>
  <c r="F31" i="117"/>
  <c r="F30" i="117"/>
  <c r="F29" i="117"/>
  <c r="F28" i="117"/>
  <c r="E27" i="117"/>
  <c r="F27" i="117" s="1"/>
  <c r="L26" i="117"/>
  <c r="E26" i="117"/>
  <c r="D26" i="117"/>
  <c r="F26" i="117" s="1"/>
  <c r="L25" i="117"/>
  <c r="M25" i="117" s="1"/>
  <c r="E25" i="117"/>
  <c r="D25" i="117"/>
  <c r="F25" i="117" s="1"/>
  <c r="E24" i="117"/>
  <c r="D24" i="117"/>
  <c r="F24" i="117" s="1"/>
  <c r="F32" i="117" s="1"/>
  <c r="F19" i="117"/>
  <c r="F18" i="117"/>
  <c r="F17" i="117"/>
  <c r="E16" i="117"/>
  <c r="F16" i="117" s="1"/>
  <c r="D15" i="117"/>
  <c r="B10" i="117"/>
  <c r="F9" i="117"/>
  <c r="B9" i="117"/>
  <c r="F45" i="116"/>
  <c r="F44" i="116"/>
  <c r="F43" i="116"/>
  <c r="A42" i="116"/>
  <c r="F37" i="116"/>
  <c r="F36" i="116"/>
  <c r="F38" i="116" s="1"/>
  <c r="F31" i="116"/>
  <c r="F30" i="116"/>
  <c r="F29" i="116"/>
  <c r="J28" i="116"/>
  <c r="L28" i="116" s="1"/>
  <c r="E28" i="116"/>
  <c r="D28" i="116"/>
  <c r="F28" i="116" s="1"/>
  <c r="L27" i="116"/>
  <c r="M27" i="116" s="1"/>
  <c r="E27" i="116"/>
  <c r="D27" i="116"/>
  <c r="F27" i="116" s="1"/>
  <c r="L26" i="116"/>
  <c r="M26" i="116" s="1"/>
  <c r="E26" i="116"/>
  <c r="D26" i="116"/>
  <c r="F26" i="116" s="1"/>
  <c r="E25" i="116"/>
  <c r="F25" i="116" s="1"/>
  <c r="E24" i="116"/>
  <c r="D24" i="116"/>
  <c r="F24" i="116" s="1"/>
  <c r="F32" i="116" s="1"/>
  <c r="F19" i="116"/>
  <c r="F18" i="116"/>
  <c r="E17" i="116"/>
  <c r="F17" i="116" s="1"/>
  <c r="E16" i="116"/>
  <c r="F16" i="116" s="1"/>
  <c r="D15" i="116"/>
  <c r="B10" i="116"/>
  <c r="F9" i="116"/>
  <c r="B9" i="116"/>
  <c r="F45" i="115"/>
  <c r="F44" i="115"/>
  <c r="F43" i="115"/>
  <c r="A42" i="115"/>
  <c r="F37" i="115"/>
  <c r="F36" i="115"/>
  <c r="F38" i="115" s="1"/>
  <c r="F31" i="115"/>
  <c r="F30" i="115"/>
  <c r="F29" i="115"/>
  <c r="F28" i="115"/>
  <c r="J27" i="115"/>
  <c r="L27" i="115" s="1"/>
  <c r="E27" i="115"/>
  <c r="D27" i="115"/>
  <c r="F27" i="115" s="1"/>
  <c r="L26" i="115"/>
  <c r="M26" i="115" s="1"/>
  <c r="D26" i="115" s="1"/>
  <c r="F26" i="115" s="1"/>
  <c r="F32" i="115" s="1"/>
  <c r="E26" i="115"/>
  <c r="E25" i="115"/>
  <c r="F25" i="115" s="1"/>
  <c r="E24" i="115"/>
  <c r="D24" i="115"/>
  <c r="F24" i="115" s="1"/>
  <c r="F19" i="115"/>
  <c r="F18" i="115"/>
  <c r="E17" i="115"/>
  <c r="F17" i="115" s="1"/>
  <c r="E16" i="115"/>
  <c r="F16" i="115" s="1"/>
  <c r="D15" i="115"/>
  <c r="B10" i="115"/>
  <c r="F9" i="115"/>
  <c r="B9" i="115"/>
  <c r="F45" i="114"/>
  <c r="F44" i="114"/>
  <c r="F43" i="114"/>
  <c r="A42" i="114"/>
  <c r="F37" i="114"/>
  <c r="F36" i="114"/>
  <c r="F38" i="114" s="1"/>
  <c r="F31" i="114"/>
  <c r="F30" i="114"/>
  <c r="F29" i="114"/>
  <c r="F28" i="114"/>
  <c r="F27" i="114"/>
  <c r="F26" i="114"/>
  <c r="E25" i="114"/>
  <c r="F25" i="114" s="1"/>
  <c r="E24" i="114"/>
  <c r="F24" i="114" s="1"/>
  <c r="F32" i="114" s="1"/>
  <c r="F19" i="114"/>
  <c r="F18" i="114"/>
  <c r="F17" i="114"/>
  <c r="E16" i="114"/>
  <c r="F16" i="114" s="1"/>
  <c r="D15" i="114"/>
  <c r="B10" i="114"/>
  <c r="F9" i="114"/>
  <c r="B9" i="114"/>
  <c r="F45" i="113"/>
  <c r="F44" i="113"/>
  <c r="F43" i="113"/>
  <c r="A42" i="113"/>
  <c r="F37" i="113"/>
  <c r="F36" i="113"/>
  <c r="F38" i="113" s="1"/>
  <c r="F31" i="113"/>
  <c r="F30" i="113"/>
  <c r="F29" i="113"/>
  <c r="F28" i="113"/>
  <c r="K27" i="113"/>
  <c r="M27" i="113" s="1"/>
  <c r="E27" i="113"/>
  <c r="D27" i="113"/>
  <c r="F27" i="113" s="1"/>
  <c r="M26" i="113"/>
  <c r="N26" i="113" s="1"/>
  <c r="E26" i="113"/>
  <c r="D26" i="113"/>
  <c r="F26" i="113" s="1"/>
  <c r="E25" i="113"/>
  <c r="F25" i="113" s="1"/>
  <c r="E24" i="113"/>
  <c r="D24" i="113"/>
  <c r="F24" i="113" s="1"/>
  <c r="F32" i="113" s="1"/>
  <c r="F19" i="113"/>
  <c r="F18" i="113"/>
  <c r="F17" i="113"/>
  <c r="E16" i="113"/>
  <c r="F16" i="113" s="1"/>
  <c r="D15" i="113"/>
  <c r="B10" i="113"/>
  <c r="F9" i="113"/>
  <c r="B9" i="113"/>
  <c r="F45" i="112"/>
  <c r="F44" i="112"/>
  <c r="F43" i="112"/>
  <c r="A42" i="112"/>
  <c r="F37" i="112"/>
  <c r="F36" i="112"/>
  <c r="F38" i="112" s="1"/>
  <c r="F31" i="112"/>
  <c r="F30" i="112"/>
  <c r="F29" i="112"/>
  <c r="F28" i="112"/>
  <c r="F27" i="112"/>
  <c r="F26" i="112"/>
  <c r="F25" i="112"/>
  <c r="E24" i="112"/>
  <c r="F24" i="112" s="1"/>
  <c r="F32" i="112" s="1"/>
  <c r="F19" i="112"/>
  <c r="F18" i="112"/>
  <c r="F17" i="112"/>
  <c r="E16" i="112"/>
  <c r="F16" i="112" s="1"/>
  <c r="D15" i="112"/>
  <c r="B10" i="112"/>
  <c r="F9" i="112"/>
  <c r="B9" i="112"/>
  <c r="F32" i="126" l="1"/>
  <c r="H42" i="126"/>
  <c r="J16" i="126"/>
  <c r="I16" i="126"/>
  <c r="H16" i="126"/>
  <c r="H15" i="126"/>
  <c r="H32" i="126"/>
  <c r="H38" i="126"/>
  <c r="H42" i="127"/>
  <c r="J29" i="127"/>
  <c r="I29" i="127"/>
  <c r="H29" i="127"/>
  <c r="J28" i="127"/>
  <c r="I28" i="127"/>
  <c r="H28" i="127"/>
  <c r="J27" i="127"/>
  <c r="I27" i="127"/>
  <c r="H27" i="127"/>
  <c r="J26" i="127"/>
  <c r="I26" i="127"/>
  <c r="H26" i="127"/>
  <c r="J25" i="127"/>
  <c r="I25" i="127"/>
  <c r="H25" i="127"/>
  <c r="J24" i="127"/>
  <c r="I24" i="127"/>
  <c r="H24" i="127"/>
  <c r="J18" i="127"/>
  <c r="I18" i="127"/>
  <c r="H18" i="127"/>
  <c r="J17" i="127"/>
  <c r="I17" i="127"/>
  <c r="H17" i="127"/>
  <c r="J16" i="127"/>
  <c r="I16" i="127"/>
  <c r="H16" i="127"/>
  <c r="H15" i="127"/>
  <c r="H32" i="127"/>
  <c r="H38" i="127"/>
  <c r="F46" i="127"/>
  <c r="I42" i="127"/>
  <c r="H42" i="128"/>
  <c r="J29" i="128"/>
  <c r="I29" i="128"/>
  <c r="H29" i="128"/>
  <c r="J28" i="128"/>
  <c r="I28" i="128"/>
  <c r="H28" i="128"/>
  <c r="J27" i="128"/>
  <c r="I27" i="128"/>
  <c r="H27" i="128"/>
  <c r="J26" i="128"/>
  <c r="I26" i="128"/>
  <c r="H26" i="128"/>
  <c r="J25" i="128"/>
  <c r="I25" i="128"/>
  <c r="H25" i="128"/>
  <c r="J24" i="128"/>
  <c r="I24" i="128"/>
  <c r="H24" i="128"/>
  <c r="J18" i="128"/>
  <c r="I18" i="128"/>
  <c r="H18" i="128"/>
  <c r="J17" i="128"/>
  <c r="I17" i="128"/>
  <c r="H17" i="128"/>
  <c r="J16" i="128"/>
  <c r="I16" i="128"/>
  <c r="H16" i="128"/>
  <c r="H15" i="128"/>
  <c r="H32" i="128"/>
  <c r="H38" i="128"/>
  <c r="F46" i="128"/>
  <c r="I42" i="128"/>
  <c r="H42" i="129"/>
  <c r="J29" i="129"/>
  <c r="I29" i="129"/>
  <c r="H29" i="129"/>
  <c r="J28" i="129"/>
  <c r="I28" i="129"/>
  <c r="H28" i="129"/>
  <c r="J27" i="129"/>
  <c r="I27" i="129"/>
  <c r="H27" i="129"/>
  <c r="M26" i="129"/>
  <c r="P26" i="129" s="1"/>
  <c r="J26" i="129"/>
  <c r="I26" i="129"/>
  <c r="H26" i="129"/>
  <c r="J25" i="129"/>
  <c r="I25" i="129"/>
  <c r="H25" i="129"/>
  <c r="J24" i="129"/>
  <c r="I24" i="129"/>
  <c r="H24" i="129"/>
  <c r="J18" i="129"/>
  <c r="I18" i="129"/>
  <c r="H18" i="129"/>
  <c r="J17" i="129"/>
  <c r="I17" i="129"/>
  <c r="H17" i="129"/>
  <c r="J16" i="129"/>
  <c r="I16" i="129"/>
  <c r="H16" i="129"/>
  <c r="H15" i="129"/>
  <c r="H32" i="129"/>
  <c r="H38" i="129"/>
  <c r="H42" i="130"/>
  <c r="J29" i="130"/>
  <c r="I29" i="130"/>
  <c r="H29" i="130"/>
  <c r="J28" i="130"/>
  <c r="I28" i="130"/>
  <c r="H28" i="130"/>
  <c r="J27" i="130"/>
  <c r="I27" i="130"/>
  <c r="H27" i="130"/>
  <c r="J26" i="130"/>
  <c r="I26" i="130"/>
  <c r="H26" i="130"/>
  <c r="M25" i="130"/>
  <c r="P25" i="130" s="1"/>
  <c r="J25" i="130"/>
  <c r="I25" i="130"/>
  <c r="H25" i="130"/>
  <c r="J24" i="130"/>
  <c r="I24" i="130"/>
  <c r="H24" i="130"/>
  <c r="J18" i="130"/>
  <c r="I18" i="130"/>
  <c r="H18" i="130"/>
  <c r="J17" i="130"/>
  <c r="I17" i="130"/>
  <c r="H17" i="130"/>
  <c r="J16" i="130"/>
  <c r="I16" i="130"/>
  <c r="H16" i="130"/>
  <c r="H15" i="130"/>
  <c r="H32" i="130"/>
  <c r="H38" i="130"/>
  <c r="F46" i="130"/>
  <c r="I42" i="130"/>
  <c r="H42" i="131"/>
  <c r="J29" i="131"/>
  <c r="I29" i="131"/>
  <c r="H29" i="131"/>
  <c r="J28" i="131"/>
  <c r="I28" i="131"/>
  <c r="H28" i="131"/>
  <c r="J27" i="131"/>
  <c r="I27" i="131"/>
  <c r="H27" i="131"/>
  <c r="J26" i="131"/>
  <c r="I26" i="131"/>
  <c r="H26" i="131"/>
  <c r="J25" i="131"/>
  <c r="I25" i="131"/>
  <c r="H25" i="131"/>
  <c r="J24" i="131"/>
  <c r="I24" i="131"/>
  <c r="H24" i="131"/>
  <c r="J18" i="131"/>
  <c r="I18" i="131"/>
  <c r="H18" i="131"/>
  <c r="J17" i="131"/>
  <c r="I17" i="131"/>
  <c r="H17" i="131"/>
  <c r="J16" i="131"/>
  <c r="I16" i="131"/>
  <c r="H16" i="131"/>
  <c r="H15" i="131"/>
  <c r="H32" i="131"/>
  <c r="H38" i="131"/>
  <c r="F46" i="131"/>
  <c r="I42" i="131"/>
  <c r="H42" i="132"/>
  <c r="J29" i="132"/>
  <c r="I29" i="132"/>
  <c r="H29" i="132"/>
  <c r="J28" i="132"/>
  <c r="I28" i="132"/>
  <c r="H28" i="132"/>
  <c r="J27" i="132"/>
  <c r="I27" i="132"/>
  <c r="H27" i="132"/>
  <c r="J26" i="132"/>
  <c r="I26" i="132"/>
  <c r="H26" i="132"/>
  <c r="J25" i="132"/>
  <c r="I25" i="132"/>
  <c r="H25" i="132"/>
  <c r="J24" i="132"/>
  <c r="I24" i="132"/>
  <c r="H24" i="132"/>
  <c r="J18" i="132"/>
  <c r="I18" i="132"/>
  <c r="H18" i="132"/>
  <c r="J17" i="132"/>
  <c r="I17" i="132"/>
  <c r="H17" i="132"/>
  <c r="J16" i="132"/>
  <c r="I16" i="132"/>
  <c r="H16" i="132"/>
  <c r="H15" i="132"/>
  <c r="H32" i="132"/>
  <c r="H38" i="132"/>
  <c r="F46" i="132"/>
  <c r="I42" i="132"/>
  <c r="H42" i="133"/>
  <c r="J29" i="133"/>
  <c r="I29" i="133"/>
  <c r="H29" i="133"/>
  <c r="J28" i="133"/>
  <c r="I28" i="133"/>
  <c r="H28" i="133"/>
  <c r="J27" i="133"/>
  <c r="I27" i="133"/>
  <c r="H27" i="133"/>
  <c r="J26" i="133"/>
  <c r="I26" i="133"/>
  <c r="H26" i="133"/>
  <c r="J25" i="133"/>
  <c r="I25" i="133"/>
  <c r="H25" i="133"/>
  <c r="J24" i="133"/>
  <c r="I24" i="133"/>
  <c r="H24" i="133"/>
  <c r="J18" i="133"/>
  <c r="I18" i="133"/>
  <c r="H18" i="133"/>
  <c r="J17" i="133"/>
  <c r="I17" i="133"/>
  <c r="H17" i="133"/>
  <c r="J16" i="133"/>
  <c r="I16" i="133"/>
  <c r="H16" i="133"/>
  <c r="H15" i="133"/>
  <c r="H32" i="133"/>
  <c r="H38" i="133"/>
  <c r="H42" i="125"/>
  <c r="J25" i="125"/>
  <c r="I25" i="125"/>
  <c r="H25" i="125"/>
  <c r="J24" i="125"/>
  <c r="I24" i="125"/>
  <c r="H24" i="125"/>
  <c r="J16" i="125"/>
  <c r="I16" i="125"/>
  <c r="H16" i="125"/>
  <c r="H15" i="125"/>
  <c r="H32" i="125"/>
  <c r="H38" i="125"/>
  <c r="E15" i="132" l="1"/>
  <c r="E15" i="131"/>
  <c r="E15" i="130"/>
  <c r="E15" i="128"/>
  <c r="E15" i="127"/>
  <c r="I15" i="127" l="1"/>
  <c r="F15" i="127"/>
  <c r="I15" i="128"/>
  <c r="F15" i="128"/>
  <c r="I15" i="130"/>
  <c r="F15" i="130"/>
  <c r="F15" i="131"/>
  <c r="I15" i="131"/>
  <c r="F15" i="132"/>
  <c r="I15" i="132"/>
  <c r="F20" i="132" l="1"/>
  <c r="J15" i="132"/>
  <c r="F20" i="131"/>
  <c r="J15" i="131"/>
  <c r="F20" i="130"/>
  <c r="J15" i="130"/>
  <c r="F20" i="128"/>
  <c r="J15" i="128"/>
  <c r="F20" i="127"/>
  <c r="J15" i="127"/>
  <c r="H20" i="127" l="1"/>
  <c r="F48" i="127"/>
  <c r="F263" i="1" s="1"/>
  <c r="G263" i="1" s="1"/>
  <c r="H20" i="128"/>
  <c r="F48" i="128"/>
  <c r="F264" i="1" s="1"/>
  <c r="G264" i="1" s="1"/>
  <c r="H20" i="130"/>
  <c r="F48" i="130"/>
  <c r="H20" i="131"/>
  <c r="F48" i="131"/>
  <c r="H20" i="132"/>
  <c r="F48" i="132"/>
  <c r="H48" i="132" l="1"/>
  <c r="F206" i="1"/>
  <c r="H48" i="131"/>
  <c r="F205" i="1"/>
  <c r="H48" i="130"/>
  <c r="F204" i="1"/>
  <c r="H48" i="128"/>
  <c r="F202" i="1"/>
  <c r="H48" i="127"/>
  <c r="F201" i="1"/>
  <c r="B10" i="111"/>
  <c r="F9" i="111"/>
  <c r="B9" i="111"/>
  <c r="F45" i="111"/>
  <c r="F44" i="111"/>
  <c r="F43" i="111"/>
  <c r="D42" i="111"/>
  <c r="F42" i="111" s="1"/>
  <c r="A42" i="111"/>
  <c r="F37" i="111"/>
  <c r="F36" i="111"/>
  <c r="F38" i="111" s="1"/>
  <c r="F31" i="111"/>
  <c r="F30" i="111"/>
  <c r="F29" i="111"/>
  <c r="F28" i="111"/>
  <c r="F27" i="111"/>
  <c r="F26" i="111"/>
  <c r="E25" i="111"/>
  <c r="F25" i="111" s="1"/>
  <c r="E24" i="111"/>
  <c r="F24" i="111" s="1"/>
  <c r="F19" i="111"/>
  <c r="F18" i="111"/>
  <c r="F17" i="111"/>
  <c r="L16" i="111"/>
  <c r="E16" i="111"/>
  <c r="F16" i="111" s="1"/>
  <c r="D15" i="111"/>
  <c r="H10" i="111"/>
  <c r="F32" i="111" l="1"/>
  <c r="H32" i="111" s="1"/>
  <c r="H42" i="111"/>
  <c r="J25" i="111"/>
  <c r="I25" i="111"/>
  <c r="H25" i="111"/>
  <c r="J24" i="111"/>
  <c r="I24" i="111"/>
  <c r="H24" i="111"/>
  <c r="J16" i="111"/>
  <c r="I16" i="111"/>
  <c r="H16" i="111"/>
  <c r="H15" i="111"/>
  <c r="M16" i="111"/>
  <c r="H38" i="111"/>
  <c r="F46" i="111"/>
  <c r="I42" i="111"/>
  <c r="E15" i="111" l="1"/>
  <c r="I15" i="111" l="1"/>
  <c r="F15" i="111"/>
  <c r="F20" i="111" l="1"/>
  <c r="J15" i="111"/>
  <c r="H20" i="111" l="1"/>
  <c r="F48" i="111"/>
  <c r="H48" i="111" l="1"/>
  <c r="F198" i="1"/>
  <c r="F170" i="1"/>
  <c r="F60" i="1"/>
  <c r="E22" i="45"/>
  <c r="E20" i="45"/>
  <c r="E19" i="45"/>
  <c r="E25" i="110" l="1"/>
  <c r="E24" i="110"/>
  <c r="B9" i="110"/>
  <c r="F14" i="110"/>
  <c r="F15" i="110"/>
  <c r="F16" i="110"/>
  <c r="F17" i="110"/>
  <c r="F18" i="110"/>
  <c r="F19" i="110" s="1"/>
  <c r="F24" i="110"/>
  <c r="F25" i="110"/>
  <c r="F34" i="110"/>
  <c r="F36" i="110" s="1"/>
  <c r="F35" i="110"/>
  <c r="D40" i="110"/>
  <c r="F40" i="110"/>
  <c r="F41" i="110"/>
  <c r="F42" i="110"/>
  <c r="F43" i="110"/>
  <c r="F44" i="110"/>
  <c r="I13" i="4"/>
  <c r="A132" i="46"/>
  <c r="A188" i="46"/>
  <c r="B188" i="46"/>
  <c r="A189" i="46"/>
  <c r="B189" i="46"/>
  <c r="A190" i="46"/>
  <c r="B190" i="46"/>
  <c r="C190" i="46"/>
  <c r="B131" i="46"/>
  <c r="A131" i="46"/>
  <c r="B130" i="46"/>
  <c r="A130" i="46"/>
  <c r="A8" i="46"/>
  <c r="D366" i="44"/>
  <c r="C365" i="44"/>
  <c r="C366" i="44"/>
  <c r="C372" i="44"/>
  <c r="D372" i="44"/>
  <c r="D377" i="44"/>
  <c r="C376" i="44"/>
  <c r="C377" i="44"/>
  <c r="C379" i="44"/>
  <c r="D379" i="44"/>
  <c r="C381" i="44"/>
  <c r="D381" i="44"/>
  <c r="D387" i="44"/>
  <c r="C387" i="44"/>
  <c r="C391" i="44"/>
  <c r="D391" i="44"/>
  <c r="C394" i="44"/>
  <c r="D394" i="44"/>
  <c r="C400" i="44"/>
  <c r="D400" i="44"/>
  <c r="C404" i="44"/>
  <c r="D404" i="44"/>
  <c r="C406" i="44"/>
  <c r="D406" i="44"/>
  <c r="C410" i="44"/>
  <c r="D410" i="44"/>
  <c r="C412" i="44"/>
  <c r="C413" i="44"/>
  <c r="D413" i="44"/>
  <c r="C422" i="44"/>
  <c r="D422" i="44"/>
  <c r="C427" i="44"/>
  <c r="C428" i="44"/>
  <c r="D428" i="44"/>
  <c r="C430" i="44"/>
  <c r="D430" i="44"/>
  <c r="C432" i="44"/>
  <c r="D432" i="44"/>
  <c r="C434" i="44"/>
  <c r="D434" i="44"/>
  <c r="C436" i="44"/>
  <c r="D436" i="44"/>
  <c r="D438" i="44"/>
  <c r="C438" i="44"/>
  <c r="C440" i="44"/>
  <c r="D440" i="44"/>
  <c r="C442" i="44"/>
  <c r="D442" i="44"/>
  <c r="C444" i="44"/>
  <c r="C445" i="44"/>
  <c r="D445" i="44"/>
  <c r="C459" i="44"/>
  <c r="C460" i="44"/>
  <c r="D460" i="44"/>
  <c r="C462" i="44"/>
  <c r="D462" i="44"/>
  <c r="C464" i="44"/>
  <c r="D464" i="44"/>
  <c r="C466" i="44"/>
  <c r="D466" i="44"/>
  <c r="C471" i="44"/>
  <c r="D471" i="44"/>
  <c r="C474" i="44"/>
  <c r="D474" i="44"/>
  <c r="C477" i="44"/>
  <c r="D477" i="44"/>
  <c r="C480" i="44"/>
  <c r="D480" i="44"/>
  <c r="C484" i="44"/>
  <c r="D484" i="44"/>
  <c r="C488" i="44"/>
  <c r="D488" i="44"/>
  <c r="C490" i="44"/>
  <c r="D490" i="44"/>
  <c r="C494" i="44"/>
  <c r="C495" i="44"/>
  <c r="D495" i="44"/>
  <c r="D509" i="44"/>
  <c r="C509" i="44"/>
  <c r="C521" i="44"/>
  <c r="C522" i="44"/>
  <c r="D522" i="44"/>
  <c r="C524" i="44"/>
  <c r="D524" i="44"/>
  <c r="C527" i="44"/>
  <c r="D527" i="44"/>
  <c r="D530" i="44"/>
  <c r="C529" i="44"/>
  <c r="C530" i="44"/>
  <c r="B530" i="44"/>
  <c r="B529" i="44"/>
  <c r="B527" i="44"/>
  <c r="B524" i="44"/>
  <c r="B522" i="44"/>
  <c r="B521" i="44"/>
  <c r="B509" i="44"/>
  <c r="B495" i="44"/>
  <c r="B494" i="44"/>
  <c r="B490" i="44"/>
  <c r="B488" i="44"/>
  <c r="B484" i="44"/>
  <c r="B483" i="44"/>
  <c r="B480" i="44"/>
  <c r="B477" i="44"/>
  <c r="B474" i="44"/>
  <c r="B471" i="44"/>
  <c r="B470" i="44"/>
  <c r="B466" i="44"/>
  <c r="B464" i="44"/>
  <c r="B462" i="44"/>
  <c r="B460" i="44"/>
  <c r="B459" i="44"/>
  <c r="B445" i="44"/>
  <c r="B444" i="44"/>
  <c r="B442" i="44"/>
  <c r="B440" i="44"/>
  <c r="B438" i="44"/>
  <c r="B436" i="44"/>
  <c r="B434" i="44"/>
  <c r="B432" i="44"/>
  <c r="B430" i="44"/>
  <c r="B428" i="44"/>
  <c r="B427" i="44"/>
  <c r="B422" i="44"/>
  <c r="B413" i="44"/>
  <c r="B412" i="44"/>
  <c r="B410" i="44"/>
  <c r="B406" i="44"/>
  <c r="B404" i="44"/>
  <c r="B400" i="44"/>
  <c r="B394" i="44"/>
  <c r="B393" i="44"/>
  <c r="B391" i="44"/>
  <c r="B387" i="44"/>
  <c r="B381" i="44"/>
  <c r="B379" i="44"/>
  <c r="B377" i="44"/>
  <c r="B376" i="44"/>
  <c r="B372" i="44"/>
  <c r="B366" i="44"/>
  <c r="B365" i="44"/>
  <c r="C540" i="44"/>
  <c r="D540" i="44"/>
  <c r="C544" i="44"/>
  <c r="D544" i="44"/>
  <c r="C547" i="44"/>
  <c r="C548" i="44"/>
  <c r="D548" i="44"/>
  <c r="C552" i="44"/>
  <c r="D552" i="44"/>
  <c r="C555" i="44"/>
  <c r="D555" i="44"/>
  <c r="C567" i="44"/>
  <c r="D567" i="44"/>
  <c r="C571" i="44"/>
  <c r="D571" i="44"/>
  <c r="C575" i="44"/>
  <c r="D575" i="44"/>
  <c r="D581" i="44"/>
  <c r="C580" i="44"/>
  <c r="C581" i="44"/>
  <c r="B581" i="44"/>
  <c r="B580" i="44"/>
  <c r="B575" i="44"/>
  <c r="B571" i="44"/>
  <c r="B567" i="44"/>
  <c r="B555" i="44"/>
  <c r="B552" i="44"/>
  <c r="B548" i="44"/>
  <c r="B547" i="44"/>
  <c r="B544" i="44"/>
  <c r="B540" i="44"/>
  <c r="C539" i="44"/>
  <c r="B539" i="44"/>
  <c r="C535" i="44"/>
  <c r="D535" i="44"/>
  <c r="B535" i="44"/>
  <c r="C534" i="44"/>
  <c r="B534" i="44"/>
  <c r="C533" i="44"/>
  <c r="B533" i="44"/>
  <c r="E582" i="44"/>
  <c r="K582" i="44" s="1"/>
  <c r="K581" i="44"/>
  <c r="E208" i="1" s="1"/>
  <c r="D202" i="46" s="1"/>
  <c r="E579" i="44"/>
  <c r="K579" i="44" s="1"/>
  <c r="E578" i="44"/>
  <c r="K578" i="44" s="1"/>
  <c r="E577" i="44"/>
  <c r="K577" i="44" s="1"/>
  <c r="E576" i="44"/>
  <c r="K576" i="44" s="1"/>
  <c r="K575" i="44"/>
  <c r="E206" i="1" s="1"/>
  <c r="D200" i="46" s="1"/>
  <c r="K574" i="44"/>
  <c r="K573" i="44"/>
  <c r="K572" i="44"/>
  <c r="K571" i="44"/>
  <c r="E205" i="1" s="1"/>
  <c r="D199" i="46" s="1"/>
  <c r="E570" i="44"/>
  <c r="K570" i="44" s="1"/>
  <c r="E569" i="44"/>
  <c r="K569" i="44" s="1"/>
  <c r="E568" i="44"/>
  <c r="K568" i="44" s="1"/>
  <c r="K567" i="44" s="1"/>
  <c r="E204" i="1" s="1"/>
  <c r="K566" i="44"/>
  <c r="J565" i="44"/>
  <c r="K565" i="44" s="1"/>
  <c r="K564" i="44"/>
  <c r="J563" i="44"/>
  <c r="K563" i="44" s="1"/>
  <c r="J562" i="44"/>
  <c r="K562" i="44" s="1"/>
  <c r="K561" i="44"/>
  <c r="K560" i="44"/>
  <c r="J559" i="44"/>
  <c r="K559" i="44" s="1"/>
  <c r="J558" i="44"/>
  <c r="K558" i="44" s="1"/>
  <c r="J557" i="44"/>
  <c r="K557" i="44" s="1"/>
  <c r="K555" i="44" s="1"/>
  <c r="E203" i="1" s="1"/>
  <c r="K556" i="44"/>
  <c r="K554" i="44"/>
  <c r="K553" i="44"/>
  <c r="K552" i="44"/>
  <c r="E202" i="1" s="1"/>
  <c r="D196" i="46" s="1"/>
  <c r="K551" i="44"/>
  <c r="E550" i="44"/>
  <c r="K550" i="44" s="1"/>
  <c r="E549" i="44"/>
  <c r="K549" i="44" s="1"/>
  <c r="K548" i="44"/>
  <c r="E201" i="1" s="1"/>
  <c r="D195" i="46" s="1"/>
  <c r="K546" i="44"/>
  <c r="K545" i="44"/>
  <c r="K544" i="44"/>
  <c r="E199" i="1" s="1"/>
  <c r="D193" i="46" s="1"/>
  <c r="F543" i="44"/>
  <c r="E543" i="44"/>
  <c r="K543" i="44" s="1"/>
  <c r="F542" i="44"/>
  <c r="E542" i="44"/>
  <c r="K542" i="44" s="1"/>
  <c r="F541" i="44"/>
  <c r="E541" i="44"/>
  <c r="K541" i="44" s="1"/>
  <c r="K540" i="44" s="1"/>
  <c r="E198" i="1" s="1"/>
  <c r="K538" i="44"/>
  <c r="K537" i="44"/>
  <c r="K536" i="44"/>
  <c r="D536" i="44"/>
  <c r="K535" i="44"/>
  <c r="E196" i="1" s="1"/>
  <c r="D190" i="46" s="1"/>
  <c r="G206" i="1"/>
  <c r="G205" i="1"/>
  <c r="G202" i="1"/>
  <c r="G201" i="1"/>
  <c r="G204" i="1" l="1"/>
  <c r="D198" i="46"/>
  <c r="D197" i="46"/>
  <c r="G198" i="1"/>
  <c r="D192" i="46"/>
  <c r="D363" i="44"/>
  <c r="C363" i="44"/>
  <c r="B363" i="44"/>
  <c r="D361" i="44"/>
  <c r="C361" i="44"/>
  <c r="B361" i="44"/>
  <c r="C360" i="44"/>
  <c r="B360" i="44"/>
  <c r="K531" i="44"/>
  <c r="K530" i="44"/>
  <c r="E193" i="1" s="1"/>
  <c r="D187" i="46" s="1"/>
  <c r="K528" i="44"/>
  <c r="K527" i="44"/>
  <c r="E191" i="1" s="1"/>
  <c r="K526" i="44"/>
  <c r="K525" i="44"/>
  <c r="K524" i="44"/>
  <c r="E190" i="1" s="1"/>
  <c r="D184" i="46" s="1"/>
  <c r="K523" i="44"/>
  <c r="K522" i="44"/>
  <c r="F520" i="44"/>
  <c r="F519" i="44"/>
  <c r="F518" i="44"/>
  <c r="F517" i="44"/>
  <c r="F516" i="44"/>
  <c r="F508" i="44"/>
  <c r="F507" i="44"/>
  <c r="F506" i="44"/>
  <c r="F505" i="44"/>
  <c r="F504" i="44"/>
  <c r="K491" i="44"/>
  <c r="K490" i="44"/>
  <c r="E183" i="1" s="1"/>
  <c r="K488" i="44"/>
  <c r="E182" i="1" s="1"/>
  <c r="K485" i="44"/>
  <c r="K484" i="44"/>
  <c r="E181" i="1" s="1"/>
  <c r="E179" i="1"/>
  <c r="D173" i="46" s="1"/>
  <c r="K478" i="44"/>
  <c r="K477" i="44" s="1"/>
  <c r="E178" i="1" s="1"/>
  <c r="D172" i="46" s="1"/>
  <c r="K475" i="44"/>
  <c r="K474" i="44" s="1"/>
  <c r="E177" i="1" s="1"/>
  <c r="D171" i="46" s="1"/>
  <c r="K472" i="44"/>
  <c r="K471" i="44" s="1"/>
  <c r="E176" i="1" s="1"/>
  <c r="D170" i="46" s="1"/>
  <c r="K467" i="44"/>
  <c r="K466" i="44"/>
  <c r="E173" i="1" s="1"/>
  <c r="D167" i="46" s="1"/>
  <c r="K464" i="44"/>
  <c r="E172" i="1" s="1"/>
  <c r="K463" i="44"/>
  <c r="K462" i="44"/>
  <c r="E171" i="1" s="1"/>
  <c r="D165" i="46" s="1"/>
  <c r="K461" i="44"/>
  <c r="K460" i="44"/>
  <c r="E170" i="1" s="1"/>
  <c r="D164" i="46" s="1"/>
  <c r="F458" i="44"/>
  <c r="F457" i="44"/>
  <c r="F456" i="44"/>
  <c r="F455" i="44"/>
  <c r="F454" i="44"/>
  <c r="K443" i="44"/>
  <c r="K442" i="44" s="1"/>
  <c r="E166" i="1" s="1"/>
  <c r="D160" i="46" s="1"/>
  <c r="K441" i="44"/>
  <c r="K440" i="44"/>
  <c r="E165" i="1" s="1"/>
  <c r="D159" i="46" s="1"/>
  <c r="K439" i="44"/>
  <c r="K438" i="44"/>
  <c r="E164" i="1" s="1"/>
  <c r="D158" i="46" s="1"/>
  <c r="K436" i="44"/>
  <c r="E163" i="1" s="1"/>
  <c r="D157" i="46" s="1"/>
  <c r="K434" i="44"/>
  <c r="E162" i="1" s="1"/>
  <c r="D156" i="46" s="1"/>
  <c r="K433" i="44"/>
  <c r="K432" i="44"/>
  <c r="E161" i="1" s="1"/>
  <c r="D155" i="46" s="1"/>
  <c r="K431" i="44"/>
  <c r="K430" i="44"/>
  <c r="E160" i="1" s="1"/>
  <c r="D154" i="46" s="1"/>
  <c r="K429" i="44"/>
  <c r="K428" i="44"/>
  <c r="E159" i="1" s="1"/>
  <c r="D153" i="46" s="1"/>
  <c r="K425" i="44"/>
  <c r="K423" i="44"/>
  <c r="K422" i="44" s="1"/>
  <c r="E157" i="1"/>
  <c r="D151" i="46" s="1"/>
  <c r="K410" i="44"/>
  <c r="K409" i="44"/>
  <c r="K407" i="44"/>
  <c r="K406" i="44"/>
  <c r="K405" i="44"/>
  <c r="K404" i="44"/>
  <c r="K400" i="44"/>
  <c r="K398" i="44"/>
  <c r="K397" i="44"/>
  <c r="K396" i="44"/>
  <c r="K395" i="44"/>
  <c r="K394" i="44" s="1"/>
  <c r="E454" i="44" s="1"/>
  <c r="K392" i="44"/>
  <c r="K391" i="44" s="1"/>
  <c r="E148" i="1" s="1"/>
  <c r="D142" i="46" s="1"/>
  <c r="K390" i="44"/>
  <c r="K389" i="44"/>
  <c r="K388" i="44"/>
  <c r="K387" i="44" s="1"/>
  <c r="E147" i="1" s="1"/>
  <c r="K385" i="44"/>
  <c r="K384" i="44"/>
  <c r="K383" i="44"/>
  <c r="K382" i="44"/>
  <c r="K381" i="44" s="1"/>
  <c r="E146" i="1" s="1"/>
  <c r="K380" i="44"/>
  <c r="K379" i="44"/>
  <c r="E145" i="1" s="1"/>
  <c r="D139" i="46" s="1"/>
  <c r="K375" i="44"/>
  <c r="E374" i="44"/>
  <c r="K374" i="44" s="1"/>
  <c r="K368" i="44"/>
  <c r="K364" i="44"/>
  <c r="K363" i="44"/>
  <c r="E139" i="1" s="1"/>
  <c r="D133" i="46" s="1"/>
  <c r="K362" i="44"/>
  <c r="K361" i="44"/>
  <c r="E138" i="1" s="1"/>
  <c r="D132" i="46" s="1"/>
  <c r="C359" i="44"/>
  <c r="B359" i="44"/>
  <c r="G170" i="1"/>
  <c r="D185" i="46" l="1"/>
  <c r="D177" i="46"/>
  <c r="D176" i="46"/>
  <c r="D175" i="46"/>
  <c r="D166" i="46"/>
  <c r="D141" i="46"/>
  <c r="D140" i="46"/>
  <c r="E189" i="1"/>
  <c r="D183" i="46" s="1"/>
  <c r="E150" i="1"/>
  <c r="D144" i="46" s="1"/>
  <c r="E455" i="44"/>
  <c r="E151" i="1"/>
  <c r="D145" i="46" s="1"/>
  <c r="E456" i="44"/>
  <c r="E152" i="1"/>
  <c r="D146" i="46" s="1"/>
  <c r="E457" i="44"/>
  <c r="E153" i="1"/>
  <c r="D147" i="46" s="1"/>
  <c r="E458" i="44"/>
  <c r="E154" i="1"/>
  <c r="D148" i="46" s="1"/>
  <c r="K378" i="44"/>
  <c r="K377" i="44" s="1"/>
  <c r="E144" i="1" s="1"/>
  <c r="D138" i="46" s="1"/>
  <c r="E373" i="44"/>
  <c r="K373" i="44" s="1"/>
  <c r="K372" i="44" s="1"/>
  <c r="E142" i="1" s="1"/>
  <c r="D136" i="46" s="1"/>
  <c r="K367" i="44"/>
  <c r="E504" i="44"/>
  <c r="K504" i="44" s="1"/>
  <c r="K454" i="44"/>
  <c r="E505" i="44"/>
  <c r="K505" i="44" s="1"/>
  <c r="K455" i="44"/>
  <c r="E506" i="44"/>
  <c r="K506" i="44" s="1"/>
  <c r="K456" i="44"/>
  <c r="E507" i="44"/>
  <c r="K507" i="44" s="1"/>
  <c r="K457" i="44"/>
  <c r="E508" i="44"/>
  <c r="K508" i="44" s="1"/>
  <c r="K458" i="44"/>
  <c r="K414" i="44"/>
  <c r="K366" i="44" l="1"/>
  <c r="E141" i="1" s="1"/>
  <c r="D135" i="46" s="1"/>
  <c r="K413" i="44"/>
  <c r="K446" i="44"/>
  <c r="K445" i="44" s="1"/>
  <c r="E168" i="1" s="1"/>
  <c r="D162" i="46" s="1"/>
  <c r="E520" i="44"/>
  <c r="K520" i="44" s="1"/>
  <c r="E519" i="44"/>
  <c r="K519" i="44" s="1"/>
  <c r="E518" i="44"/>
  <c r="K518" i="44" s="1"/>
  <c r="E517" i="44"/>
  <c r="K517" i="44" s="1"/>
  <c r="E516" i="44"/>
  <c r="K516" i="44" s="1"/>
  <c r="E156" i="1" l="1"/>
  <c r="D150" i="46" s="1"/>
  <c r="K510" i="44"/>
  <c r="K496" i="44"/>
  <c r="K495" i="44" l="1"/>
  <c r="E186" i="1" s="1"/>
  <c r="D180" i="46" s="1"/>
  <c r="K509" i="44"/>
  <c r="E187" i="1" s="1"/>
  <c r="D181" i="46" s="1"/>
  <c r="K107" i="45" l="1"/>
  <c r="K87" i="45"/>
  <c r="K88" i="45"/>
  <c r="E24" i="80" l="1"/>
  <c r="E41" i="45" l="1"/>
  <c r="E26" i="14" s="1"/>
  <c r="E47" i="45"/>
  <c r="E48" i="45"/>
  <c r="E24" i="136" s="1"/>
  <c r="F24" i="136" s="1"/>
  <c r="E49" i="45"/>
  <c r="E50" i="45"/>
  <c r="E51" i="45"/>
  <c r="E25" i="72" s="1"/>
  <c r="E52" i="45"/>
  <c r="E25" i="42" s="1"/>
  <c r="E53" i="45"/>
  <c r="E54" i="45"/>
  <c r="E55" i="45"/>
  <c r="E56" i="45"/>
  <c r="E31" i="41" s="1"/>
  <c r="E57" i="45"/>
  <c r="E28" i="70" s="1"/>
  <c r="E58" i="45"/>
  <c r="E59" i="45"/>
  <c r="E29" i="72" s="1"/>
  <c r="E60" i="45"/>
  <c r="E61" i="45"/>
  <c r="E62" i="45"/>
  <c r="E63" i="45"/>
  <c r="E24" i="18" s="1"/>
  <c r="E64" i="45"/>
  <c r="E65" i="45"/>
  <c r="E29" i="136" s="1"/>
  <c r="F29" i="136" s="1"/>
  <c r="E66" i="45"/>
  <c r="E26" i="20" s="1"/>
  <c r="E68" i="45"/>
  <c r="E69" i="45"/>
  <c r="E27" i="65" s="1"/>
  <c r="E70" i="45"/>
  <c r="E71" i="45"/>
  <c r="E25" i="86" s="1"/>
  <c r="E72" i="45"/>
  <c r="E74" i="45"/>
  <c r="E75" i="45"/>
  <c r="E78" i="45"/>
  <c r="E79" i="45"/>
  <c r="E24" i="20" s="1"/>
  <c r="E81" i="45"/>
  <c r="E82" i="45"/>
  <c r="E24" i="95" s="1"/>
  <c r="E83" i="45"/>
  <c r="E24" i="32" s="1"/>
  <c r="E84" i="45"/>
  <c r="E31" i="69" s="1"/>
  <c r="E85" i="45"/>
  <c r="E31" i="67" s="1"/>
  <c r="E86" i="45"/>
  <c r="E26" i="80" s="1"/>
  <c r="E87" i="45"/>
  <c r="E88" i="45"/>
  <c r="E89" i="45"/>
  <c r="E29" i="70" s="1"/>
  <c r="E90" i="45"/>
  <c r="E24" i="81" s="1"/>
  <c r="E91" i="45"/>
  <c r="E25" i="91" s="1"/>
  <c r="E92" i="45"/>
  <c r="E93" i="45"/>
  <c r="E28" i="76" s="1"/>
  <c r="E94" i="45"/>
  <c r="E96" i="45"/>
  <c r="E97" i="45"/>
  <c r="E98" i="45"/>
  <c r="E99" i="45"/>
  <c r="E25" i="22" s="1"/>
  <c r="E100" i="45"/>
  <c r="E29" i="24" s="1"/>
  <c r="E101" i="45"/>
  <c r="E25" i="20" s="1"/>
  <c r="E105" i="45"/>
  <c r="E27" i="91" s="1"/>
  <c r="E106" i="45"/>
  <c r="E32" i="41" s="1"/>
  <c r="E108" i="45"/>
  <c r="E109" i="45"/>
  <c r="E26" i="77" s="1"/>
  <c r="E110" i="45"/>
  <c r="E25" i="21" s="1"/>
  <c r="E111" i="45"/>
  <c r="E26" i="81" s="1"/>
  <c r="E112" i="45"/>
  <c r="E28" i="14" s="1"/>
  <c r="E113" i="45"/>
  <c r="E114" i="45"/>
  <c r="E28" i="74" s="1"/>
  <c r="E115" i="45"/>
  <c r="E117" i="45"/>
  <c r="E118" i="45"/>
  <c r="E119" i="45"/>
  <c r="E24" i="42" s="1"/>
  <c r="E120" i="45"/>
  <c r="E24" i="82" s="1"/>
  <c r="E121" i="45"/>
  <c r="E28" i="72" s="1"/>
  <c r="E122" i="45"/>
  <c r="E123" i="45"/>
  <c r="E124" i="45"/>
  <c r="E126" i="45"/>
  <c r="E127" i="45"/>
  <c r="E135" i="45"/>
  <c r="E136" i="45"/>
  <c r="E29" i="76" s="1"/>
  <c r="E137" i="45"/>
  <c r="E27" i="77" s="1"/>
  <c r="E138" i="45"/>
  <c r="E140" i="45"/>
  <c r="E26" i="143" s="1"/>
  <c r="F26" i="143" s="1"/>
  <c r="E143" i="45"/>
  <c r="E144" i="45"/>
  <c r="E145" i="45"/>
  <c r="E146" i="45"/>
  <c r="E147" i="45"/>
  <c r="E35" i="45"/>
  <c r="E25" i="80" s="1"/>
  <c r="E36" i="45"/>
  <c r="E24" i="76" s="1"/>
  <c r="E37" i="45"/>
  <c r="E38" i="45"/>
  <c r="E25" i="71" s="1"/>
  <c r="E39" i="45"/>
  <c r="E40" i="45"/>
  <c r="E26" i="71" s="1"/>
  <c r="K116" i="45"/>
  <c r="E116" i="45" s="1"/>
  <c r="E27" i="136" s="1"/>
  <c r="F27" i="136" s="1"/>
  <c r="K142" i="45"/>
  <c r="E142" i="45" s="1"/>
  <c r="K141" i="45"/>
  <c r="E141" i="45" s="1"/>
  <c r="E26" i="140" s="1"/>
  <c r="F26" i="140" s="1"/>
  <c r="K139" i="45"/>
  <c r="E139" i="45" s="1"/>
  <c r="K44" i="45"/>
  <c r="K130" i="45"/>
  <c r="K128" i="45"/>
  <c r="K104" i="45"/>
  <c r="K103" i="45"/>
  <c r="K43" i="45"/>
  <c r="K42" i="45"/>
  <c r="E34" i="45"/>
  <c r="E29" i="48"/>
  <c r="F29" i="48" s="1"/>
  <c r="E30" i="138" l="1"/>
  <c r="F30" i="138" s="1"/>
  <c r="E30" i="137"/>
  <c r="F30" i="137" s="1"/>
  <c r="E30" i="139"/>
  <c r="F30" i="139" s="1"/>
  <c r="E29" i="138"/>
  <c r="F29" i="138" s="1"/>
  <c r="E32" i="137"/>
  <c r="F32" i="137" s="1"/>
  <c r="E29" i="139"/>
  <c r="F29" i="139" s="1"/>
  <c r="E27" i="143"/>
  <c r="F27" i="143" s="1"/>
  <c r="E27" i="140"/>
  <c r="F27" i="140" s="1"/>
  <c r="E26" i="138"/>
  <c r="F26" i="138" s="1"/>
  <c r="E26" i="137"/>
  <c r="F26" i="137" s="1"/>
  <c r="E26" i="139"/>
  <c r="F26" i="139" s="1"/>
  <c r="E25" i="14"/>
  <c r="E25" i="143"/>
  <c r="F25" i="143" s="1"/>
  <c r="E25" i="140"/>
  <c r="F25" i="140" s="1"/>
  <c r="E30" i="136"/>
  <c r="F30" i="136" s="1"/>
  <c r="E26" i="85"/>
  <c r="E27" i="135"/>
  <c r="E24" i="93"/>
  <c r="E25" i="136"/>
  <c r="F25" i="136" s="1"/>
  <c r="E26" i="135"/>
  <c r="E28" i="136"/>
  <c r="F28" i="136" s="1"/>
  <c r="E25" i="11"/>
  <c r="E25" i="12"/>
  <c r="E26" i="23"/>
  <c r="E27" i="24"/>
  <c r="E26" i="93"/>
  <c r="E27" i="92"/>
  <c r="E25" i="41"/>
  <c r="E25" i="68"/>
  <c r="E26" i="72"/>
  <c r="E25" i="70"/>
  <c r="E25" i="69"/>
  <c r="E25" i="67"/>
  <c r="E26" i="70"/>
  <c r="E26" i="69"/>
  <c r="E26" i="67"/>
  <c r="E26" i="11"/>
  <c r="E26" i="12"/>
  <c r="E25" i="82"/>
  <c r="E29" i="75"/>
  <c r="E29" i="41"/>
  <c r="E27" i="86"/>
  <c r="E26" i="82"/>
  <c r="E25" i="76"/>
  <c r="E24" i="75"/>
  <c r="E24" i="77"/>
  <c r="E24" i="79"/>
  <c r="E24" i="78"/>
  <c r="E24" i="74"/>
  <c r="E24" i="65"/>
  <c r="E28" i="68"/>
  <c r="E29" i="71"/>
  <c r="E30" i="70"/>
  <c r="E29" i="69"/>
  <c r="E29" i="67"/>
  <c r="E28" i="75"/>
  <c r="E28" i="79"/>
  <c r="E26" i="22"/>
  <c r="E25" i="81"/>
  <c r="E30" i="41"/>
  <c r="E24" i="86"/>
  <c r="E27" i="82"/>
  <c r="E26" i="76"/>
  <c r="E25" i="75"/>
  <c r="E25" i="77"/>
  <c r="E25" i="79"/>
  <c r="E25" i="78"/>
  <c r="E25" i="74"/>
  <c r="E25" i="65"/>
  <c r="E29" i="68"/>
  <c r="E30" i="71"/>
  <c r="E31" i="70"/>
  <c r="E30" i="69"/>
  <c r="E30" i="67"/>
  <c r="E27" i="14"/>
  <c r="E27" i="11"/>
  <c r="E27" i="12"/>
  <c r="E27" i="8"/>
  <c r="E25" i="96"/>
  <c r="E27" i="94"/>
  <c r="E28" i="23"/>
  <c r="E30" i="92"/>
  <c r="E29" i="87"/>
  <c r="E27" i="41"/>
  <c r="E26" i="68"/>
  <c r="E27" i="71"/>
  <c r="E29" i="82"/>
  <c r="E30" i="75"/>
  <c r="E29" i="79"/>
  <c r="E28" i="82"/>
  <c r="E27" i="76"/>
  <c r="E27" i="75"/>
  <c r="E27" i="79"/>
  <c r="E28" i="41"/>
  <c r="E27" i="68"/>
  <c r="E28" i="71"/>
  <c r="E27" i="70"/>
  <c r="E28" i="69"/>
  <c r="E28" i="67"/>
  <c r="E24" i="22"/>
  <c r="E24" i="21"/>
  <c r="E27" i="69"/>
  <c r="E27" i="67"/>
  <c r="E25" i="90"/>
  <c r="E25" i="89"/>
  <c r="E24" i="23"/>
  <c r="E24" i="24"/>
  <c r="E27" i="23"/>
  <c r="E28" i="24"/>
  <c r="F26" i="135" l="1"/>
  <c r="J26" i="135" s="1"/>
  <c r="I26" i="135"/>
  <c r="F27" i="135"/>
  <c r="J27" i="135" s="1"/>
  <c r="I27" i="135"/>
  <c r="F35" i="26"/>
  <c r="F34" i="26"/>
  <c r="F34" i="100"/>
  <c r="F33" i="100"/>
  <c r="F35" i="100" s="1"/>
  <c r="F34" i="9"/>
  <c r="F33" i="9"/>
  <c r="F35" i="9" s="1"/>
  <c r="F34" i="99"/>
  <c r="F33" i="99"/>
  <c r="F35" i="99" s="1"/>
  <c r="F34" i="101"/>
  <c r="F33" i="101"/>
  <c r="F35" i="101" s="1"/>
  <c r="F34" i="105"/>
  <c r="F33" i="105"/>
  <c r="F35" i="105" s="1"/>
  <c r="E15" i="100"/>
  <c r="E15" i="9"/>
  <c r="E15" i="99"/>
  <c r="E15" i="101"/>
  <c r="E15" i="105"/>
  <c r="F36" i="26" l="1"/>
  <c r="E30" i="24"/>
  <c r="E25" i="18"/>
  <c r="E26" i="41"/>
  <c r="E26" i="8"/>
  <c r="E24" i="102"/>
  <c r="E30" i="87"/>
  <c r="E27" i="78"/>
  <c r="E24" i="107"/>
  <c r="E24" i="72"/>
  <c r="E32" i="66" l="1"/>
  <c r="E31" i="66"/>
  <c r="E29" i="66"/>
  <c r="E28" i="66"/>
  <c r="E27" i="66"/>
  <c r="E26" i="66"/>
  <c r="E25" i="66"/>
  <c r="E25" i="64"/>
  <c r="E24" i="64"/>
  <c r="E26" i="60"/>
  <c r="E27" i="63"/>
  <c r="E26" i="63"/>
  <c r="E27" i="62"/>
  <c r="E26" i="62"/>
  <c r="E25" i="61"/>
  <c r="E25" i="49"/>
  <c r="E28" i="54"/>
  <c r="E27" i="54"/>
  <c r="E26" i="54"/>
  <c r="E30" i="57"/>
  <c r="E29" i="57"/>
  <c r="E28" i="57"/>
  <c r="E26" i="57"/>
  <c r="E24" i="58"/>
  <c r="E24" i="59"/>
  <c r="E25" i="56"/>
  <c r="E27" i="5"/>
  <c r="E24" i="5"/>
  <c r="E133" i="45"/>
  <c r="E26" i="74" s="1"/>
  <c r="E95" i="45"/>
  <c r="E46" i="45"/>
  <c r="E34" i="137" s="1"/>
  <c r="F34" i="137" s="1"/>
  <c r="E134" i="45"/>
  <c r="E132" i="45"/>
  <c r="E26" i="65" s="1"/>
  <c r="E131" i="45"/>
  <c r="E130" i="45"/>
  <c r="E129" i="45"/>
  <c r="E107" i="45"/>
  <c r="E25" i="5" s="1"/>
  <c r="E104" i="45"/>
  <c r="E26" i="24" s="1"/>
  <c r="E103" i="45"/>
  <c r="E102" i="45"/>
  <c r="E80" i="45"/>
  <c r="E24" i="91" s="1"/>
  <c r="E77" i="45"/>
  <c r="E76" i="45"/>
  <c r="E31" i="57" s="1"/>
  <c r="E73" i="45"/>
  <c r="E27" i="89" s="1"/>
  <c r="E45" i="45"/>
  <c r="E44" i="45"/>
  <c r="E43" i="45"/>
  <c r="E42" i="45"/>
  <c r="E24" i="138" l="1"/>
  <c r="F24" i="138" s="1"/>
  <c r="E24" i="137"/>
  <c r="F24" i="137" s="1"/>
  <c r="E24" i="139"/>
  <c r="F24" i="139" s="1"/>
  <c r="E31" i="138"/>
  <c r="F31" i="138" s="1"/>
  <c r="E31" i="137"/>
  <c r="F31" i="137" s="1"/>
  <c r="E31" i="139"/>
  <c r="F31" i="139" s="1"/>
  <c r="E28" i="138"/>
  <c r="F28" i="138" s="1"/>
  <c r="E28" i="139"/>
  <c r="F28" i="139" s="1"/>
  <c r="E28" i="135"/>
  <c r="E31" i="136"/>
  <c r="F31" i="136" s="1"/>
  <c r="E24" i="85"/>
  <c r="E25" i="135"/>
  <c r="E26" i="92"/>
  <c r="E26" i="136"/>
  <c r="F26" i="136" s="1"/>
  <c r="F32" i="136" s="1"/>
  <c r="E27" i="93"/>
  <c r="E30" i="80"/>
  <c r="E29" i="23"/>
  <c r="E31" i="24"/>
  <c r="E31" i="92"/>
  <c r="E28" i="87"/>
  <c r="E27" i="85"/>
  <c r="E26" i="18"/>
  <c r="E26" i="90"/>
  <c r="E26" i="89"/>
  <c r="E24" i="41"/>
  <c r="E27" i="72"/>
  <c r="E24" i="70"/>
  <c r="E24" i="69"/>
  <c r="E24" i="68"/>
  <c r="E24" i="71"/>
  <c r="E24" i="66"/>
  <c r="E26" i="75"/>
  <c r="E26" i="79"/>
  <c r="E26" i="78"/>
  <c r="E30" i="48"/>
  <c r="F30" i="48" s="1"/>
  <c r="E26" i="86"/>
  <c r="E128" i="45"/>
  <c r="K136" i="44"/>
  <c r="K134" i="44"/>
  <c r="K132" i="44"/>
  <c r="E48" i="44"/>
  <c r="E25" i="138" l="1"/>
  <c r="F25" i="138" s="1"/>
  <c r="F35" i="138" s="1"/>
  <c r="E39" i="138" s="1"/>
  <c r="F39" i="138" s="1"/>
  <c r="F41" i="138" s="1"/>
  <c r="E25" i="137"/>
  <c r="F25" i="137" s="1"/>
  <c r="E25" i="139"/>
  <c r="F25" i="139" s="1"/>
  <c r="F35" i="139" s="1"/>
  <c r="E39" i="139" s="1"/>
  <c r="F39" i="139" s="1"/>
  <c r="F41" i="139" s="1"/>
  <c r="F25" i="135"/>
  <c r="I25" i="135"/>
  <c r="F28" i="135"/>
  <c r="J28" i="135" s="1"/>
  <c r="I28" i="135"/>
  <c r="F47" i="44"/>
  <c r="F46" i="44"/>
  <c r="E47" i="44"/>
  <c r="E46" i="44"/>
  <c r="E31" i="48"/>
  <c r="F31" i="48" s="1"/>
  <c r="E30" i="66"/>
  <c r="E26" i="87"/>
  <c r="E32" i="48"/>
  <c r="E24" i="87"/>
  <c r="H16" i="45"/>
  <c r="E16" i="45" s="1"/>
  <c r="F32" i="135" l="1"/>
  <c r="J25" i="135"/>
  <c r="E23" i="110"/>
  <c r="F23" i="110" s="1"/>
  <c r="E29" i="14"/>
  <c r="E25" i="97"/>
  <c r="E29" i="80"/>
  <c r="E26" i="61"/>
  <c r="E26" i="49"/>
  <c r="E25" i="59"/>
  <c r="E26" i="56"/>
  <c r="E25" i="8"/>
  <c r="E26" i="94"/>
  <c r="E25" i="63"/>
  <c r="E27" i="61"/>
  <c r="E27" i="49"/>
  <c r="E25" i="54"/>
  <c r="E27" i="56"/>
  <c r="E25" i="94"/>
  <c r="E25" i="60"/>
  <c r="E25" i="62"/>
  <c r="E25" i="57"/>
  <c r="E25" i="92"/>
  <c r="E25" i="87"/>
  <c r="E25" i="23"/>
  <c r="F41" i="100"/>
  <c r="F42" i="100"/>
  <c r="F41" i="9"/>
  <c r="F42" i="9"/>
  <c r="F41" i="99"/>
  <c r="F42" i="99"/>
  <c r="F42" i="101"/>
  <c r="F41" i="101"/>
  <c r="F41" i="105"/>
  <c r="F42" i="105"/>
  <c r="K348" i="44"/>
  <c r="K340" i="44"/>
  <c r="K333" i="44"/>
  <c r="K332" i="44"/>
  <c r="K329" i="44"/>
  <c r="K328" i="44"/>
  <c r="K327" i="44"/>
  <c r="H296" i="44"/>
  <c r="K287" i="44"/>
  <c r="K335" i="44"/>
  <c r="E123" i="1"/>
  <c r="D117" i="46" s="1"/>
  <c r="D335" i="44"/>
  <c r="C335" i="44"/>
  <c r="B335" i="44"/>
  <c r="C325" i="44"/>
  <c r="B325" i="44"/>
  <c r="D312" i="44"/>
  <c r="D314" i="44"/>
  <c r="C318" i="44"/>
  <c r="D318" i="44"/>
  <c r="C316" i="44"/>
  <c r="D316" i="44"/>
  <c r="C314" i="44"/>
  <c r="C312" i="44"/>
  <c r="B318" i="44"/>
  <c r="B316" i="44"/>
  <c r="B314" i="44"/>
  <c r="B312" i="44"/>
  <c r="D310" i="44"/>
  <c r="C310" i="44"/>
  <c r="B310" i="44"/>
  <c r="K319" i="44"/>
  <c r="K318" i="44" s="1"/>
  <c r="E115" i="1" s="1"/>
  <c r="D109" i="46" s="1"/>
  <c r="K317" i="44"/>
  <c r="K316" i="44" s="1"/>
  <c r="E114" i="1" s="1"/>
  <c r="D108" i="46" s="1"/>
  <c r="K315" i="44"/>
  <c r="K314" i="44" s="1"/>
  <c r="E113" i="1" s="1"/>
  <c r="D107" i="46" s="1"/>
  <c r="K313" i="44"/>
  <c r="K311" i="44"/>
  <c r="K310" i="44" s="1"/>
  <c r="E111" i="1" s="1"/>
  <c r="D105" i="46" s="1"/>
  <c r="D268" i="44"/>
  <c r="C268" i="44"/>
  <c r="B268" i="44"/>
  <c r="K273" i="44"/>
  <c r="K272" i="44"/>
  <c r="K271" i="44"/>
  <c r="K268" i="44" s="1"/>
  <c r="E93" i="1" s="1"/>
  <c r="D87" i="46" s="1"/>
  <c r="K270" i="44"/>
  <c r="K269" i="44"/>
  <c r="C267" i="44"/>
  <c r="B267" i="44"/>
  <c r="C260" i="44"/>
  <c r="B260" i="44"/>
  <c r="H32" i="135" l="1"/>
  <c r="K312" i="44"/>
  <c r="E112" i="1" s="1"/>
  <c r="D106" i="46" s="1"/>
  <c r="F26" i="110"/>
  <c r="F9" i="48"/>
  <c r="F9" i="23"/>
  <c r="B10" i="48"/>
  <c r="B10" i="23"/>
  <c r="F27" i="110" l="1"/>
  <c r="F28" i="110"/>
  <c r="F29" i="110"/>
  <c r="E25" i="24"/>
  <c r="A42" i="22"/>
  <c r="F30" i="110" l="1"/>
  <c r="F46" i="110" s="1"/>
  <c r="E30" i="45" s="1"/>
  <c r="A41" i="21"/>
  <c r="A42" i="32"/>
  <c r="D15" i="42"/>
  <c r="A42" i="42" l="1"/>
  <c r="A43" i="41"/>
  <c r="F28" i="41"/>
  <c r="F29" i="41"/>
  <c r="F30" i="41"/>
  <c r="F31" i="41"/>
  <c r="D297" i="44"/>
  <c r="C297" i="44"/>
  <c r="B297" i="44"/>
  <c r="K298" i="44"/>
  <c r="K297" i="44" s="1"/>
  <c r="E104" i="1" s="1"/>
  <c r="D98" i="46" s="1"/>
  <c r="J26" i="11" l="1"/>
  <c r="I26" i="11"/>
  <c r="J26" i="12"/>
  <c r="D24" i="11"/>
  <c r="D24" i="12"/>
  <c r="I26" i="8"/>
  <c r="D24" i="94"/>
  <c r="E16" i="73"/>
  <c r="D26" i="75"/>
  <c r="D28" i="74"/>
  <c r="D27" i="74"/>
  <c r="D26" i="74"/>
  <c r="E27" i="74"/>
  <c r="D26" i="65"/>
  <c r="K143" i="44"/>
  <c r="K142" i="44" s="1"/>
  <c r="E49" i="1" s="1"/>
  <c r="D44" i="46" s="1"/>
  <c r="K141" i="44"/>
  <c r="K140" i="44" s="1"/>
  <c r="E48" i="1" s="1"/>
  <c r="D43" i="46" s="1"/>
  <c r="K139" i="44"/>
  <c r="K138" i="44" s="1"/>
  <c r="E47" i="1" s="1"/>
  <c r="D42" i="46" s="1"/>
  <c r="K153" i="44"/>
  <c r="F30" i="70" l="1"/>
  <c r="F28" i="70"/>
  <c r="F29" i="70"/>
  <c r="K135" i="44"/>
  <c r="E45" i="1" s="1"/>
  <c r="D40" i="46" s="1"/>
  <c r="D135" i="44"/>
  <c r="C135" i="44"/>
  <c r="B135" i="44"/>
  <c r="F9" i="107"/>
  <c r="B10" i="107"/>
  <c r="F45" i="107"/>
  <c r="F44" i="107"/>
  <c r="F43" i="107"/>
  <c r="A42" i="107"/>
  <c r="F37" i="107"/>
  <c r="F36" i="107"/>
  <c r="F38" i="107" s="1"/>
  <c r="F31" i="107"/>
  <c r="F30" i="107"/>
  <c r="F29" i="107"/>
  <c r="F28" i="107"/>
  <c r="F27" i="107"/>
  <c r="F26" i="107"/>
  <c r="F25" i="107"/>
  <c r="F24" i="107"/>
  <c r="F19" i="107"/>
  <c r="F18" i="107"/>
  <c r="F17" i="107"/>
  <c r="F16" i="107"/>
  <c r="D15" i="107"/>
  <c r="B9" i="107"/>
  <c r="F30" i="66"/>
  <c r="D24" i="60"/>
  <c r="L25" i="60"/>
  <c r="D25" i="60" s="1"/>
  <c r="F25" i="60" s="1"/>
  <c r="D24" i="63"/>
  <c r="D24" i="62"/>
  <c r="D24" i="61"/>
  <c r="D24" i="49"/>
  <c r="D24" i="54"/>
  <c r="F32" i="107" l="1"/>
  <c r="D24" i="56" l="1"/>
  <c r="H36" i="7" l="1"/>
  <c r="H36" i="6"/>
  <c r="F28" i="105"/>
  <c r="F27" i="105"/>
  <c r="E26" i="105"/>
  <c r="F26" i="105" s="1"/>
  <c r="E25" i="105"/>
  <c r="F25" i="105" s="1"/>
  <c r="E24" i="105"/>
  <c r="F24" i="105" s="1"/>
  <c r="F18" i="105"/>
  <c r="F17" i="105"/>
  <c r="F16" i="105"/>
  <c r="F15" i="105"/>
  <c r="F14" i="105"/>
  <c r="B9" i="105"/>
  <c r="F19" i="105" l="1"/>
  <c r="F45" i="23"/>
  <c r="F44" i="23"/>
  <c r="F43" i="23"/>
  <c r="A42" i="23"/>
  <c r="F45" i="24"/>
  <c r="F44" i="24"/>
  <c r="F43" i="24"/>
  <c r="A42" i="24"/>
  <c r="F45" i="20"/>
  <c r="F44" i="20"/>
  <c r="F43" i="20"/>
  <c r="A42" i="20"/>
  <c r="F45" i="22"/>
  <c r="F44" i="22"/>
  <c r="F43" i="22"/>
  <c r="F44" i="21"/>
  <c r="F43" i="21"/>
  <c r="F42" i="21"/>
  <c r="F45" i="32"/>
  <c r="F44" i="32"/>
  <c r="F43" i="32"/>
  <c r="F45" i="42"/>
  <c r="F44" i="42"/>
  <c r="F43" i="42"/>
  <c r="F46" i="41"/>
  <c r="F45" i="41"/>
  <c r="F44" i="41"/>
  <c r="F45" i="14"/>
  <c r="F44" i="14"/>
  <c r="F43" i="14"/>
  <c r="A42" i="14"/>
  <c r="F45" i="11"/>
  <c r="F44" i="11"/>
  <c r="F43" i="11"/>
  <c r="A42" i="11"/>
  <c r="F45" i="12"/>
  <c r="F44" i="12"/>
  <c r="F43" i="12"/>
  <c r="A42" i="12"/>
  <c r="F45" i="8"/>
  <c r="F44" i="8"/>
  <c r="F43" i="8"/>
  <c r="A42" i="8"/>
  <c r="E36" i="7"/>
  <c r="D36" i="7"/>
  <c r="F36" i="7" s="1"/>
  <c r="F29" i="66" l="1"/>
  <c r="E23" i="105" l="1"/>
  <c r="F23" i="105" s="1"/>
  <c r="F29" i="105" s="1"/>
  <c r="E36" i="6" l="1"/>
  <c r="D36" i="6"/>
  <c r="E24" i="26"/>
  <c r="F36" i="6" l="1"/>
  <c r="F37" i="42"/>
  <c r="F38" i="48"/>
  <c r="F37" i="48"/>
  <c r="F39" i="48" s="1"/>
  <c r="F38" i="41"/>
  <c r="F37" i="41"/>
  <c r="F39" i="41" s="1"/>
  <c r="F37" i="32"/>
  <c r="F36" i="32"/>
  <c r="F38" i="32" s="1"/>
  <c r="F37" i="20"/>
  <c r="F36" i="20"/>
  <c r="F38" i="20" s="1"/>
  <c r="F36" i="18"/>
  <c r="F35" i="18"/>
  <c r="F37" i="18" s="1"/>
  <c r="F37" i="14"/>
  <c r="F36" i="14"/>
  <c r="F38" i="14" s="1"/>
  <c r="F37" i="12"/>
  <c r="F36" i="12"/>
  <c r="F38" i="12" s="1"/>
  <c r="F37" i="11"/>
  <c r="F36" i="11"/>
  <c r="F38" i="11" s="1"/>
  <c r="A43" i="48"/>
  <c r="F46" i="48"/>
  <c r="F45" i="48"/>
  <c r="F44" i="48"/>
  <c r="A41" i="18"/>
  <c r="F44" i="18"/>
  <c r="F43" i="18"/>
  <c r="F42" i="18"/>
  <c r="E16" i="50" l="1"/>
  <c r="F42" i="26" l="1"/>
  <c r="F43" i="26"/>
  <c r="F25" i="100"/>
  <c r="F28" i="9"/>
  <c r="F27" i="9"/>
  <c r="F28" i="99"/>
  <c r="F27" i="99"/>
  <c r="F27" i="101"/>
  <c r="F28" i="101"/>
  <c r="K357" i="44"/>
  <c r="K356" i="44" s="1"/>
  <c r="E135" i="1" s="1"/>
  <c r="D129" i="46" s="1"/>
  <c r="D356" i="44"/>
  <c r="C356" i="44"/>
  <c r="B356" i="44"/>
  <c r="C355" i="44"/>
  <c r="B355" i="44"/>
  <c r="F9" i="102" l="1"/>
  <c r="B10" i="102"/>
  <c r="B9" i="102"/>
  <c r="F45" i="102"/>
  <c r="F44" i="102"/>
  <c r="F43" i="102"/>
  <c r="A42" i="102"/>
  <c r="F37" i="102"/>
  <c r="F36" i="102"/>
  <c r="F38" i="102" s="1"/>
  <c r="F31" i="102"/>
  <c r="F28" i="102"/>
  <c r="F27" i="102"/>
  <c r="F26" i="102"/>
  <c r="F25" i="102"/>
  <c r="F24" i="102"/>
  <c r="F32" i="102" s="1"/>
  <c r="F19" i="102"/>
  <c r="F18" i="102"/>
  <c r="F17" i="102"/>
  <c r="F16" i="102"/>
  <c r="D15" i="102"/>
  <c r="K247" i="44"/>
  <c r="D246" i="44"/>
  <c r="C246" i="44"/>
  <c r="B246" i="44"/>
  <c r="C245" i="44"/>
  <c r="B245" i="44"/>
  <c r="K246" i="44" l="1"/>
  <c r="E82" i="1" s="1"/>
  <c r="D77" i="46" s="1"/>
  <c r="F29" i="8" l="1"/>
  <c r="F30" i="8"/>
  <c r="E25" i="93"/>
  <c r="E29" i="92"/>
  <c r="E28" i="92"/>
  <c r="E24" i="92"/>
  <c r="E27" i="87"/>
  <c r="E24" i="90"/>
  <c r="E24" i="89"/>
  <c r="E25" i="85"/>
  <c r="F33" i="72"/>
  <c r="F32" i="72"/>
  <c r="F31" i="72"/>
  <c r="F30" i="72"/>
  <c r="F29" i="72"/>
  <c r="F27" i="72"/>
  <c r="F26" i="72"/>
  <c r="F25" i="72"/>
  <c r="F24" i="72"/>
  <c r="F27" i="70"/>
  <c r="F26" i="70"/>
  <c r="F25" i="70"/>
  <c r="E24" i="67"/>
  <c r="F28" i="54"/>
  <c r="F27" i="54"/>
  <c r="E26" i="5"/>
  <c r="F27" i="94" l="1"/>
  <c r="F28" i="94"/>
  <c r="F29" i="94"/>
  <c r="F30" i="94"/>
  <c r="E26" i="91"/>
  <c r="F24" i="91" l="1"/>
  <c r="F25" i="91"/>
  <c r="F26" i="91"/>
  <c r="F27" i="91"/>
  <c r="F28" i="95"/>
  <c r="F29" i="95"/>
  <c r="F30" i="95"/>
  <c r="F29" i="91"/>
  <c r="F30" i="91"/>
  <c r="F24" i="93"/>
  <c r="F25" i="93"/>
  <c r="F26" i="93"/>
  <c r="F27" i="93"/>
  <c r="E17" i="93"/>
  <c r="E16" i="93"/>
  <c r="F36" i="92"/>
  <c r="F29" i="93" l="1"/>
  <c r="F30" i="93"/>
  <c r="A42" i="93"/>
  <c r="A42" i="92"/>
  <c r="A42" i="87"/>
  <c r="F25" i="92"/>
  <c r="F26" i="92"/>
  <c r="F27" i="92"/>
  <c r="F28" i="92"/>
  <c r="F29" i="92"/>
  <c r="F30" i="92"/>
  <c r="F31" i="92"/>
  <c r="F24" i="92"/>
  <c r="F31" i="87"/>
  <c r="F25" i="87"/>
  <c r="F26" i="87"/>
  <c r="F27" i="87"/>
  <c r="F28" i="87"/>
  <c r="F29" i="87"/>
  <c r="F30" i="87"/>
  <c r="F24" i="87"/>
  <c r="F29" i="90"/>
  <c r="F30" i="90"/>
  <c r="F36" i="89"/>
  <c r="F28" i="89"/>
  <c r="F29" i="89"/>
  <c r="F30" i="89"/>
  <c r="E16" i="88"/>
  <c r="F29" i="88"/>
  <c r="F30" i="88"/>
  <c r="F28" i="84"/>
  <c r="F29" i="84"/>
  <c r="F30" i="84"/>
  <c r="F24" i="86"/>
  <c r="F25" i="86"/>
  <c r="F26" i="86"/>
  <c r="F27" i="86"/>
  <c r="F36" i="85"/>
  <c r="F24" i="85"/>
  <c r="F25" i="85"/>
  <c r="F26" i="85"/>
  <c r="F27" i="85"/>
  <c r="F28" i="85"/>
  <c r="E17" i="85"/>
  <c r="F17" i="85" s="1"/>
  <c r="F18" i="85"/>
  <c r="E16" i="85"/>
  <c r="F31" i="86"/>
  <c r="F30" i="86"/>
  <c r="F29" i="86"/>
  <c r="F28" i="86"/>
  <c r="F32" i="86"/>
  <c r="F31" i="85"/>
  <c r="F30" i="85"/>
  <c r="F29" i="85"/>
  <c r="F32" i="85"/>
  <c r="F28" i="73"/>
  <c r="F29" i="73"/>
  <c r="F30" i="73"/>
  <c r="F25" i="82"/>
  <c r="F27" i="82"/>
  <c r="F28" i="82"/>
  <c r="F26" i="82"/>
  <c r="F24" i="82"/>
  <c r="D36" i="82"/>
  <c r="F31" i="75"/>
  <c r="F32" i="75"/>
  <c r="F33" i="75"/>
  <c r="F34" i="75"/>
  <c r="F30" i="75"/>
  <c r="F29" i="75"/>
  <c r="F32" i="79"/>
  <c r="F31" i="79"/>
  <c r="F30" i="79"/>
  <c r="F29" i="79"/>
  <c r="F28" i="79"/>
  <c r="F27" i="79"/>
  <c r="F31" i="82" l="1"/>
  <c r="F30" i="82"/>
  <c r="F29" i="82"/>
  <c r="F32" i="82"/>
  <c r="F31" i="81"/>
  <c r="F30" i="81"/>
  <c r="F29" i="81"/>
  <c r="F28" i="81"/>
  <c r="F27" i="81"/>
  <c r="F26" i="81"/>
  <c r="F25" i="81"/>
  <c r="F24" i="81"/>
  <c r="F32" i="81" s="1"/>
  <c r="F31" i="76"/>
  <c r="F30" i="76"/>
  <c r="F29" i="76"/>
  <c r="F28" i="76"/>
  <c r="F26" i="76"/>
  <c r="F25" i="76"/>
  <c r="F24" i="76"/>
  <c r="F28" i="75"/>
  <c r="F27" i="75"/>
  <c r="F26" i="75"/>
  <c r="F25" i="75"/>
  <c r="F24" i="75"/>
  <c r="F35" i="75" s="1"/>
  <c r="F31" i="77"/>
  <c r="F29" i="77"/>
  <c r="F28" i="77"/>
  <c r="F27" i="77"/>
  <c r="F26" i="77"/>
  <c r="F25" i="77"/>
  <c r="F24" i="77"/>
  <c r="F26" i="79"/>
  <c r="F25" i="79"/>
  <c r="F24" i="79"/>
  <c r="F31" i="80"/>
  <c r="F30" i="80"/>
  <c r="F29" i="80"/>
  <c r="F26" i="80"/>
  <c r="F25" i="80"/>
  <c r="F24" i="80"/>
  <c r="F31" i="78"/>
  <c r="F30" i="78"/>
  <c r="F29" i="78"/>
  <c r="F28" i="78"/>
  <c r="F27" i="78"/>
  <c r="F26" i="78"/>
  <c r="F25" i="78"/>
  <c r="F24" i="78"/>
  <c r="F31" i="74"/>
  <c r="F30" i="74"/>
  <c r="F29" i="74"/>
  <c r="F28" i="74"/>
  <c r="F27" i="74"/>
  <c r="F26" i="74"/>
  <c r="F25" i="74"/>
  <c r="F24" i="74"/>
  <c r="F32" i="74" s="1"/>
  <c r="F28" i="65"/>
  <c r="F29" i="65"/>
  <c r="F30" i="65"/>
  <c r="A42" i="82"/>
  <c r="A42" i="81"/>
  <c r="A42" i="76"/>
  <c r="A45" i="75"/>
  <c r="A42" i="77"/>
  <c r="A44" i="79"/>
  <c r="A42" i="80"/>
  <c r="A42" i="78"/>
  <c r="A42" i="74"/>
  <c r="A42" i="65"/>
  <c r="F28" i="72"/>
  <c r="F24" i="70"/>
  <c r="F24" i="67"/>
  <c r="F28" i="67"/>
  <c r="F27" i="67"/>
  <c r="F26" i="67"/>
  <c r="F25" i="67"/>
  <c r="F32" i="78" l="1"/>
  <c r="F24" i="66"/>
  <c r="F25" i="66"/>
  <c r="F26" i="66"/>
  <c r="F27" i="66"/>
  <c r="F28" i="66"/>
  <c r="A42" i="68"/>
  <c r="A42" i="71"/>
  <c r="A44" i="72"/>
  <c r="A42" i="70"/>
  <c r="A42" i="69"/>
  <c r="A42" i="67"/>
  <c r="A43" i="66"/>
  <c r="A42" i="64"/>
  <c r="F31" i="68"/>
  <c r="F30" i="68"/>
  <c r="F29" i="68"/>
  <c r="F28" i="68"/>
  <c r="F27" i="68"/>
  <c r="F26" i="68"/>
  <c r="F25" i="68"/>
  <c r="F24" i="68"/>
  <c r="F32" i="68" s="1"/>
  <c r="F31" i="71"/>
  <c r="F30" i="71"/>
  <c r="F29" i="71"/>
  <c r="F28" i="71"/>
  <c r="F27" i="71"/>
  <c r="F26" i="71"/>
  <c r="F24" i="71"/>
  <c r="F34" i="72"/>
  <c r="F31" i="70"/>
  <c r="F32" i="70"/>
  <c r="F31" i="69"/>
  <c r="F30" i="69"/>
  <c r="F29" i="69"/>
  <c r="F28" i="69"/>
  <c r="F27" i="69"/>
  <c r="F26" i="69"/>
  <c r="F25" i="69"/>
  <c r="F24" i="69"/>
  <c r="F32" i="69" s="1"/>
  <c r="F31" i="67"/>
  <c r="F30" i="67"/>
  <c r="F32" i="67" s="1"/>
  <c r="F29" i="67"/>
  <c r="F31" i="66"/>
  <c r="L25" i="62"/>
  <c r="M25" i="62" s="1"/>
  <c r="F31" i="54"/>
  <c r="F29" i="54"/>
  <c r="F30" i="54"/>
  <c r="L26" i="54"/>
  <c r="D26" i="54" s="1"/>
  <c r="F26" i="54" s="1"/>
  <c r="L25" i="54"/>
  <c r="M25" i="54" s="1"/>
  <c r="E16" i="59"/>
  <c r="L27" i="54" l="1"/>
  <c r="D25" i="54"/>
  <c r="F25" i="54" s="1"/>
  <c r="F36" i="53"/>
  <c r="F29" i="60" l="1"/>
  <c r="F30" i="60"/>
  <c r="F29" i="63"/>
  <c r="F30" i="63"/>
  <c r="F29" i="62"/>
  <c r="F30" i="62"/>
  <c r="F29" i="61"/>
  <c r="F30" i="61"/>
  <c r="F29" i="49"/>
  <c r="F30" i="49"/>
  <c r="F25" i="71" l="1"/>
  <c r="F32" i="71" s="1"/>
  <c r="E16" i="63"/>
  <c r="F43" i="63"/>
  <c r="A42" i="63"/>
  <c r="F37" i="63"/>
  <c r="F36" i="63"/>
  <c r="F38" i="63" s="1"/>
  <c r="F31" i="63"/>
  <c r="F28" i="63"/>
  <c r="F27" i="63"/>
  <c r="J26" i="63"/>
  <c r="L26" i="63" s="1"/>
  <c r="D26" i="63" s="1"/>
  <c r="F26" i="63" s="1"/>
  <c r="L25" i="63"/>
  <c r="M25" i="63" s="1"/>
  <c r="D25" i="63" s="1"/>
  <c r="F25" i="63" s="1"/>
  <c r="F19" i="63"/>
  <c r="F18" i="63"/>
  <c r="F17" i="63"/>
  <c r="F16" i="63"/>
  <c r="D15" i="63"/>
  <c r="A42" i="62"/>
  <c r="F37" i="62"/>
  <c r="F36" i="62"/>
  <c r="F38" i="62" s="1"/>
  <c r="F31" i="62"/>
  <c r="F28" i="62"/>
  <c r="F27" i="62"/>
  <c r="J26" i="62"/>
  <c r="L26" i="62" s="1"/>
  <c r="D26" i="62" s="1"/>
  <c r="F26" i="62" s="1"/>
  <c r="D25" i="62"/>
  <c r="F25" i="62" s="1"/>
  <c r="F19" i="62"/>
  <c r="F18" i="62"/>
  <c r="E17" i="62"/>
  <c r="F17" i="62" s="1"/>
  <c r="E16" i="62"/>
  <c r="F16" i="62" s="1"/>
  <c r="D15" i="62"/>
  <c r="F45" i="61"/>
  <c r="F44" i="61"/>
  <c r="F43" i="61"/>
  <c r="A42" i="61"/>
  <c r="F37" i="61"/>
  <c r="F36" i="61"/>
  <c r="F38" i="61" s="1"/>
  <c r="F31" i="61"/>
  <c r="F28" i="61"/>
  <c r="J26" i="61"/>
  <c r="L26" i="61" s="1"/>
  <c r="D27" i="61" s="1"/>
  <c r="F27" i="61" s="1"/>
  <c r="L25" i="61"/>
  <c r="M25" i="61" s="1"/>
  <c r="D26" i="61" s="1"/>
  <c r="F26" i="61" s="1"/>
  <c r="F25" i="61"/>
  <c r="F19" i="61"/>
  <c r="F18" i="61"/>
  <c r="E17" i="61"/>
  <c r="F17" i="61" s="1"/>
  <c r="E16" i="61"/>
  <c r="F16" i="61" s="1"/>
  <c r="D15" i="61"/>
  <c r="E17" i="49"/>
  <c r="F28" i="49"/>
  <c r="J27" i="49"/>
  <c r="L27" i="49" s="1"/>
  <c r="D27" i="49" s="1"/>
  <c r="F27" i="49" s="1"/>
  <c r="J26" i="49"/>
  <c r="L26" i="49" s="1"/>
  <c r="M26" i="49" s="1"/>
  <c r="D26" i="49" s="1"/>
  <c r="F26" i="49" s="1"/>
  <c r="F25" i="49"/>
  <c r="F45" i="96"/>
  <c r="F44" i="96"/>
  <c r="F43" i="96"/>
  <c r="A42" i="96"/>
  <c r="F37" i="96"/>
  <c r="F36" i="96"/>
  <c r="F38" i="96" s="1"/>
  <c r="F45" i="97"/>
  <c r="F44" i="97"/>
  <c r="F43" i="97"/>
  <c r="A42" i="97"/>
  <c r="F37" i="97"/>
  <c r="F36" i="97"/>
  <c r="F38" i="97" s="1"/>
  <c r="F45" i="94"/>
  <c r="F44" i="94"/>
  <c r="F43" i="94"/>
  <c r="A42" i="94"/>
  <c r="F37" i="94"/>
  <c r="F36" i="94"/>
  <c r="F38" i="94" s="1"/>
  <c r="F45" i="95"/>
  <c r="F44" i="95"/>
  <c r="F43" i="95"/>
  <c r="A42" i="95"/>
  <c r="F37" i="95"/>
  <c r="F36" i="95"/>
  <c r="F38" i="95" s="1"/>
  <c r="F45" i="91"/>
  <c r="F44" i="91"/>
  <c r="F43" i="91"/>
  <c r="A42" i="91"/>
  <c r="F37" i="91"/>
  <c r="F36" i="91"/>
  <c r="F38" i="91" s="1"/>
  <c r="F45" i="93"/>
  <c r="F44" i="93"/>
  <c r="F43" i="93"/>
  <c r="F37" i="93"/>
  <c r="F36" i="93"/>
  <c r="F38" i="93" s="1"/>
  <c r="F45" i="92"/>
  <c r="F44" i="92"/>
  <c r="F43" i="92"/>
  <c r="F37" i="92"/>
  <c r="F38" i="92" s="1"/>
  <c r="F45" i="87"/>
  <c r="F44" i="87"/>
  <c r="F43" i="87"/>
  <c r="F37" i="87"/>
  <c r="F36" i="87"/>
  <c r="F38" i="87" s="1"/>
  <c r="F45" i="90"/>
  <c r="F44" i="90"/>
  <c r="F43" i="90"/>
  <c r="A42" i="90"/>
  <c r="F37" i="90"/>
  <c r="F36" i="90"/>
  <c r="F38" i="90" s="1"/>
  <c r="F45" i="89"/>
  <c r="F44" i="89"/>
  <c r="F43" i="89"/>
  <c r="A42" i="89"/>
  <c r="F37" i="89"/>
  <c r="F38" i="89"/>
  <c r="F45" i="88"/>
  <c r="F44" i="88"/>
  <c r="F43" i="88"/>
  <c r="A42" i="88"/>
  <c r="F37" i="88"/>
  <c r="F36" i="88"/>
  <c r="F38" i="88" s="1"/>
  <c r="F45" i="84"/>
  <c r="F44" i="84"/>
  <c r="F43" i="84"/>
  <c r="A42" i="84"/>
  <c r="F37" i="84"/>
  <c r="F36" i="84"/>
  <c r="F38" i="84" s="1"/>
  <c r="F45" i="86"/>
  <c r="F44" i="86"/>
  <c r="F43" i="86"/>
  <c r="A42" i="86"/>
  <c r="F37" i="86"/>
  <c r="F36" i="86"/>
  <c r="F38" i="86" s="1"/>
  <c r="F45" i="85"/>
  <c r="F44" i="85"/>
  <c r="F43" i="85"/>
  <c r="A42" i="85"/>
  <c r="F37" i="85"/>
  <c r="F38" i="85"/>
  <c r="F45" i="73"/>
  <c r="F44" i="73"/>
  <c r="F43" i="73"/>
  <c r="A42" i="73"/>
  <c r="F37" i="73"/>
  <c r="F36" i="73"/>
  <c r="F38" i="73" s="1"/>
  <c r="F45" i="82"/>
  <c r="F44" i="82"/>
  <c r="F43" i="82"/>
  <c r="F37" i="82"/>
  <c r="F36" i="82"/>
  <c r="F38" i="82" s="1"/>
  <c r="F45" i="81"/>
  <c r="F44" i="81"/>
  <c r="F43" i="81"/>
  <c r="F37" i="81"/>
  <c r="F36" i="81"/>
  <c r="F38" i="81" s="1"/>
  <c r="F45" i="76"/>
  <c r="F44" i="76"/>
  <c r="F43" i="76"/>
  <c r="F37" i="76"/>
  <c r="F36" i="76"/>
  <c r="F38" i="76" s="1"/>
  <c r="F48" i="75"/>
  <c r="F47" i="75"/>
  <c r="F46" i="75"/>
  <c r="F40" i="75"/>
  <c r="F39" i="75"/>
  <c r="F41" i="75" s="1"/>
  <c r="F45" i="77"/>
  <c r="F44" i="77"/>
  <c r="F43" i="77"/>
  <c r="F37" i="77"/>
  <c r="F36" i="77"/>
  <c r="F38" i="77" s="1"/>
  <c r="F47" i="79"/>
  <c r="F46" i="79"/>
  <c r="F45" i="79"/>
  <c r="F39" i="79"/>
  <c r="F38" i="79"/>
  <c r="F40" i="79" s="1"/>
  <c r="F45" i="80"/>
  <c r="F44" i="80"/>
  <c r="F43" i="80"/>
  <c r="F37" i="80"/>
  <c r="F36" i="80"/>
  <c r="F45" i="78"/>
  <c r="F44" i="78"/>
  <c r="F43" i="78"/>
  <c r="F37" i="78"/>
  <c r="F36" i="78"/>
  <c r="F38" i="78" s="1"/>
  <c r="F45" i="74"/>
  <c r="F44" i="74"/>
  <c r="F43" i="74"/>
  <c r="F37" i="74"/>
  <c r="F36" i="74"/>
  <c r="F38" i="74" s="1"/>
  <c r="F45" i="65"/>
  <c r="F44" i="65"/>
  <c r="F43" i="65"/>
  <c r="F37" i="65"/>
  <c r="F36" i="65"/>
  <c r="F38" i="65" s="1"/>
  <c r="F45" i="68"/>
  <c r="F44" i="68"/>
  <c r="F43" i="68"/>
  <c r="F37" i="68"/>
  <c r="F36" i="68"/>
  <c r="F38" i="68" s="1"/>
  <c r="F45" i="71"/>
  <c r="F44" i="71"/>
  <c r="F43" i="71"/>
  <c r="F37" i="71"/>
  <c r="F36" i="71"/>
  <c r="F38" i="71" s="1"/>
  <c r="F47" i="72"/>
  <c r="F46" i="72"/>
  <c r="F45" i="72"/>
  <c r="F39" i="72"/>
  <c r="F38" i="72"/>
  <c r="F40" i="72" s="1"/>
  <c r="F45" i="70"/>
  <c r="F44" i="70"/>
  <c r="F43" i="70"/>
  <c r="F37" i="70"/>
  <c r="F36" i="70"/>
  <c r="F38" i="70" s="1"/>
  <c r="F45" i="69"/>
  <c r="F44" i="69"/>
  <c r="F43" i="69"/>
  <c r="F37" i="69"/>
  <c r="F36" i="69"/>
  <c r="F38" i="69" s="1"/>
  <c r="F45" i="67"/>
  <c r="F44" i="67"/>
  <c r="F43" i="67"/>
  <c r="F37" i="67"/>
  <c r="F36" i="67"/>
  <c r="F38" i="67" s="1"/>
  <c r="F46" i="66"/>
  <c r="F45" i="66"/>
  <c r="F44" i="66"/>
  <c r="F38" i="66"/>
  <c r="F37" i="66"/>
  <c r="F39" i="66" s="1"/>
  <c r="F45" i="64"/>
  <c r="F44" i="64"/>
  <c r="F43" i="64"/>
  <c r="F37" i="64"/>
  <c r="F36" i="64"/>
  <c r="F38" i="64" s="1"/>
  <c r="F45" i="60"/>
  <c r="F44" i="60"/>
  <c r="F43" i="60"/>
  <c r="A42" i="60"/>
  <c r="F37" i="60"/>
  <c r="F36" i="60"/>
  <c r="F38" i="60" s="1"/>
  <c r="F45" i="63"/>
  <c r="F44" i="63"/>
  <c r="F45" i="62"/>
  <c r="F44" i="62"/>
  <c r="F43" i="62"/>
  <c r="F45" i="49"/>
  <c r="F44" i="49"/>
  <c r="F43" i="49"/>
  <c r="A42" i="49"/>
  <c r="F37" i="49"/>
  <c r="F36" i="49"/>
  <c r="F38" i="49" s="1"/>
  <c r="E16" i="49"/>
  <c r="F43" i="54"/>
  <c r="F44" i="54"/>
  <c r="F45" i="54"/>
  <c r="F37" i="54"/>
  <c r="F36" i="54"/>
  <c r="F38" i="54" s="1"/>
  <c r="F30" i="57"/>
  <c r="F29" i="57"/>
  <c r="L25" i="57"/>
  <c r="M25" i="57" s="1"/>
  <c r="D25" i="57" s="1"/>
  <c r="F43" i="57"/>
  <c r="F44" i="57"/>
  <c r="F45" i="57"/>
  <c r="D36" i="58"/>
  <c r="F36" i="58"/>
  <c r="E16" i="58"/>
  <c r="F29" i="58"/>
  <c r="F30" i="58"/>
  <c r="F38" i="80" l="1"/>
  <c r="F43" i="58"/>
  <c r="F44" i="58"/>
  <c r="F45" i="58"/>
  <c r="F43" i="59"/>
  <c r="F44" i="59"/>
  <c r="F45" i="59"/>
  <c r="F29" i="59"/>
  <c r="F30" i="59"/>
  <c r="F43" i="55"/>
  <c r="F44" i="55"/>
  <c r="E26" i="101"/>
  <c r="F26" i="101" s="1"/>
  <c r="E25" i="101"/>
  <c r="F25" i="101" s="1"/>
  <c r="E24" i="101"/>
  <c r="F24" i="101" s="1"/>
  <c r="E23" i="101"/>
  <c r="F23" i="101" s="1"/>
  <c r="F18" i="101"/>
  <c r="F17" i="101"/>
  <c r="F16" i="101"/>
  <c r="F15" i="101"/>
  <c r="F14" i="101"/>
  <c r="F19" i="101" s="1"/>
  <c r="B9" i="101"/>
  <c r="F45" i="55"/>
  <c r="F28" i="55"/>
  <c r="F29" i="55"/>
  <c r="F30" i="55"/>
  <c r="F43" i="56"/>
  <c r="F44" i="56"/>
  <c r="F45" i="56"/>
  <c r="F43" i="50"/>
  <c r="F44" i="50"/>
  <c r="F45" i="50"/>
  <c r="F29" i="56"/>
  <c r="F30" i="56"/>
  <c r="F28" i="56"/>
  <c r="J27" i="56"/>
  <c r="L27" i="56"/>
  <c r="D27" i="56" s="1"/>
  <c r="J26" i="56"/>
  <c r="L26" i="56" s="1"/>
  <c r="M26" i="56" s="1"/>
  <c r="D26" i="56" s="1"/>
  <c r="E16" i="56"/>
  <c r="F43" i="51"/>
  <c r="F44" i="51"/>
  <c r="F45" i="51"/>
  <c r="F43" i="52"/>
  <c r="F44" i="52"/>
  <c r="F45" i="52"/>
  <c r="F28" i="52"/>
  <c r="F29" i="52"/>
  <c r="F30" i="52"/>
  <c r="F43" i="53"/>
  <c r="F44" i="53"/>
  <c r="F45" i="53"/>
  <c r="F37" i="53"/>
  <c r="F26" i="53"/>
  <c r="F27" i="53"/>
  <c r="F28" i="53"/>
  <c r="F29" i="53"/>
  <c r="F30" i="53"/>
  <c r="F43" i="7"/>
  <c r="F44" i="7"/>
  <c r="F45" i="7"/>
  <c r="F24" i="6"/>
  <c r="F18" i="6"/>
  <c r="F25" i="6"/>
  <c r="F26" i="6"/>
  <c r="F27" i="6"/>
  <c r="F28" i="6"/>
  <c r="F29" i="6"/>
  <c r="F30" i="6"/>
  <c r="F31" i="6"/>
  <c r="F43" i="6"/>
  <c r="F44" i="6"/>
  <c r="F45" i="6"/>
  <c r="F29" i="50"/>
  <c r="F30" i="50"/>
  <c r="F16" i="50"/>
  <c r="D15" i="50"/>
  <c r="F29" i="101" l="1"/>
  <c r="F30" i="51" l="1"/>
  <c r="F27" i="51"/>
  <c r="F28" i="51"/>
  <c r="F29" i="51"/>
  <c r="F26" i="51"/>
  <c r="E16" i="51"/>
  <c r="E24" i="53"/>
  <c r="F15" i="100" l="1"/>
  <c r="F14" i="100"/>
  <c r="F19" i="100" s="1"/>
  <c r="F15" i="9"/>
  <c r="F14" i="9"/>
  <c r="F41" i="26"/>
  <c r="E26" i="99"/>
  <c r="F26" i="99" s="1"/>
  <c r="E25" i="99"/>
  <c r="F25" i="99" s="1"/>
  <c r="E24" i="99"/>
  <c r="F24" i="99" s="1"/>
  <c r="E23" i="99"/>
  <c r="F23" i="99" s="1"/>
  <c r="F27" i="100"/>
  <c r="F28" i="100"/>
  <c r="E23" i="100"/>
  <c r="F26" i="100"/>
  <c r="F23" i="100"/>
  <c r="F18" i="100"/>
  <c r="F17" i="100"/>
  <c r="F16" i="100"/>
  <c r="B9" i="100"/>
  <c r="F18" i="99"/>
  <c r="F17" i="99"/>
  <c r="F16" i="99"/>
  <c r="F15" i="99"/>
  <c r="F14" i="99"/>
  <c r="F19" i="99" s="1"/>
  <c r="B9" i="99"/>
  <c r="E25" i="26"/>
  <c r="E23" i="26"/>
  <c r="E26" i="9"/>
  <c r="E25" i="9"/>
  <c r="E24" i="9"/>
  <c r="E23" i="9"/>
  <c r="F17" i="53"/>
  <c r="F18" i="53"/>
  <c r="E16" i="53"/>
  <c r="F16" i="53" s="1"/>
  <c r="B10" i="98"/>
  <c r="B10" i="45"/>
  <c r="F29" i="99" l="1"/>
  <c r="A42" i="54"/>
  <c r="A42" i="57"/>
  <c r="A42" i="58"/>
  <c r="A42" i="59"/>
  <c r="A42" i="55"/>
  <c r="A42" i="56"/>
  <c r="A42" i="50"/>
  <c r="A42" i="51"/>
  <c r="A42" i="52"/>
  <c r="A42" i="53"/>
  <c r="A42" i="7"/>
  <c r="A42" i="6"/>
  <c r="A42" i="5"/>
  <c r="F20" i="4"/>
  <c r="D54" i="4" l="1"/>
  <c r="D55" i="4"/>
  <c r="D56" i="4"/>
  <c r="D53" i="4"/>
  <c r="F45" i="4"/>
  <c r="J23" i="4"/>
  <c r="I23" i="4"/>
  <c r="K22" i="4"/>
  <c r="K21" i="4"/>
  <c r="K20" i="4"/>
  <c r="K23" i="4" s="1"/>
  <c r="D26" i="4"/>
  <c r="E17" i="4" l="1"/>
  <c r="E42" i="4"/>
  <c r="E25" i="4"/>
  <c r="F25" i="4" s="1"/>
  <c r="E24" i="4"/>
  <c r="F24" i="4" s="1"/>
  <c r="E23" i="4"/>
  <c r="F23" i="4" s="1"/>
  <c r="E22" i="4" l="1"/>
  <c r="F22" i="4" s="1"/>
  <c r="F17" i="4"/>
  <c r="E21" i="4"/>
  <c r="F21" i="4" s="1"/>
  <c r="E20" i="4"/>
  <c r="D20" i="4" s="1"/>
  <c r="F42" i="4"/>
  <c r="E56" i="4"/>
  <c r="F56" i="4" s="1"/>
  <c r="E31" i="4"/>
  <c r="F31" i="4" s="1"/>
  <c r="E30" i="4"/>
  <c r="F30" i="4" s="1"/>
  <c r="E29" i="4"/>
  <c r="F29" i="4" s="1"/>
  <c r="E28" i="4"/>
  <c r="E26" i="4"/>
  <c r="F26" i="4" s="1"/>
  <c r="B9" i="4" l="1"/>
  <c r="F9" i="96"/>
  <c r="B10" i="96"/>
  <c r="F9" i="97"/>
  <c r="B10" i="97"/>
  <c r="F31" i="97"/>
  <c r="F28" i="97"/>
  <c r="F27" i="97"/>
  <c r="F26" i="97"/>
  <c r="F25" i="97"/>
  <c r="F19" i="97"/>
  <c r="F18" i="97"/>
  <c r="F17" i="97"/>
  <c r="F16" i="97"/>
  <c r="D15" i="97"/>
  <c r="B9" i="97"/>
  <c r="F31" i="96"/>
  <c r="F28" i="96"/>
  <c r="F27" i="96"/>
  <c r="F26" i="96"/>
  <c r="F25" i="96"/>
  <c r="F19" i="96"/>
  <c r="F18" i="96"/>
  <c r="F17" i="96"/>
  <c r="F16" i="96"/>
  <c r="D15" i="96"/>
  <c r="B9" i="96"/>
  <c r="F9" i="94"/>
  <c r="B9" i="94"/>
  <c r="F9" i="95"/>
  <c r="B10" i="95"/>
  <c r="F31" i="95"/>
  <c r="F27" i="95"/>
  <c r="F26" i="95"/>
  <c r="F25" i="95"/>
  <c r="F19" i="95"/>
  <c r="F18" i="95"/>
  <c r="F17" i="95"/>
  <c r="F16" i="95"/>
  <c r="D15" i="95"/>
  <c r="B9" i="95"/>
  <c r="F31" i="94"/>
  <c r="I26" i="94"/>
  <c r="L26" i="94" s="1"/>
  <c r="D26" i="94" s="1"/>
  <c r="F26" i="94" s="1"/>
  <c r="L25" i="94"/>
  <c r="M25" i="94" s="1"/>
  <c r="D25" i="94" s="1"/>
  <c r="F25" i="94" s="1"/>
  <c r="F19" i="94"/>
  <c r="F18" i="94"/>
  <c r="F17" i="94"/>
  <c r="F16" i="94"/>
  <c r="D15" i="94"/>
  <c r="F9" i="91"/>
  <c r="B10" i="91"/>
  <c r="B9" i="91"/>
  <c r="F9" i="93"/>
  <c r="B10" i="93"/>
  <c r="F9" i="92"/>
  <c r="B10" i="92"/>
  <c r="F31" i="93"/>
  <c r="F28" i="93"/>
  <c r="F19" i="93"/>
  <c r="F18" i="93"/>
  <c r="F17" i="93"/>
  <c r="F16" i="93"/>
  <c r="D15" i="93"/>
  <c r="B9" i="93"/>
  <c r="F19" i="92"/>
  <c r="F18" i="92"/>
  <c r="F17" i="92"/>
  <c r="F16" i="92"/>
  <c r="D15" i="92"/>
  <c r="B9" i="92"/>
  <c r="F31" i="91"/>
  <c r="F28" i="91"/>
  <c r="F19" i="91"/>
  <c r="F18" i="91"/>
  <c r="F17" i="91"/>
  <c r="F16" i="91"/>
  <c r="D15" i="91"/>
  <c r="F9" i="87"/>
  <c r="B10" i="87"/>
  <c r="B9" i="87"/>
  <c r="F9" i="90"/>
  <c r="B10" i="90"/>
  <c r="F9" i="89"/>
  <c r="B10" i="89"/>
  <c r="F9" i="88"/>
  <c r="B10" i="88"/>
  <c r="F31" i="90"/>
  <c r="F28" i="90"/>
  <c r="F27" i="90"/>
  <c r="F26" i="90"/>
  <c r="F25" i="90"/>
  <c r="F19" i="90"/>
  <c r="F18" i="90"/>
  <c r="F17" i="90"/>
  <c r="F16" i="90"/>
  <c r="D15" i="90"/>
  <c r="B9" i="90"/>
  <c r="F31" i="89"/>
  <c r="F27" i="89"/>
  <c r="F26" i="89"/>
  <c r="F25" i="89"/>
  <c r="F19" i="89"/>
  <c r="F18" i="89"/>
  <c r="F17" i="89"/>
  <c r="F16" i="89"/>
  <c r="D15" i="89"/>
  <c r="B9" i="89"/>
  <c r="F31" i="88"/>
  <c r="F28" i="88"/>
  <c r="F27" i="88"/>
  <c r="F26" i="88"/>
  <c r="F25" i="88"/>
  <c r="F19" i="88"/>
  <c r="F18" i="88"/>
  <c r="F17" i="88"/>
  <c r="F16" i="88"/>
  <c r="D15" i="88"/>
  <c r="B9" i="88"/>
  <c r="F19" i="87"/>
  <c r="F18" i="87"/>
  <c r="F17" i="87"/>
  <c r="F16" i="87"/>
  <c r="D15" i="87"/>
  <c r="F9" i="84"/>
  <c r="B10" i="84"/>
  <c r="B9" i="84"/>
  <c r="F9" i="86"/>
  <c r="B10" i="86"/>
  <c r="F9" i="85"/>
  <c r="B10" i="85"/>
  <c r="B9" i="86"/>
  <c r="B9" i="85"/>
  <c r="F19" i="86"/>
  <c r="F18" i="86"/>
  <c r="F17" i="86"/>
  <c r="F16" i="86"/>
  <c r="D15" i="86"/>
  <c r="F19" i="85"/>
  <c r="F16" i="85"/>
  <c r="D15" i="85"/>
  <c r="F31" i="84"/>
  <c r="F27" i="84"/>
  <c r="F26" i="84"/>
  <c r="F25" i="84"/>
  <c r="F19" i="84"/>
  <c r="F18" i="84"/>
  <c r="F17" i="84"/>
  <c r="F16" i="84"/>
  <c r="D15" i="84"/>
  <c r="F9" i="73"/>
  <c r="B10" i="73"/>
  <c r="B9" i="73"/>
  <c r="F9" i="82"/>
  <c r="B10" i="82"/>
  <c r="F9" i="81"/>
  <c r="B10" i="81"/>
  <c r="F19" i="82"/>
  <c r="F18" i="82"/>
  <c r="F17" i="82"/>
  <c r="F16" i="82"/>
  <c r="D15" i="82"/>
  <c r="B9" i="82"/>
  <c r="F19" i="81"/>
  <c r="F18" i="81"/>
  <c r="F17" i="81"/>
  <c r="F16" i="81"/>
  <c r="D15" i="81"/>
  <c r="B9" i="81"/>
  <c r="F9" i="76"/>
  <c r="B10" i="76"/>
  <c r="F9" i="75"/>
  <c r="B10" i="75"/>
  <c r="F9" i="77"/>
  <c r="B10" i="77"/>
  <c r="F9" i="79"/>
  <c r="B10" i="79"/>
  <c r="F9" i="80"/>
  <c r="B10" i="80"/>
  <c r="F9" i="78"/>
  <c r="B10" i="78"/>
  <c r="F9" i="74"/>
  <c r="B10" i="74"/>
  <c r="F19" i="80"/>
  <c r="F18" i="80"/>
  <c r="F17" i="80"/>
  <c r="F16" i="80"/>
  <c r="D15" i="80"/>
  <c r="B9" i="80"/>
  <c r="F19" i="79"/>
  <c r="F18" i="79"/>
  <c r="F17" i="79"/>
  <c r="F16" i="79"/>
  <c r="D15" i="79"/>
  <c r="B9" i="79"/>
  <c r="F19" i="78"/>
  <c r="F18" i="78"/>
  <c r="F17" i="78"/>
  <c r="F16" i="78"/>
  <c r="D15" i="78"/>
  <c r="B9" i="78"/>
  <c r="F19" i="77"/>
  <c r="F18" i="77"/>
  <c r="F17" i="77"/>
  <c r="F16" i="77"/>
  <c r="D15" i="77"/>
  <c r="B9" i="77"/>
  <c r="F19" i="76"/>
  <c r="F18" i="76"/>
  <c r="F17" i="76"/>
  <c r="F16" i="76"/>
  <c r="D15" i="76"/>
  <c r="B9" i="76"/>
  <c r="F19" i="75"/>
  <c r="F18" i="75"/>
  <c r="F17" i="75"/>
  <c r="F16" i="75"/>
  <c r="D15" i="75"/>
  <c r="B9" i="75"/>
  <c r="F19" i="74"/>
  <c r="F18" i="74"/>
  <c r="F17" i="74"/>
  <c r="F16" i="74"/>
  <c r="D15" i="74"/>
  <c r="B9" i="74"/>
  <c r="F31" i="73"/>
  <c r="F27" i="73"/>
  <c r="F26" i="73"/>
  <c r="F25" i="73"/>
  <c r="F19" i="73"/>
  <c r="F18" i="73"/>
  <c r="F17" i="73"/>
  <c r="F16" i="73"/>
  <c r="D15" i="73"/>
  <c r="F9" i="65"/>
  <c r="B10" i="65"/>
  <c r="B9" i="65"/>
  <c r="F9" i="68"/>
  <c r="B10" i="68"/>
  <c r="B10" i="71"/>
  <c r="F9" i="71"/>
  <c r="F9" i="72"/>
  <c r="B10" i="72"/>
  <c r="F9" i="70"/>
  <c r="B10" i="70"/>
  <c r="F9" i="69"/>
  <c r="B10" i="69"/>
  <c r="F9" i="67"/>
  <c r="B10" i="67"/>
  <c r="F9" i="66"/>
  <c r="B10" i="66"/>
  <c r="F19" i="72"/>
  <c r="F18" i="72"/>
  <c r="F17" i="72"/>
  <c r="F16" i="72"/>
  <c r="D15" i="72"/>
  <c r="B9" i="72"/>
  <c r="F19" i="71"/>
  <c r="F18" i="71"/>
  <c r="F17" i="71"/>
  <c r="F16" i="71"/>
  <c r="D15" i="71"/>
  <c r="B9" i="71"/>
  <c r="F19" i="70"/>
  <c r="F18" i="70"/>
  <c r="F17" i="70"/>
  <c r="F16" i="70"/>
  <c r="D15" i="70"/>
  <c r="B9" i="70"/>
  <c r="F19" i="69"/>
  <c r="F18" i="69"/>
  <c r="F17" i="69"/>
  <c r="F16" i="69"/>
  <c r="D15" i="69"/>
  <c r="B9" i="69"/>
  <c r="F19" i="68"/>
  <c r="F18" i="68"/>
  <c r="F17" i="68"/>
  <c r="F16" i="68"/>
  <c r="D15" i="68"/>
  <c r="B9" i="68"/>
  <c r="F19" i="67"/>
  <c r="F18" i="67"/>
  <c r="F17" i="67"/>
  <c r="F16" i="67"/>
  <c r="D15" i="67"/>
  <c r="B9" i="67"/>
  <c r="F32" i="66"/>
  <c r="F19" i="66"/>
  <c r="F18" i="66"/>
  <c r="F17" i="66"/>
  <c r="F16" i="66"/>
  <c r="D15" i="66"/>
  <c r="B9" i="66"/>
  <c r="F31" i="65"/>
  <c r="F27" i="65"/>
  <c r="F26" i="65"/>
  <c r="F25" i="65"/>
  <c r="F19" i="65"/>
  <c r="F18" i="65"/>
  <c r="F17" i="65"/>
  <c r="F16" i="65"/>
  <c r="D15" i="65"/>
  <c r="F9" i="64"/>
  <c r="B10" i="64"/>
  <c r="B9" i="64"/>
  <c r="F9" i="60"/>
  <c r="B10" i="60"/>
  <c r="F9" i="63"/>
  <c r="B10" i="63"/>
  <c r="F9" i="62"/>
  <c r="B10" i="62"/>
  <c r="F9" i="61"/>
  <c r="B10" i="61"/>
  <c r="F31" i="64"/>
  <c r="F28" i="64"/>
  <c r="F27" i="64"/>
  <c r="F25" i="64"/>
  <c r="F19" i="64"/>
  <c r="F18" i="64"/>
  <c r="F17" i="64"/>
  <c r="F16" i="64"/>
  <c r="D15" i="64"/>
  <c r="B9" i="63"/>
  <c r="B9" i="62"/>
  <c r="B9" i="61"/>
  <c r="F31" i="60"/>
  <c r="F28" i="60"/>
  <c r="F27" i="60"/>
  <c r="F26" i="60"/>
  <c r="F19" i="60"/>
  <c r="F18" i="60"/>
  <c r="F17" i="60"/>
  <c r="F16" i="60"/>
  <c r="D15" i="60"/>
  <c r="B9" i="60"/>
  <c r="F9" i="49"/>
  <c r="B10" i="49"/>
  <c r="B9" i="49"/>
  <c r="F9" i="54"/>
  <c r="B10" i="54"/>
  <c r="B9" i="54"/>
  <c r="F9" i="57"/>
  <c r="B10" i="57"/>
  <c r="B9" i="57"/>
  <c r="F9" i="58"/>
  <c r="B10" i="58"/>
  <c r="B9" i="58"/>
  <c r="F9" i="59"/>
  <c r="B10" i="59"/>
  <c r="B9" i="59"/>
  <c r="F9" i="55"/>
  <c r="B10" i="55"/>
  <c r="B9" i="55"/>
  <c r="F9" i="56"/>
  <c r="B10" i="56"/>
  <c r="B9" i="56"/>
  <c r="F9" i="50"/>
  <c r="B10" i="50"/>
  <c r="B9" i="50"/>
  <c r="F9" i="51"/>
  <c r="B10" i="51"/>
  <c r="B9" i="51"/>
  <c r="F9" i="52"/>
  <c r="B10" i="52"/>
  <c r="B9" i="52"/>
  <c r="F9" i="53"/>
  <c r="B10" i="53"/>
  <c r="B9" i="53"/>
  <c r="F9" i="7"/>
  <c r="B10" i="7"/>
  <c r="B9" i="7"/>
  <c r="B9" i="6"/>
  <c r="F9" i="5"/>
  <c r="B10" i="5"/>
  <c r="B9" i="5"/>
  <c r="F37" i="59"/>
  <c r="F36" i="59"/>
  <c r="F38" i="59" s="1"/>
  <c r="F31" i="59"/>
  <c r="F28" i="59"/>
  <c r="F27" i="59"/>
  <c r="F26" i="59"/>
  <c r="F25" i="59"/>
  <c r="F19" i="59"/>
  <c r="F18" i="59"/>
  <c r="F17" i="59"/>
  <c r="F16" i="59"/>
  <c r="D15" i="59"/>
  <c r="F37" i="58"/>
  <c r="F38" i="58"/>
  <c r="F31" i="58"/>
  <c r="F28" i="58"/>
  <c r="F27" i="58"/>
  <c r="F26" i="58"/>
  <c r="F19" i="58"/>
  <c r="F18" i="58"/>
  <c r="F17" i="58"/>
  <c r="F16" i="58"/>
  <c r="D15" i="58"/>
  <c r="F37" i="57"/>
  <c r="F36" i="57"/>
  <c r="F38" i="57" s="1"/>
  <c r="F31" i="57"/>
  <c r="F28" i="57"/>
  <c r="F26" i="57"/>
  <c r="F25" i="57"/>
  <c r="F19" i="57"/>
  <c r="F18" i="57"/>
  <c r="F17" i="57"/>
  <c r="F16" i="57"/>
  <c r="D15" i="57"/>
  <c r="F37" i="56"/>
  <c r="F36" i="56"/>
  <c r="F38" i="56" s="1"/>
  <c r="F31" i="56"/>
  <c r="F26" i="56"/>
  <c r="F27" i="56"/>
  <c r="F25" i="56"/>
  <c r="F19" i="56"/>
  <c r="F18" i="56"/>
  <c r="F17" i="56"/>
  <c r="F16" i="56"/>
  <c r="D15" i="56"/>
  <c r="F37" i="55"/>
  <c r="F36" i="55"/>
  <c r="F38" i="55" s="1"/>
  <c r="F31" i="55"/>
  <c r="F27" i="55"/>
  <c r="F26" i="55"/>
  <c r="F25" i="55"/>
  <c r="F19" i="55"/>
  <c r="F18" i="55"/>
  <c r="F17" i="55"/>
  <c r="F16" i="55"/>
  <c r="D15" i="55"/>
  <c r="F19" i="54"/>
  <c r="F18" i="54"/>
  <c r="F17" i="54"/>
  <c r="F16" i="54"/>
  <c r="D15" i="54"/>
  <c r="F38" i="53"/>
  <c r="F31" i="53"/>
  <c r="F25" i="53"/>
  <c r="F19" i="53"/>
  <c r="D15" i="53"/>
  <c r="F37" i="52"/>
  <c r="F36" i="52"/>
  <c r="F38" i="52" s="1"/>
  <c r="F31" i="52"/>
  <c r="F27" i="52"/>
  <c r="F26" i="52"/>
  <c r="F25" i="52"/>
  <c r="F19" i="52"/>
  <c r="F18" i="52"/>
  <c r="F17" i="52"/>
  <c r="F16" i="52"/>
  <c r="D15" i="52"/>
  <c r="F37" i="51"/>
  <c r="F36" i="51"/>
  <c r="F38" i="51" s="1"/>
  <c r="F31" i="51"/>
  <c r="F25" i="51"/>
  <c r="F19" i="51"/>
  <c r="F18" i="51"/>
  <c r="F17" i="51"/>
  <c r="F16" i="51"/>
  <c r="D15" i="51"/>
  <c r="F37" i="50"/>
  <c r="F36" i="50"/>
  <c r="F38" i="50" s="1"/>
  <c r="F31" i="50"/>
  <c r="F28" i="50"/>
  <c r="F27" i="50"/>
  <c r="F26" i="50"/>
  <c r="F25" i="50"/>
  <c r="F19" i="50"/>
  <c r="F18" i="50"/>
  <c r="F17" i="50"/>
  <c r="F31" i="49"/>
  <c r="F19" i="49"/>
  <c r="F18" i="49"/>
  <c r="F17" i="49"/>
  <c r="F16" i="49"/>
  <c r="D15" i="49"/>
  <c r="K116" i="44"/>
  <c r="E35" i="1" s="1"/>
  <c r="D30" i="46" s="1"/>
  <c r="D116" i="44"/>
  <c r="C116" i="44"/>
  <c r="B116" i="44"/>
  <c r="K94" i="44"/>
  <c r="K93" i="44"/>
  <c r="K92" i="44" s="1"/>
  <c r="E29" i="1" s="1"/>
  <c r="D24" i="46" s="1"/>
  <c r="D92" i="44"/>
  <c r="C92" i="44"/>
  <c r="B92" i="44"/>
  <c r="K48" i="44"/>
  <c r="K50" i="44"/>
  <c r="K237" i="44"/>
  <c r="K227" i="44"/>
  <c r="E76" i="1" s="1"/>
  <c r="D71" i="46" s="1"/>
  <c r="K219" i="44"/>
  <c r="K220" i="44"/>
  <c r="K221" i="44"/>
  <c r="K222" i="44"/>
  <c r="K223" i="44"/>
  <c r="K224" i="44"/>
  <c r="K225" i="44"/>
  <c r="K226" i="44"/>
  <c r="K214" i="44"/>
  <c r="K211" i="44"/>
  <c r="K212" i="44"/>
  <c r="K209" i="44"/>
  <c r="E207" i="44"/>
  <c r="K216" i="44"/>
  <c r="K215" i="44"/>
  <c r="K213" i="44"/>
  <c r="I206" i="44"/>
  <c r="K206" i="44" s="1"/>
  <c r="I208" i="44"/>
  <c r="C227" i="44"/>
  <c r="C238" i="44"/>
  <c r="K244" i="44"/>
  <c r="K243" i="44"/>
  <c r="E80" i="1" s="1"/>
  <c r="D75" i="46" s="1"/>
  <c r="K242" i="44"/>
  <c r="K241" i="44"/>
  <c r="E79" i="1" s="1"/>
  <c r="D74" i="46" s="1"/>
  <c r="K201" i="44"/>
  <c r="K200" i="44" s="1"/>
  <c r="E72" i="1" s="1"/>
  <c r="D67" i="46" s="1"/>
  <c r="K199" i="44"/>
  <c r="K198" i="44" s="1"/>
  <c r="E71" i="1" s="1"/>
  <c r="D66" i="46" s="1"/>
  <c r="K192" i="44"/>
  <c r="K193" i="44"/>
  <c r="K194" i="44"/>
  <c r="K195" i="44"/>
  <c r="K188" i="44"/>
  <c r="E68" i="1" s="1"/>
  <c r="D63" i="46" s="1"/>
  <c r="K187" i="44"/>
  <c r="K186" i="44"/>
  <c r="K185" i="44"/>
  <c r="E67" i="1" s="1"/>
  <c r="D62" i="46" s="1"/>
  <c r="K184" i="44"/>
  <c r="K183" i="44"/>
  <c r="K182" i="44"/>
  <c r="E66" i="1" s="1"/>
  <c r="D61" i="46" s="1"/>
  <c r="K181" i="44"/>
  <c r="K180" i="44"/>
  <c r="K179" i="44" s="1"/>
  <c r="E65" i="1" s="1"/>
  <c r="D60" i="46" s="1"/>
  <c r="K175" i="44"/>
  <c r="K174" i="44"/>
  <c r="E62" i="1" s="1"/>
  <c r="D57" i="46" s="1"/>
  <c r="K173" i="44"/>
  <c r="K172" i="44" s="1"/>
  <c r="E61" i="1" s="1"/>
  <c r="D56" i="46" s="1"/>
  <c r="K170" i="44"/>
  <c r="E60" i="1" s="1"/>
  <c r="D55" i="46" s="1"/>
  <c r="K165" i="44"/>
  <c r="K168" i="44"/>
  <c r="K163" i="44"/>
  <c r="K162" i="44"/>
  <c r="K157" i="44"/>
  <c r="K155" i="44"/>
  <c r="K151" i="44"/>
  <c r="K149" i="44"/>
  <c r="K147" i="44"/>
  <c r="K145" i="44"/>
  <c r="K144" i="44" s="1"/>
  <c r="E50" i="1" s="1"/>
  <c r="D45" i="46" s="1"/>
  <c r="D146" i="44"/>
  <c r="C146" i="44"/>
  <c r="B146" i="44"/>
  <c r="K146" i="44"/>
  <c r="E51" i="1" s="1"/>
  <c r="D46" i="46" s="1"/>
  <c r="D33" i="4" l="1"/>
  <c r="F28" i="4"/>
  <c r="F35" i="4" s="1"/>
  <c r="D39" i="105" s="1"/>
  <c r="F39" i="105" s="1"/>
  <c r="K207" i="44"/>
  <c r="K208" i="44"/>
  <c r="K205" i="44"/>
  <c r="E75" i="1" s="1"/>
  <c r="D70" i="46" s="1"/>
  <c r="K191" i="44"/>
  <c r="E70" i="1" s="1"/>
  <c r="D65" i="46" s="1"/>
  <c r="G9" i="150" l="1"/>
  <c r="H9" i="150" s="1"/>
  <c r="G8" i="150"/>
  <c r="H8" i="150" s="1"/>
  <c r="H10" i="150" s="1"/>
  <c r="H11" i="150" s="1"/>
  <c r="F36" i="4"/>
  <c r="D39" i="101"/>
  <c r="F39" i="101" s="1"/>
  <c r="D40" i="26"/>
  <c r="F40" i="26" s="1"/>
  <c r="F44" i="26" s="1"/>
  <c r="D39" i="100"/>
  <c r="F39" i="100" s="1"/>
  <c r="D39" i="9"/>
  <c r="F39" i="9" s="1"/>
  <c r="D39" i="99"/>
  <c r="F39" i="99" s="1"/>
  <c r="K156" i="44"/>
  <c r="E56" i="1" s="1"/>
  <c r="D51" i="46" s="1"/>
  <c r="K154" i="44"/>
  <c r="E55" i="1" s="1"/>
  <c r="D50" i="46" s="1"/>
  <c r="K152" i="44"/>
  <c r="E54" i="1" s="1"/>
  <c r="D49" i="46" s="1"/>
  <c r="K150" i="44"/>
  <c r="E53" i="1" s="1"/>
  <c r="D48" i="46" s="1"/>
  <c r="K148" i="44"/>
  <c r="E52" i="1" s="1"/>
  <c r="D47" i="46" s="1"/>
  <c r="D156" i="44"/>
  <c r="D154" i="44"/>
  <c r="D152" i="44"/>
  <c r="D148" i="44"/>
  <c r="D144" i="44"/>
  <c r="D142" i="44"/>
  <c r="D140" i="44"/>
  <c r="C156" i="44"/>
  <c r="C154" i="44"/>
  <c r="C152" i="44"/>
  <c r="C148" i="44"/>
  <c r="C144" i="44"/>
  <c r="C142" i="44"/>
  <c r="C140" i="44"/>
  <c r="B156" i="44"/>
  <c r="B154" i="44"/>
  <c r="B152" i="44"/>
  <c r="B142" i="44"/>
  <c r="B140" i="44"/>
  <c r="K133" i="44"/>
  <c r="E44" i="1" s="1"/>
  <c r="D39" i="46" s="1"/>
  <c r="K131" i="44"/>
  <c r="E43" i="1" s="1"/>
  <c r="D38" i="46" s="1"/>
  <c r="K130" i="44"/>
  <c r="K129" i="44" s="1"/>
  <c r="E42" i="1" s="1"/>
  <c r="D37" i="46" s="1"/>
  <c r="K128" i="44"/>
  <c r="K127" i="44" s="1"/>
  <c r="E41" i="1" s="1"/>
  <c r="D36" i="46" s="1"/>
  <c r="K126" i="44"/>
  <c r="K125" i="44" s="1"/>
  <c r="E40" i="1" s="1"/>
  <c r="D35" i="46" s="1"/>
  <c r="K124" i="44"/>
  <c r="K123" i="44" s="1"/>
  <c r="E39" i="1" s="1"/>
  <c r="D34" i="46" s="1"/>
  <c r="K122" i="44"/>
  <c r="K121" i="44" s="1"/>
  <c r="E38" i="1" s="1"/>
  <c r="D33" i="46" s="1"/>
  <c r="K120" i="44"/>
  <c r="K119" i="44" s="1"/>
  <c r="E37" i="1" s="1"/>
  <c r="D32" i="46" s="1"/>
  <c r="D125" i="44"/>
  <c r="C125" i="44"/>
  <c r="B125" i="44"/>
  <c r="K114" i="44" l="1"/>
  <c r="K113" i="44" s="1"/>
  <c r="E34" i="1" s="1"/>
  <c r="D29" i="46" s="1"/>
  <c r="K112" i="44"/>
  <c r="K111" i="44" s="1"/>
  <c r="E33" i="1" s="1"/>
  <c r="D28" i="46" s="1"/>
  <c r="E110" i="44"/>
  <c r="K110" i="44" s="1"/>
  <c r="K109" i="44"/>
  <c r="K108" i="44"/>
  <c r="K107" i="44"/>
  <c r="K106" i="44"/>
  <c r="E105" i="44"/>
  <c r="K105" i="44" s="1"/>
  <c r="K101" i="44"/>
  <c r="K102" i="44"/>
  <c r="K103" i="44"/>
  <c r="K97" i="44"/>
  <c r="K96" i="44" s="1"/>
  <c r="E31" i="1" s="1"/>
  <c r="D26" i="46" s="1"/>
  <c r="K91" i="44"/>
  <c r="E90" i="44"/>
  <c r="K90" i="44" s="1"/>
  <c r="K89" i="44" s="1"/>
  <c r="E28" i="1" s="1"/>
  <c r="D23" i="46" s="1"/>
  <c r="K84" i="44"/>
  <c r="K85" i="44"/>
  <c r="K83" i="44"/>
  <c r="I78" i="44"/>
  <c r="K82" i="44"/>
  <c r="K80" i="44"/>
  <c r="E77" i="44"/>
  <c r="K77" i="44" s="1"/>
  <c r="E25" i="1"/>
  <c r="D20" i="46" s="1"/>
  <c r="K104" i="44" l="1"/>
  <c r="E32" i="1" s="1"/>
  <c r="D27" i="46" s="1"/>
  <c r="I160" i="44"/>
  <c r="K160" i="44" s="1"/>
  <c r="K78" i="44"/>
  <c r="K76" i="44"/>
  <c r="K75" i="44" s="1"/>
  <c r="E27" i="1" s="1"/>
  <c r="D22" i="46" s="1"/>
  <c r="K159" i="44" l="1"/>
  <c r="E58" i="1" s="1"/>
  <c r="D53" i="46" s="1"/>
  <c r="E66" i="44"/>
  <c r="E67" i="44"/>
  <c r="K57" i="44"/>
  <c r="K56" i="44" s="1"/>
  <c r="E22" i="1" s="1"/>
  <c r="D17" i="46" s="1"/>
  <c r="K59" i="44" l="1"/>
  <c r="K67" i="44"/>
  <c r="K66" i="44"/>
  <c r="K65" i="44"/>
  <c r="K64" i="44"/>
  <c r="K63" i="44"/>
  <c r="K62" i="44"/>
  <c r="K61" i="44"/>
  <c r="K60" i="44"/>
  <c r="K68" i="44" l="1"/>
  <c r="E24" i="1" s="1"/>
  <c r="D19" i="46" s="1"/>
  <c r="K58" i="44"/>
  <c r="E23" i="1" s="1"/>
  <c r="D18" i="46" s="1"/>
  <c r="D54" i="44"/>
  <c r="C54" i="44"/>
  <c r="B54" i="44"/>
  <c r="K55" i="44"/>
  <c r="K54" i="44" s="1"/>
  <c r="E21" i="1" s="1"/>
  <c r="D16" i="46" s="1"/>
  <c r="K29" i="44"/>
  <c r="K28" i="44"/>
  <c r="K39" i="44" l="1"/>
  <c r="K43" i="44"/>
  <c r="K31" i="44"/>
  <c r="K32" i="44"/>
  <c r="K33" i="44"/>
  <c r="K34" i="44"/>
  <c r="K35" i="44"/>
  <c r="K36" i="44"/>
  <c r="K37" i="44"/>
  <c r="K38" i="44"/>
  <c r="K30" i="44"/>
  <c r="I45" i="44" l="1"/>
  <c r="K45" i="44" s="1"/>
  <c r="K27" i="44"/>
  <c r="E17" i="1" s="1"/>
  <c r="D12" i="46" s="1"/>
  <c r="K53" i="44"/>
  <c r="K52" i="44" s="1"/>
  <c r="E20" i="1" s="1"/>
  <c r="D15" i="46" s="1"/>
  <c r="K47" i="44"/>
  <c r="K46" i="44"/>
  <c r="K44" i="44" l="1"/>
  <c r="E18" i="1" s="1"/>
  <c r="D13" i="46" s="1"/>
  <c r="K24" i="44"/>
  <c r="K23" i="44"/>
  <c r="K22" i="44" s="1"/>
  <c r="E14" i="1" s="1"/>
  <c r="D9" i="46" s="1"/>
  <c r="E15" i="1" l="1"/>
  <c r="D10" i="46" s="1"/>
  <c r="C21" i="44"/>
  <c r="C22" i="44"/>
  <c r="D22" i="44"/>
  <c r="C24" i="44"/>
  <c r="D24" i="44"/>
  <c r="C26" i="44"/>
  <c r="C27" i="44"/>
  <c r="D27" i="44"/>
  <c r="C44" i="44"/>
  <c r="D44" i="44"/>
  <c r="C51" i="44"/>
  <c r="C52" i="44"/>
  <c r="D52" i="44"/>
  <c r="C56" i="44"/>
  <c r="D56" i="44"/>
  <c r="C58" i="44"/>
  <c r="D58" i="44"/>
  <c r="C68" i="44"/>
  <c r="D68" i="44"/>
  <c r="C71" i="44"/>
  <c r="D71" i="44"/>
  <c r="C74" i="44"/>
  <c r="C75" i="44"/>
  <c r="D75" i="44"/>
  <c r="C89" i="44"/>
  <c r="D89" i="44"/>
  <c r="C95" i="44"/>
  <c r="C96" i="44"/>
  <c r="D96" i="44"/>
  <c r="C104" i="44"/>
  <c r="D104" i="44"/>
  <c r="C111" i="44"/>
  <c r="D111" i="44"/>
  <c r="C113" i="44"/>
  <c r="D113" i="44"/>
  <c r="C118" i="44"/>
  <c r="C119" i="44"/>
  <c r="D119" i="44"/>
  <c r="C121" i="44"/>
  <c r="D121" i="44"/>
  <c r="C123" i="44"/>
  <c r="D123" i="44"/>
  <c r="C127" i="44"/>
  <c r="D127" i="44"/>
  <c r="C129" i="44"/>
  <c r="D129" i="44"/>
  <c r="C131" i="44"/>
  <c r="D131" i="44"/>
  <c r="C133" i="44"/>
  <c r="D133" i="44"/>
  <c r="C137" i="44"/>
  <c r="C138" i="44"/>
  <c r="D138" i="44"/>
  <c r="C150" i="44"/>
  <c r="D150" i="44"/>
  <c r="C158" i="44"/>
  <c r="C159" i="44"/>
  <c r="D159" i="44"/>
  <c r="C169" i="44"/>
  <c r="C170" i="44"/>
  <c r="D170" i="44"/>
  <c r="C172" i="44"/>
  <c r="D172" i="44"/>
  <c r="C174" i="44"/>
  <c r="D174" i="44"/>
  <c r="C178" i="44"/>
  <c r="C179" i="44"/>
  <c r="D179" i="44"/>
  <c r="C182" i="44"/>
  <c r="D182" i="44"/>
  <c r="C185" i="44"/>
  <c r="D185" i="44"/>
  <c r="C188" i="44"/>
  <c r="D188" i="44"/>
  <c r="C190" i="44"/>
  <c r="C191" i="44"/>
  <c r="D191" i="44"/>
  <c r="C198" i="44"/>
  <c r="D198" i="44"/>
  <c r="C200" i="44"/>
  <c r="D200" i="44"/>
  <c r="C204" i="44"/>
  <c r="C205" i="44"/>
  <c r="D205" i="44"/>
  <c r="D227" i="44"/>
  <c r="C241" i="44"/>
  <c r="D241" i="44"/>
  <c r="C243" i="44"/>
  <c r="D243" i="44"/>
  <c r="B227" i="44"/>
  <c r="B238" i="44"/>
  <c r="B241" i="44"/>
  <c r="B243" i="44"/>
  <c r="B200" i="44"/>
  <c r="B204" i="44"/>
  <c r="B205" i="44"/>
  <c r="B190" i="44"/>
  <c r="B191" i="44"/>
  <c r="B198" i="44"/>
  <c r="B179" i="44"/>
  <c r="B182" i="44"/>
  <c r="B185" i="44"/>
  <c r="B188" i="44"/>
  <c r="B150" i="44"/>
  <c r="B158" i="44"/>
  <c r="B159" i="44"/>
  <c r="B169" i="44"/>
  <c r="B170" i="44"/>
  <c r="B172" i="44"/>
  <c r="B174" i="44"/>
  <c r="B178" i="44"/>
  <c r="B104" i="44"/>
  <c r="B111" i="44"/>
  <c r="B113" i="44"/>
  <c r="B118" i="44"/>
  <c r="B119" i="44"/>
  <c r="B121" i="44"/>
  <c r="B123" i="44"/>
  <c r="B127" i="44"/>
  <c r="B129" i="44"/>
  <c r="B131" i="44"/>
  <c r="B133" i="44"/>
  <c r="B137" i="44"/>
  <c r="B138" i="44"/>
  <c r="B144" i="44"/>
  <c r="B148" i="44"/>
  <c r="B21" i="44"/>
  <c r="B22" i="44"/>
  <c r="B24" i="44"/>
  <c r="B26" i="44"/>
  <c r="B27" i="44"/>
  <c r="B44" i="44"/>
  <c r="B51" i="44"/>
  <c r="B52" i="44"/>
  <c r="B56" i="44"/>
  <c r="B58" i="44"/>
  <c r="B68" i="44"/>
  <c r="B71" i="44"/>
  <c r="B74" i="44"/>
  <c r="B75" i="44"/>
  <c r="B89" i="44"/>
  <c r="B95" i="44"/>
  <c r="B96" i="44"/>
  <c r="C20" i="44"/>
  <c r="B20" i="44"/>
  <c r="H13" i="134" l="1"/>
  <c r="H13" i="148"/>
  <c r="H13" i="147"/>
  <c r="H13" i="146"/>
  <c r="H13" i="145"/>
  <c r="H13" i="144"/>
  <c r="H16" i="134"/>
  <c r="B9" i="48"/>
  <c r="F32" i="48"/>
  <c r="F25" i="48"/>
  <c r="F19" i="48"/>
  <c r="F18" i="48"/>
  <c r="F17" i="48"/>
  <c r="F16" i="48"/>
  <c r="D15" i="48"/>
  <c r="H16" i="144" l="1"/>
  <c r="H16" i="145"/>
  <c r="H16" i="146"/>
  <c r="H16" i="147"/>
  <c r="H16" i="148"/>
  <c r="K354" i="44"/>
  <c r="K353" i="44" s="1"/>
  <c r="E133" i="1" s="1"/>
  <c r="D127" i="46" s="1"/>
  <c r="D353" i="44"/>
  <c r="C353" i="44"/>
  <c r="B353" i="44"/>
  <c r="C352" i="44"/>
  <c r="B352" i="44"/>
  <c r="K351" i="44" l="1"/>
  <c r="K350" i="44" s="1"/>
  <c r="E131" i="1" s="1"/>
  <c r="D125" i="46" s="1"/>
  <c r="K296" i="44"/>
  <c r="K295" i="44" s="1"/>
  <c r="E103" i="1" s="1"/>
  <c r="D97" i="46" s="1"/>
  <c r="K294" i="44"/>
  <c r="K293" i="44" s="1"/>
  <c r="E102" i="1" s="1"/>
  <c r="D96" i="46" s="1"/>
  <c r="K292" i="44"/>
  <c r="K291" i="44" s="1"/>
  <c r="E101" i="1" s="1"/>
  <c r="D95" i="46" s="1"/>
  <c r="K290" i="44"/>
  <c r="K289" i="44" s="1"/>
  <c r="E100" i="1" s="1"/>
  <c r="D94" i="46" s="1"/>
  <c r="K307" i="44"/>
  <c r="K306" i="44" s="1"/>
  <c r="E109" i="1" s="1"/>
  <c r="D103" i="46" s="1"/>
  <c r="K305" i="44"/>
  <c r="K304" i="44" s="1"/>
  <c r="E108" i="1" s="1"/>
  <c r="D102" i="46" s="1"/>
  <c r="K303" i="44"/>
  <c r="K302" i="44" s="1"/>
  <c r="E107" i="1" s="1"/>
  <c r="D101" i="46" s="1"/>
  <c r="K301" i="44"/>
  <c r="K300" i="44" s="1"/>
  <c r="E106" i="1" s="1"/>
  <c r="D100" i="46" s="1"/>
  <c r="K309" i="44"/>
  <c r="K308" i="44" s="1"/>
  <c r="E110" i="1" s="1"/>
  <c r="D104" i="46" s="1"/>
  <c r="K347" i="44"/>
  <c r="E129" i="1" s="1"/>
  <c r="D123" i="46" s="1"/>
  <c r="K346" i="44"/>
  <c r="K345" i="44" s="1"/>
  <c r="E128" i="1" s="1"/>
  <c r="D122" i="46" s="1"/>
  <c r="K324" i="44"/>
  <c r="K323" i="44" s="1"/>
  <c r="E118" i="1" s="1"/>
  <c r="D112" i="46" s="1"/>
  <c r="K322" i="44"/>
  <c r="K321" i="44" s="1"/>
  <c r="E117" i="1" s="1"/>
  <c r="D111" i="46" s="1"/>
  <c r="K343" i="44"/>
  <c r="K342" i="44"/>
  <c r="K341" i="44" s="1"/>
  <c r="E126" i="1" s="1"/>
  <c r="D120" i="46" s="1"/>
  <c r="K339" i="44"/>
  <c r="E125" i="1" s="1"/>
  <c r="D119" i="46" s="1"/>
  <c r="K334" i="44" l="1"/>
  <c r="K337" i="44"/>
  <c r="E124" i="1" s="1"/>
  <c r="D118" i="46" s="1"/>
  <c r="K326" i="44"/>
  <c r="E120" i="1" s="1"/>
  <c r="D114" i="46" s="1"/>
  <c r="K285" i="44"/>
  <c r="K284" i="44"/>
  <c r="K283" i="44" s="1"/>
  <c r="E97" i="1" s="1"/>
  <c r="D91" i="46" s="1"/>
  <c r="K286" i="44"/>
  <c r="E98" i="1" s="1"/>
  <c r="D92" i="46" s="1"/>
  <c r="K277" i="44"/>
  <c r="K278" i="44"/>
  <c r="K279" i="44"/>
  <c r="K280" i="44"/>
  <c r="K276" i="44"/>
  <c r="K275" i="44" s="1"/>
  <c r="E95" i="1" s="1"/>
  <c r="D89" i="46" s="1"/>
  <c r="K282" i="44"/>
  <c r="K281" i="44" s="1"/>
  <c r="E96" i="1" s="1"/>
  <c r="D90" i="46" s="1"/>
  <c r="C285" i="44"/>
  <c r="C284" i="44"/>
  <c r="D287" i="44"/>
  <c r="C287" i="44"/>
  <c r="D282" i="44"/>
  <c r="C282" i="44"/>
  <c r="K252" i="44"/>
  <c r="K251" i="44" s="1"/>
  <c r="E86" i="1" s="1"/>
  <c r="D80" i="46" s="1"/>
  <c r="K254" i="44"/>
  <c r="K253" i="44" s="1"/>
  <c r="E87" i="1" s="1"/>
  <c r="D81" i="46" s="1"/>
  <c r="K263" i="44"/>
  <c r="K264" i="44"/>
  <c r="K265" i="44"/>
  <c r="K266" i="44"/>
  <c r="K262" i="44"/>
  <c r="K258" i="44"/>
  <c r="K259" i="44"/>
  <c r="K257" i="44"/>
  <c r="B291" i="44"/>
  <c r="C291" i="44"/>
  <c r="D291" i="44"/>
  <c r="B293" i="44"/>
  <c r="C293" i="44"/>
  <c r="D293" i="44"/>
  <c r="B295" i="44"/>
  <c r="C295" i="44"/>
  <c r="D295" i="44"/>
  <c r="B349" i="44"/>
  <c r="C349" i="44"/>
  <c r="B350" i="44"/>
  <c r="C350" i="44"/>
  <c r="D350" i="44"/>
  <c r="B306" i="44"/>
  <c r="C306" i="44"/>
  <c r="D306" i="44"/>
  <c r="B288" i="44"/>
  <c r="C288" i="44"/>
  <c r="B289" i="44"/>
  <c r="C289" i="44"/>
  <c r="D289" i="44"/>
  <c r="B300" i="44"/>
  <c r="C300" i="44"/>
  <c r="D300" i="44"/>
  <c r="B302" i="44"/>
  <c r="C302" i="44"/>
  <c r="D302" i="44"/>
  <c r="B304" i="44"/>
  <c r="C304" i="44"/>
  <c r="D304" i="44"/>
  <c r="B337" i="44"/>
  <c r="C337" i="44"/>
  <c r="D337" i="44"/>
  <c r="B331" i="44"/>
  <c r="C331" i="44"/>
  <c r="D331" i="44"/>
  <c r="B339" i="44"/>
  <c r="C339" i="44"/>
  <c r="D339" i="44"/>
  <c r="B341" i="44"/>
  <c r="C341" i="44"/>
  <c r="D341" i="44"/>
  <c r="B320" i="44"/>
  <c r="C320" i="44"/>
  <c r="B321" i="44"/>
  <c r="C321" i="44"/>
  <c r="D321" i="44"/>
  <c r="B323" i="44"/>
  <c r="C323" i="44"/>
  <c r="D323" i="44"/>
  <c r="B344" i="44"/>
  <c r="C344" i="44"/>
  <c r="B345" i="44"/>
  <c r="C345" i="44"/>
  <c r="D345" i="44"/>
  <c r="B347" i="44"/>
  <c r="C347" i="44"/>
  <c r="D347" i="44"/>
  <c r="B299" i="44"/>
  <c r="C299" i="44"/>
  <c r="B308" i="44"/>
  <c r="C308" i="44"/>
  <c r="D308" i="44"/>
  <c r="D251" i="44"/>
  <c r="D253" i="44"/>
  <c r="D256" i="44"/>
  <c r="D261" i="44"/>
  <c r="D281" i="44"/>
  <c r="D275" i="44"/>
  <c r="D286" i="44"/>
  <c r="D283" i="44"/>
  <c r="D326" i="44"/>
  <c r="C249" i="44"/>
  <c r="C250" i="44"/>
  <c r="C251" i="44"/>
  <c r="C253" i="44"/>
  <c r="C255" i="44"/>
  <c r="C256" i="44"/>
  <c r="C261" i="44"/>
  <c r="C274" i="44"/>
  <c r="C281" i="44"/>
  <c r="C275" i="44"/>
  <c r="C286" i="44"/>
  <c r="C283" i="44"/>
  <c r="C326" i="44"/>
  <c r="C330" i="44"/>
  <c r="B250" i="44"/>
  <c r="B251" i="44"/>
  <c r="B253" i="44"/>
  <c r="B255" i="44"/>
  <c r="B256" i="44"/>
  <c r="B261" i="44"/>
  <c r="B274" i="44"/>
  <c r="B281" i="44"/>
  <c r="B275" i="44"/>
  <c r="B286" i="44"/>
  <c r="B283" i="44"/>
  <c r="B326" i="44"/>
  <c r="B330" i="44"/>
  <c r="B249" i="44"/>
  <c r="B13" i="44"/>
  <c r="I267" i="1" l="1"/>
  <c r="K256" i="44"/>
  <c r="E89" i="1" s="1"/>
  <c r="D83" i="46" s="1"/>
  <c r="K261" i="44"/>
  <c r="E91" i="1" s="1"/>
  <c r="D85" i="46" s="1"/>
  <c r="K331" i="44"/>
  <c r="E122" i="1" s="1"/>
  <c r="D116" i="46" s="1"/>
  <c r="D15" i="41" l="1"/>
  <c r="D15" i="32"/>
  <c r="D15" i="23"/>
  <c r="D15" i="24"/>
  <c r="D15" i="22"/>
  <c r="D15" i="21"/>
  <c r="D15" i="20"/>
  <c r="D15" i="18" l="1"/>
  <c r="L30" i="14"/>
  <c r="I31" i="14"/>
  <c r="D27" i="14" s="1"/>
  <c r="I29" i="14"/>
  <c r="D24" i="14" s="1"/>
  <c r="K26" i="14"/>
  <c r="I25" i="14"/>
  <c r="K25" i="14" s="1"/>
  <c r="D15" i="14"/>
  <c r="K26" i="12"/>
  <c r="K25" i="12"/>
  <c r="M25" i="12" s="1"/>
  <c r="N25" i="12" s="1"/>
  <c r="D25" i="12" s="1"/>
  <c r="D15" i="12"/>
  <c r="L26" i="11"/>
  <c r="D26" i="11" s="1"/>
  <c r="J25" i="11"/>
  <c r="L25" i="11" s="1"/>
  <c r="M25" i="11" s="1"/>
  <c r="D25" i="11" s="1"/>
  <c r="D15" i="11"/>
  <c r="J26" i="8"/>
  <c r="L26" i="8"/>
  <c r="D26" i="8" s="1"/>
  <c r="J25" i="8"/>
  <c r="L25" i="8" s="1"/>
  <c r="M25" i="8" s="1"/>
  <c r="D25" i="8" s="1"/>
  <c r="D15" i="8"/>
  <c r="D15" i="7"/>
  <c r="D15" i="5"/>
  <c r="F36" i="42"/>
  <c r="C35" i="42"/>
  <c r="F24" i="41"/>
  <c r="F9" i="42"/>
  <c r="B10" i="42"/>
  <c r="F9" i="41"/>
  <c r="B10" i="41"/>
  <c r="B9" i="42"/>
  <c r="B9" i="41"/>
  <c r="F9" i="32"/>
  <c r="B10" i="32"/>
  <c r="B9" i="32"/>
  <c r="F31" i="42"/>
  <c r="F30" i="42"/>
  <c r="F29" i="42"/>
  <c r="F28" i="42"/>
  <c r="F27" i="42"/>
  <c r="F26" i="42"/>
  <c r="F25" i="42"/>
  <c r="F24" i="42"/>
  <c r="F19" i="42"/>
  <c r="F18" i="42"/>
  <c r="F17" i="42"/>
  <c r="F16" i="42"/>
  <c r="F32" i="41"/>
  <c r="F27" i="41"/>
  <c r="F26" i="41"/>
  <c r="F25" i="41"/>
  <c r="F19" i="41"/>
  <c r="F18" i="41"/>
  <c r="F17" i="41"/>
  <c r="F16" i="41"/>
  <c r="F31" i="32"/>
  <c r="F30" i="32"/>
  <c r="F29" i="32"/>
  <c r="F28" i="32"/>
  <c r="F27" i="32"/>
  <c r="F26" i="32"/>
  <c r="F25" i="32"/>
  <c r="F24" i="32"/>
  <c r="F19" i="32"/>
  <c r="F18" i="32"/>
  <c r="F17" i="32"/>
  <c r="F16" i="32"/>
  <c r="M26" i="12" l="1"/>
  <c r="D26" i="12" s="1"/>
  <c r="K27" i="14"/>
  <c r="D25" i="14" s="1"/>
  <c r="F32" i="32"/>
  <c r="F38" i="42"/>
  <c r="F32" i="42"/>
  <c r="F33" i="41"/>
  <c r="F27" i="23" l="1"/>
  <c r="B9" i="23" l="1"/>
  <c r="B9" i="24"/>
  <c r="B9" i="22"/>
  <c r="B9" i="21"/>
  <c r="B9" i="20"/>
  <c r="B9" i="18"/>
  <c r="B9" i="14"/>
  <c r="B9" i="12"/>
  <c r="B9" i="11"/>
  <c r="B9" i="8"/>
  <c r="F25" i="26" l="1"/>
  <c r="F24" i="26"/>
  <c r="F23" i="26" l="1"/>
  <c r="F26" i="26" s="1"/>
  <c r="F18" i="26"/>
  <c r="F17" i="26"/>
  <c r="F16" i="26"/>
  <c r="F15" i="26"/>
  <c r="F14" i="26"/>
  <c r="B9" i="26"/>
  <c r="F27" i="26" l="1"/>
  <c r="F28" i="26"/>
  <c r="F19" i="26"/>
  <c r="F29" i="26" l="1"/>
  <c r="F30" i="26" s="1"/>
  <c r="F9" i="24"/>
  <c r="B10" i="24"/>
  <c r="F9" i="22"/>
  <c r="B10" i="22"/>
  <c r="F9" i="21"/>
  <c r="B10" i="21"/>
  <c r="F37" i="24"/>
  <c r="F38" i="24" s="1"/>
  <c r="F31" i="24"/>
  <c r="F30" i="24"/>
  <c r="F29" i="24"/>
  <c r="F28" i="24"/>
  <c r="F27" i="24"/>
  <c r="F26" i="24"/>
  <c r="F25" i="24"/>
  <c r="F24" i="24"/>
  <c r="F19" i="24"/>
  <c r="F18" i="24"/>
  <c r="F17" i="24"/>
  <c r="F16" i="24"/>
  <c r="F37" i="23"/>
  <c r="F38" i="23" s="1"/>
  <c r="F31" i="23"/>
  <c r="F30" i="23"/>
  <c r="F29" i="23"/>
  <c r="F28" i="23"/>
  <c r="F26" i="23"/>
  <c r="F25" i="23"/>
  <c r="F24" i="23"/>
  <c r="F19" i="23"/>
  <c r="F18" i="23"/>
  <c r="F17" i="23"/>
  <c r="F16" i="23"/>
  <c r="F37" i="22"/>
  <c r="F38" i="22" s="1"/>
  <c r="F31" i="22"/>
  <c r="F30" i="22"/>
  <c r="F29" i="22"/>
  <c r="F28" i="22"/>
  <c r="F27" i="22"/>
  <c r="F26" i="22"/>
  <c r="F25" i="22"/>
  <c r="F24" i="22"/>
  <c r="F19" i="22"/>
  <c r="F18" i="22"/>
  <c r="F17" i="22"/>
  <c r="F16" i="22"/>
  <c r="F36" i="21"/>
  <c r="F37" i="21" s="1"/>
  <c r="F30" i="21"/>
  <c r="F29" i="21"/>
  <c r="F28" i="21"/>
  <c r="F27" i="21"/>
  <c r="F26" i="21"/>
  <c r="F25" i="21"/>
  <c r="F24" i="21"/>
  <c r="F19" i="21"/>
  <c r="F18" i="21"/>
  <c r="F17" i="21"/>
  <c r="F16" i="21"/>
  <c r="F9" i="20"/>
  <c r="B10" i="20"/>
  <c r="F9" i="18"/>
  <c r="B10" i="18"/>
  <c r="F31" i="20"/>
  <c r="F30" i="20"/>
  <c r="F29" i="20"/>
  <c r="F28" i="20"/>
  <c r="F27" i="20"/>
  <c r="F26" i="20"/>
  <c r="F25" i="20"/>
  <c r="F24" i="20"/>
  <c r="F19" i="20"/>
  <c r="F18" i="20"/>
  <c r="F17" i="20"/>
  <c r="F16" i="20"/>
  <c r="F30" i="18"/>
  <c r="F29" i="18"/>
  <c r="F28" i="18"/>
  <c r="F27" i="18"/>
  <c r="F26" i="18"/>
  <c r="F25" i="18"/>
  <c r="F24" i="18"/>
  <c r="F19" i="18"/>
  <c r="F18" i="18"/>
  <c r="F17" i="18"/>
  <c r="F16" i="18"/>
  <c r="F9" i="14"/>
  <c r="B10" i="14"/>
  <c r="F32" i="23" l="1"/>
  <c r="F32" i="24"/>
  <c r="F32" i="22"/>
  <c r="F31" i="21"/>
  <c r="F32" i="20"/>
  <c r="F9" i="12" l="1"/>
  <c r="B10" i="12"/>
  <c r="F31" i="14"/>
  <c r="F30" i="14"/>
  <c r="F29" i="14"/>
  <c r="F28" i="14"/>
  <c r="F27" i="14"/>
  <c r="F26" i="14"/>
  <c r="F25" i="14"/>
  <c r="F19" i="14"/>
  <c r="F18" i="14"/>
  <c r="F17" i="14"/>
  <c r="F16" i="14"/>
  <c r="F28" i="12"/>
  <c r="F27" i="12"/>
  <c r="F26" i="12"/>
  <c r="F25" i="12"/>
  <c r="F19" i="12"/>
  <c r="F18" i="12"/>
  <c r="F17" i="12"/>
  <c r="F16" i="12"/>
  <c r="F9" i="11" l="1"/>
  <c r="B10" i="11"/>
  <c r="F28" i="11"/>
  <c r="F27" i="11"/>
  <c r="F26" i="11"/>
  <c r="F25" i="11"/>
  <c r="F19" i="11"/>
  <c r="F18" i="11"/>
  <c r="F17" i="11"/>
  <c r="F16" i="11"/>
  <c r="D24" i="8"/>
  <c r="F16" i="8"/>
  <c r="F26" i="9"/>
  <c r="F25" i="9"/>
  <c r="F24" i="9"/>
  <c r="F23" i="9"/>
  <c r="F18" i="9"/>
  <c r="F17" i="9"/>
  <c r="F16" i="9"/>
  <c r="B9" i="9"/>
  <c r="F9" i="8"/>
  <c r="B10" i="8"/>
  <c r="F37" i="8"/>
  <c r="F36" i="8"/>
  <c r="F31" i="8"/>
  <c r="F28" i="8"/>
  <c r="F27" i="8"/>
  <c r="F26" i="8"/>
  <c r="F25" i="8"/>
  <c r="F19" i="8"/>
  <c r="F18" i="8"/>
  <c r="F17" i="8"/>
  <c r="F19" i="9" l="1"/>
  <c r="F38" i="8"/>
  <c r="F29" i="9"/>
  <c r="F37" i="7" l="1"/>
  <c r="F31" i="7"/>
  <c r="F30" i="7"/>
  <c r="F29" i="7"/>
  <c r="F28" i="7"/>
  <c r="F27" i="7"/>
  <c r="F26" i="7"/>
  <c r="F25" i="7"/>
  <c r="F24" i="7"/>
  <c r="F19" i="7"/>
  <c r="F18" i="7"/>
  <c r="F17" i="7"/>
  <c r="F16" i="7"/>
  <c r="F38" i="7" l="1"/>
  <c r="F32" i="7"/>
  <c r="F37" i="6" l="1"/>
  <c r="F38" i="6"/>
  <c r="F19" i="6"/>
  <c r="F17" i="6"/>
  <c r="F16" i="6"/>
  <c r="F37" i="5"/>
  <c r="F36" i="5"/>
  <c r="F31" i="5"/>
  <c r="F30" i="5"/>
  <c r="F29" i="5"/>
  <c r="F28" i="5"/>
  <c r="F27" i="5"/>
  <c r="F26" i="5"/>
  <c r="F25" i="5"/>
  <c r="F24" i="5"/>
  <c r="F19" i="5"/>
  <c r="F18" i="5"/>
  <c r="F17" i="5"/>
  <c r="F16" i="5"/>
  <c r="D47" i="4"/>
  <c r="D48" i="4"/>
  <c r="D49" i="4"/>
  <c r="D50" i="4"/>
  <c r="D51" i="4"/>
  <c r="F32" i="6" l="1"/>
  <c r="F38" i="5"/>
  <c r="F32" i="5"/>
  <c r="E53" i="4"/>
  <c r="F53" i="4" s="1"/>
  <c r="E46" i="4"/>
  <c r="E55" i="4"/>
  <c r="F55" i="4" s="1"/>
  <c r="E50" i="4"/>
  <c r="F50" i="4" s="1"/>
  <c r="E48" i="4"/>
  <c r="F48" i="4" s="1"/>
  <c r="E45" i="4"/>
  <c r="D45" i="4" s="1"/>
  <c r="E47" i="4"/>
  <c r="F47" i="4" s="1"/>
  <c r="E54" i="4"/>
  <c r="F54" i="4" s="1"/>
  <c r="E51" i="4"/>
  <c r="F51" i="4" s="1"/>
  <c r="E49" i="4"/>
  <c r="F49" i="4" s="1"/>
  <c r="D46" i="4"/>
  <c r="F46" i="4" s="1"/>
  <c r="D58" i="4" l="1"/>
  <c r="F60" i="4"/>
  <c r="D40" i="105" s="1"/>
  <c r="F40" i="105" s="1"/>
  <c r="F43" i="105" s="1"/>
  <c r="F45" i="105" s="1"/>
  <c r="E28" i="45" l="1"/>
  <c r="E24" i="55" s="1"/>
  <c r="F61" i="4"/>
  <c r="D40" i="101"/>
  <c r="F40" i="101" s="1"/>
  <c r="F43" i="101" s="1"/>
  <c r="F45" i="101" s="1"/>
  <c r="E27" i="45" s="1"/>
  <c r="D40" i="100"/>
  <c r="F40" i="100" s="1"/>
  <c r="F43" i="100" s="1"/>
  <c r="D40" i="9"/>
  <c r="D40" i="99"/>
  <c r="F40" i="99" s="1"/>
  <c r="F43" i="99" s="1"/>
  <c r="F45" i="99" s="1"/>
  <c r="E26" i="45" s="1"/>
  <c r="E94" i="4"/>
  <c r="F94" i="4" s="1"/>
  <c r="F46" i="26"/>
  <c r="E25" i="141" s="1"/>
  <c r="F25" i="141" s="1"/>
  <c r="F32" i="141" s="1"/>
  <c r="E76" i="4"/>
  <c r="F76" i="4" s="1"/>
  <c r="E103" i="4"/>
  <c r="F103" i="4" s="1"/>
  <c r="E85" i="4"/>
  <c r="F85" i="4" s="1"/>
  <c r="E95" i="4"/>
  <c r="F95" i="4" s="1"/>
  <c r="E77" i="4"/>
  <c r="F77" i="4" s="1"/>
  <c r="E86" i="4"/>
  <c r="F86" i="4" s="1"/>
  <c r="E68" i="4"/>
  <c r="F68" i="4" s="1"/>
  <c r="E104" i="4"/>
  <c r="F104" i="4" s="1"/>
  <c r="E24" i="88" l="1"/>
  <c r="E24" i="96"/>
  <c r="F40" i="9"/>
  <c r="F43" i="9" s="1"/>
  <c r="F45" i="9" s="1"/>
  <c r="E24" i="94"/>
  <c r="E24" i="100"/>
  <c r="F24" i="100" s="1"/>
  <c r="F29" i="100" s="1"/>
  <c r="F45" i="100" s="1"/>
  <c r="E28" i="80"/>
  <c r="F28" i="80" s="1"/>
  <c r="E24" i="84"/>
  <c r="E24" i="73"/>
  <c r="F27" i="76"/>
  <c r="F32" i="76" s="1"/>
  <c r="F30" i="77"/>
  <c r="F32" i="77" s="1"/>
  <c r="F33" i="79"/>
  <c r="F34" i="79" s="1"/>
  <c r="F26" i="64"/>
  <c r="E31" i="45"/>
  <c r="F24" i="96"/>
  <c r="F32" i="96" s="1"/>
  <c r="F24" i="95"/>
  <c r="F32" i="95" s="1"/>
  <c r="F24" i="94"/>
  <c r="F32" i="94" s="1"/>
  <c r="F32" i="93"/>
  <c r="F32" i="92"/>
  <c r="F32" i="91"/>
  <c r="F24" i="90"/>
  <c r="F32" i="90" s="1"/>
  <c r="F24" i="89"/>
  <c r="F32" i="89" s="1"/>
  <c r="F24" i="88"/>
  <c r="F32" i="88" s="1"/>
  <c r="F32" i="87"/>
  <c r="F24" i="84"/>
  <c r="F32" i="84" s="1"/>
  <c r="F24" i="73"/>
  <c r="F32" i="73" s="1"/>
  <c r="F33" i="66"/>
  <c r="F24" i="65"/>
  <c r="F32" i="65" s="1"/>
  <c r="F24" i="64"/>
  <c r="F32" i="64" s="1"/>
  <c r="F24" i="59"/>
  <c r="F32" i="59" s="1"/>
  <c r="F24" i="58"/>
  <c r="F24" i="55"/>
  <c r="F32" i="55" s="1"/>
  <c r="F24" i="53"/>
  <c r="F32" i="53" s="1"/>
  <c r="E67" i="4"/>
  <c r="F67" i="4" s="1"/>
  <c r="F70" i="4" s="1"/>
  <c r="F31" i="18"/>
  <c r="E24" i="8"/>
  <c r="F24" i="8" s="1"/>
  <c r="F32" i="8" s="1"/>
  <c r="E24" i="14"/>
  <c r="F24" i="14" s="1"/>
  <c r="E24" i="11"/>
  <c r="F24" i="11" s="1"/>
  <c r="F32" i="11" s="1"/>
  <c r="E24" i="12"/>
  <c r="F24" i="12" s="1"/>
  <c r="F32" i="12" s="1"/>
  <c r="F88" i="4"/>
  <c r="F79" i="4"/>
  <c r="F97" i="4"/>
  <c r="F106" i="4"/>
  <c r="E25" i="45" l="1"/>
  <c r="E24" i="97"/>
  <c r="F24" i="97" s="1"/>
  <c r="F32" i="97" s="1"/>
  <c r="F48" i="97" s="1"/>
  <c r="E24" i="50"/>
  <c r="F24" i="50" s="1"/>
  <c r="F32" i="50" s="1"/>
  <c r="E24" i="51"/>
  <c r="F24" i="51" s="1"/>
  <c r="F32" i="51" s="1"/>
  <c r="E24" i="143"/>
  <c r="F24" i="143" s="1"/>
  <c r="F32" i="143" s="1"/>
  <c r="E24" i="140"/>
  <c r="F24" i="140" s="1"/>
  <c r="F32" i="140" s="1"/>
  <c r="D42" i="112"/>
  <c r="F42" i="112" s="1"/>
  <c r="F46" i="112" s="1"/>
  <c r="D42" i="113"/>
  <c r="F42" i="113" s="1"/>
  <c r="F46" i="113" s="1"/>
  <c r="D42" i="114"/>
  <c r="F42" i="114" s="1"/>
  <c r="F46" i="114" s="1"/>
  <c r="D42" i="115"/>
  <c r="F42" i="115" s="1"/>
  <c r="F46" i="115" s="1"/>
  <c r="D42" i="116"/>
  <c r="F42" i="116" s="1"/>
  <c r="F46" i="116" s="1"/>
  <c r="D42" i="117"/>
  <c r="F42" i="117" s="1"/>
  <c r="F46" i="117" s="1"/>
  <c r="D42" i="118"/>
  <c r="F42" i="118" s="1"/>
  <c r="F46" i="118" s="1"/>
  <c r="D42" i="124"/>
  <c r="F42" i="124" s="1"/>
  <c r="F46" i="124" s="1"/>
  <c r="D42" i="129"/>
  <c r="F42" i="129" s="1"/>
  <c r="D42" i="133"/>
  <c r="F42" i="133" s="1"/>
  <c r="D42" i="125"/>
  <c r="F42" i="125" s="1"/>
  <c r="D42" i="126"/>
  <c r="F42" i="126" s="1"/>
  <c r="D42" i="140"/>
  <c r="F42" i="140" s="1"/>
  <c r="F46" i="140" s="1"/>
  <c r="E15" i="140" s="1"/>
  <c r="F15" i="140" s="1"/>
  <c r="F20" i="140" s="1"/>
  <c r="D42" i="141"/>
  <c r="F42" i="141" s="1"/>
  <c r="F46" i="141" s="1"/>
  <c r="D42" i="143"/>
  <c r="F42" i="143" s="1"/>
  <c r="F46" i="143" s="1"/>
  <c r="E15" i="143" s="1"/>
  <c r="F15" i="143" s="1"/>
  <c r="F20" i="143" s="1"/>
  <c r="D42" i="144"/>
  <c r="F42" i="144" s="1"/>
  <c r="F46" i="144" s="1"/>
  <c r="D42" i="134"/>
  <c r="F42" i="134" s="1"/>
  <c r="F46" i="134" s="1"/>
  <c r="D42" i="145"/>
  <c r="F42" i="145" s="1"/>
  <c r="F46" i="145" s="1"/>
  <c r="D42" i="146"/>
  <c r="F42" i="146" s="1"/>
  <c r="F46" i="146" s="1"/>
  <c r="D42" i="147"/>
  <c r="F42" i="147" s="1"/>
  <c r="F46" i="147" s="1"/>
  <c r="D42" i="148"/>
  <c r="F42" i="148" s="1"/>
  <c r="F46" i="148" s="1"/>
  <c r="D45" i="139"/>
  <c r="F45" i="139" s="1"/>
  <c r="F49" i="139" s="1"/>
  <c r="D45" i="138"/>
  <c r="F45" i="138" s="1"/>
  <c r="F49" i="138" s="1"/>
  <c r="D45" i="137"/>
  <c r="F45" i="137" s="1"/>
  <c r="F49" i="137" s="1"/>
  <c r="E15" i="137" s="1"/>
  <c r="F15" i="137" s="1"/>
  <c r="F20" i="137" s="1"/>
  <c r="D42" i="120"/>
  <c r="F42" i="120" s="1"/>
  <c r="F46" i="120" s="1"/>
  <c r="D42" i="135"/>
  <c r="F42" i="135" s="1"/>
  <c r="D42" i="136"/>
  <c r="F42" i="136" s="1"/>
  <c r="F46" i="136" s="1"/>
  <c r="D42" i="123"/>
  <c r="F42" i="123" s="1"/>
  <c r="F46" i="123" s="1"/>
  <c r="D42" i="122"/>
  <c r="F42" i="122" s="1"/>
  <c r="F46" i="122" s="1"/>
  <c r="D42" i="121"/>
  <c r="F42" i="121" s="1"/>
  <c r="F46" i="121" s="1"/>
  <c r="E27" i="80"/>
  <c r="F27" i="80" s="1"/>
  <c r="F32" i="80" s="1"/>
  <c r="F48" i="80" s="1"/>
  <c r="D42" i="42"/>
  <c r="D43" i="41"/>
  <c r="D42" i="107"/>
  <c r="F42" i="107" s="1"/>
  <c r="F46" i="107" s="1"/>
  <c r="D42" i="22"/>
  <c r="D41" i="21"/>
  <c r="D42" i="32"/>
  <c r="E24" i="60"/>
  <c r="F24" i="60" s="1"/>
  <c r="F32" i="60" s="1"/>
  <c r="E24" i="63"/>
  <c r="F24" i="63" s="1"/>
  <c r="F32" i="63" s="1"/>
  <c r="F48" i="63" s="1"/>
  <c r="E24" i="62"/>
  <c r="F24" i="62" s="1"/>
  <c r="F32" i="62" s="1"/>
  <c r="F48" i="62" s="1"/>
  <c r="F33" i="1" s="1"/>
  <c r="E24" i="61"/>
  <c r="F24" i="61" s="1"/>
  <c r="F32" i="61" s="1"/>
  <c r="F48" i="61" s="1"/>
  <c r="E24" i="49"/>
  <c r="F24" i="49" s="1"/>
  <c r="F32" i="49" s="1"/>
  <c r="E24" i="54"/>
  <c r="F24" i="54" s="1"/>
  <c r="F32" i="54" s="1"/>
  <c r="E24" i="57"/>
  <c r="F24" i="57" s="1"/>
  <c r="E24" i="56"/>
  <c r="F24" i="56" s="1"/>
  <c r="F32" i="56" s="1"/>
  <c r="E27" i="57"/>
  <c r="F27" i="57" s="1"/>
  <c r="E25" i="58"/>
  <c r="F25" i="58" s="1"/>
  <c r="F32" i="58" s="1"/>
  <c r="F41" i="21"/>
  <c r="F45" i="21" s="1"/>
  <c r="E15" i="21" s="1"/>
  <c r="F15" i="21" s="1"/>
  <c r="F20" i="21" s="1"/>
  <c r="F47" i="21" s="1"/>
  <c r="F117" i="1" s="1"/>
  <c r="D42" i="23"/>
  <c r="F42" i="23" s="1"/>
  <c r="F46" i="23" s="1"/>
  <c r="D42" i="24"/>
  <c r="F42" i="24" s="1"/>
  <c r="F46" i="24" s="1"/>
  <c r="D42" i="20"/>
  <c r="F42" i="20" s="1"/>
  <c r="F46" i="20" s="1"/>
  <c r="F42" i="22"/>
  <c r="F46" i="22" s="1"/>
  <c r="E15" i="22" s="1"/>
  <c r="F15" i="22" s="1"/>
  <c r="F20" i="22" s="1"/>
  <c r="F48" i="22" s="1"/>
  <c r="F118" i="1" s="1"/>
  <c r="F42" i="32"/>
  <c r="F46" i="32" s="1"/>
  <c r="F42" i="42"/>
  <c r="F46" i="42" s="1"/>
  <c r="F43" i="41"/>
  <c r="F47" i="41" s="1"/>
  <c r="D42" i="14"/>
  <c r="F42" i="14" s="1"/>
  <c r="F46" i="14" s="1"/>
  <c r="E15" i="14" s="1"/>
  <c r="F15" i="14" s="1"/>
  <c r="F20" i="14" s="1"/>
  <c r="D42" i="11"/>
  <c r="F42" i="11" s="1"/>
  <c r="F46" i="11" s="1"/>
  <c r="D42" i="12"/>
  <c r="F42" i="12" s="1"/>
  <c r="F46" i="12" s="1"/>
  <c r="D42" i="8"/>
  <c r="F42" i="8" s="1"/>
  <c r="F46" i="8" s="1"/>
  <c r="D43" i="48"/>
  <c r="F43" i="48" s="1"/>
  <c r="F47" i="48" s="1"/>
  <c r="E15" i="48" s="1"/>
  <c r="F15" i="48" s="1"/>
  <c r="F20" i="48" s="1"/>
  <c r="D41" i="18"/>
  <c r="F41" i="18" s="1"/>
  <c r="F45" i="18" s="1"/>
  <c r="D42" i="102"/>
  <c r="F42" i="102" s="1"/>
  <c r="F46" i="102" s="1"/>
  <c r="D42" i="63"/>
  <c r="F42" i="63" s="1"/>
  <c r="F46" i="63" s="1"/>
  <c r="E15" i="63" s="1"/>
  <c r="F15" i="63" s="1"/>
  <c r="F20" i="63" s="1"/>
  <c r="D42" i="62"/>
  <c r="F42" i="62" s="1"/>
  <c r="F46" i="62" s="1"/>
  <c r="E15" i="62" s="1"/>
  <c r="F15" i="62" s="1"/>
  <c r="F20" i="62" s="1"/>
  <c r="D42" i="61"/>
  <c r="F42" i="61" s="1"/>
  <c r="F46" i="61" s="1"/>
  <c r="E15" i="61" s="1"/>
  <c r="F15" i="61" s="1"/>
  <c r="F20" i="61" s="1"/>
  <c r="D42" i="96"/>
  <c r="F42" i="96" s="1"/>
  <c r="F46" i="96" s="1"/>
  <c r="F48" i="96" s="1"/>
  <c r="F268" i="1" s="1"/>
  <c r="G268" i="1" s="1"/>
  <c r="G267" i="1" s="1"/>
  <c r="D42" i="97"/>
  <c r="F42" i="97" s="1"/>
  <c r="F46" i="97" s="1"/>
  <c r="D42" i="94"/>
  <c r="F42" i="94" s="1"/>
  <c r="F46" i="94" s="1"/>
  <c r="D42" i="95"/>
  <c r="F42" i="95" s="1"/>
  <c r="F46" i="95" s="1"/>
  <c r="D42" i="91"/>
  <c r="F42" i="91" s="1"/>
  <c r="F46" i="91" s="1"/>
  <c r="D42" i="90"/>
  <c r="F42" i="90" s="1"/>
  <c r="F46" i="90" s="1"/>
  <c r="D42" i="89"/>
  <c r="F42" i="89" s="1"/>
  <c r="F46" i="89" s="1"/>
  <c r="D42" i="88"/>
  <c r="F42" i="88" s="1"/>
  <c r="F46" i="88" s="1"/>
  <c r="D42" i="84"/>
  <c r="F42" i="84" s="1"/>
  <c r="F46" i="84" s="1"/>
  <c r="D42" i="86"/>
  <c r="F42" i="86" s="1"/>
  <c r="F46" i="86" s="1"/>
  <c r="D42" i="85"/>
  <c r="F42" i="85" s="1"/>
  <c r="F46" i="85" s="1"/>
  <c r="D42" i="73"/>
  <c r="F42" i="73" s="1"/>
  <c r="F46" i="73" s="1"/>
  <c r="F48" i="73" s="1"/>
  <c r="F253" i="1" s="1"/>
  <c r="G253" i="1" s="1"/>
  <c r="G252" i="1" s="1"/>
  <c r="D42" i="60"/>
  <c r="F42" i="60" s="1"/>
  <c r="F46" i="60" s="1"/>
  <c r="E15" i="60" s="1"/>
  <c r="F15" i="60" s="1"/>
  <c r="F20" i="60" s="1"/>
  <c r="D42" i="49"/>
  <c r="F42" i="49" s="1"/>
  <c r="F46" i="49" s="1"/>
  <c r="E15" i="49" s="1"/>
  <c r="F15" i="49" s="1"/>
  <c r="F20" i="49" s="1"/>
  <c r="D42" i="68"/>
  <c r="F42" i="68" s="1"/>
  <c r="F46" i="68" s="1"/>
  <c r="F48" i="68" s="1"/>
  <c r="D42" i="71"/>
  <c r="F42" i="71" s="1"/>
  <c r="F46" i="71" s="1"/>
  <c r="F48" i="71" s="1"/>
  <c r="D44" i="72"/>
  <c r="F44" i="72" s="1"/>
  <c r="F48" i="72" s="1"/>
  <c r="F50" i="72" s="1"/>
  <c r="D42" i="70"/>
  <c r="F42" i="70" s="1"/>
  <c r="F46" i="70" s="1"/>
  <c r="F48" i="70" s="1"/>
  <c r="D42" i="69"/>
  <c r="F42" i="69" s="1"/>
  <c r="F46" i="69" s="1"/>
  <c r="F48" i="69" s="1"/>
  <c r="D42" i="67"/>
  <c r="F42" i="67" s="1"/>
  <c r="F46" i="67" s="1"/>
  <c r="D43" i="66"/>
  <c r="F43" i="66" s="1"/>
  <c r="F47" i="66" s="1"/>
  <c r="D42" i="64"/>
  <c r="F42" i="64" s="1"/>
  <c r="F46" i="64" s="1"/>
  <c r="D42" i="82"/>
  <c r="F42" i="82" s="1"/>
  <c r="F46" i="82" s="1"/>
  <c r="F48" i="82" s="1"/>
  <c r="D42" i="81"/>
  <c r="F42" i="81" s="1"/>
  <c r="F46" i="81" s="1"/>
  <c r="F48" i="81" s="1"/>
  <c r="F251" i="1" s="1"/>
  <c r="G251" i="1" s="1"/>
  <c r="D42" i="76"/>
  <c r="F42" i="76" s="1"/>
  <c r="F46" i="76" s="1"/>
  <c r="F48" i="76" s="1"/>
  <c r="F250" i="1" s="1"/>
  <c r="G250" i="1" s="1"/>
  <c r="D45" i="75"/>
  <c r="F45" i="75" s="1"/>
  <c r="F49" i="75" s="1"/>
  <c r="F51" i="75" s="1"/>
  <c r="F249" i="1" s="1"/>
  <c r="G249" i="1" s="1"/>
  <c r="D42" i="77"/>
  <c r="F42" i="77" s="1"/>
  <c r="F46" i="77" s="1"/>
  <c r="F48" i="77" s="1"/>
  <c r="F248" i="1" s="1"/>
  <c r="G248" i="1" s="1"/>
  <c r="D44" i="79"/>
  <c r="F44" i="79" s="1"/>
  <c r="F48" i="79" s="1"/>
  <c r="D42" i="80"/>
  <c r="F42" i="80" s="1"/>
  <c r="F46" i="80" s="1"/>
  <c r="D42" i="78"/>
  <c r="F42" i="78" s="1"/>
  <c r="F46" i="78" s="1"/>
  <c r="F48" i="78" s="1"/>
  <c r="D42" i="74"/>
  <c r="F42" i="74" s="1"/>
  <c r="F46" i="74" s="1"/>
  <c r="F48" i="74" s="1"/>
  <c r="F246" i="1" s="1"/>
  <c r="G246" i="1" s="1"/>
  <c r="D42" i="65"/>
  <c r="F42" i="65" s="1"/>
  <c r="F46" i="65" s="1"/>
  <c r="F48" i="65" s="1"/>
  <c r="F245" i="1" s="1"/>
  <c r="G245" i="1" s="1"/>
  <c r="D42" i="93"/>
  <c r="F42" i="93" s="1"/>
  <c r="F46" i="93" s="1"/>
  <c r="F48" i="93" s="1"/>
  <c r="F184" i="1" s="1"/>
  <c r="G184" i="1" s="1"/>
  <c r="D42" i="92"/>
  <c r="F42" i="92" s="1"/>
  <c r="F46" i="92" s="1"/>
  <c r="F48" i="92" s="1"/>
  <c r="F261" i="1" s="1"/>
  <c r="G261" i="1" s="1"/>
  <c r="D42" i="87"/>
  <c r="F42" i="87" s="1"/>
  <c r="F46" i="87" s="1"/>
  <c r="F48" i="87" s="1"/>
  <c r="F260" i="1" s="1"/>
  <c r="G260" i="1" s="1"/>
  <c r="G259" i="1" s="1"/>
  <c r="E29" i="45"/>
  <c r="E24" i="52"/>
  <c r="F24" i="52" s="1"/>
  <c r="F32" i="52" s="1"/>
  <c r="E15" i="96"/>
  <c r="F15" i="96" s="1"/>
  <c r="F20" i="96" s="1"/>
  <c r="E15" i="97"/>
  <c r="F15" i="97" s="1"/>
  <c r="F20" i="97" s="1"/>
  <c r="E15" i="93"/>
  <c r="F15" i="93" s="1"/>
  <c r="F20" i="93" s="1"/>
  <c r="E15" i="92"/>
  <c r="F15" i="92" s="1"/>
  <c r="F20" i="92" s="1"/>
  <c r="E15" i="87"/>
  <c r="F15" i="87" s="1"/>
  <c r="F20" i="87" s="1"/>
  <c r="E15" i="84"/>
  <c r="F15" i="84" s="1"/>
  <c r="F20" i="84" s="1"/>
  <c r="F48" i="84" s="1"/>
  <c r="F256" i="1" s="1"/>
  <c r="G256" i="1" s="1"/>
  <c r="E15" i="86"/>
  <c r="F15" i="86" s="1"/>
  <c r="F20" i="86" s="1"/>
  <c r="F48" i="86" s="1"/>
  <c r="F174" i="1" s="1"/>
  <c r="G174" i="1" s="1"/>
  <c r="E15" i="85"/>
  <c r="F15" i="85" s="1"/>
  <c r="F20" i="85" s="1"/>
  <c r="F48" i="85" s="1"/>
  <c r="E15" i="73"/>
  <c r="F15" i="73" s="1"/>
  <c r="F20" i="73" s="1"/>
  <c r="E15" i="82"/>
  <c r="F15" i="82" s="1"/>
  <c r="F20" i="82" s="1"/>
  <c r="E15" i="81"/>
  <c r="F15" i="81" s="1"/>
  <c r="F20" i="81" s="1"/>
  <c r="E15" i="76"/>
  <c r="F15" i="76" s="1"/>
  <c r="F20" i="76" s="1"/>
  <c r="E15" i="75"/>
  <c r="F15" i="75" s="1"/>
  <c r="F20" i="75" s="1"/>
  <c r="E15" i="77"/>
  <c r="F15" i="77" s="1"/>
  <c r="F20" i="77" s="1"/>
  <c r="E15" i="79"/>
  <c r="F15" i="79" s="1"/>
  <c r="F20" i="79" s="1"/>
  <c r="E15" i="80"/>
  <c r="F15" i="80" s="1"/>
  <c r="F20" i="80" s="1"/>
  <c r="E15" i="78"/>
  <c r="F15" i="78" s="1"/>
  <c r="F20" i="78" s="1"/>
  <c r="E15" i="74"/>
  <c r="F15" i="74" s="1"/>
  <c r="F20" i="74" s="1"/>
  <c r="E15" i="65"/>
  <c r="F15" i="65" s="1"/>
  <c r="F20" i="65" s="1"/>
  <c r="E15" i="68"/>
  <c r="F15" i="68" s="1"/>
  <c r="F20" i="68" s="1"/>
  <c r="E15" i="71"/>
  <c r="F15" i="71" s="1"/>
  <c r="F20" i="71" s="1"/>
  <c r="E15" i="72"/>
  <c r="F15" i="72" s="1"/>
  <c r="F20" i="72" s="1"/>
  <c r="E15" i="70"/>
  <c r="F15" i="70" s="1"/>
  <c r="F20" i="70" s="1"/>
  <c r="E15" i="69"/>
  <c r="F15" i="69" s="1"/>
  <c r="F20" i="69" s="1"/>
  <c r="D42" i="54"/>
  <c r="D42" i="57"/>
  <c r="D42" i="58"/>
  <c r="D42" i="59"/>
  <c r="D42" i="55"/>
  <c r="D42" i="56"/>
  <c r="D42" i="50"/>
  <c r="D42" i="51"/>
  <c r="D42" i="52"/>
  <c r="D42" i="53"/>
  <c r="D42" i="7"/>
  <c r="D42" i="6"/>
  <c r="D42" i="5"/>
  <c r="F32" i="14"/>
  <c r="E15" i="112" l="1"/>
  <c r="F15" i="112" s="1"/>
  <c r="F20" i="112" s="1"/>
  <c r="F48" i="112" s="1"/>
  <c r="F145" i="1" s="1"/>
  <c r="G145" i="1" s="1"/>
  <c r="E15" i="113"/>
  <c r="F15" i="113" s="1"/>
  <c r="F20" i="113" s="1"/>
  <c r="F48" i="113" s="1"/>
  <c r="F146" i="1" s="1"/>
  <c r="G146" i="1" s="1"/>
  <c r="E15" i="114"/>
  <c r="F15" i="114" s="1"/>
  <c r="F20" i="114" s="1"/>
  <c r="F48" i="114" s="1"/>
  <c r="F147" i="1" s="1"/>
  <c r="G147" i="1" s="1"/>
  <c r="E15" i="115"/>
  <c r="F15" i="115" s="1"/>
  <c r="F20" i="115" s="1"/>
  <c r="F48" i="115" s="1"/>
  <c r="F151" i="1" s="1"/>
  <c r="G151" i="1" s="1"/>
  <c r="E15" i="116"/>
  <c r="F15" i="116" s="1"/>
  <c r="F20" i="116" s="1"/>
  <c r="F48" i="116" s="1"/>
  <c r="F152" i="1" s="1"/>
  <c r="G152" i="1" s="1"/>
  <c r="E15" i="117"/>
  <c r="F15" i="117" s="1"/>
  <c r="F20" i="117" s="1"/>
  <c r="F48" i="117" s="1"/>
  <c r="F153" i="1" s="1"/>
  <c r="G153" i="1" s="1"/>
  <c r="E15" i="118"/>
  <c r="F15" i="118" s="1"/>
  <c r="F20" i="118" s="1"/>
  <c r="F48" i="118" s="1"/>
  <c r="F154" i="1" s="1"/>
  <c r="G154" i="1" s="1"/>
  <c r="E15" i="124"/>
  <c r="F15" i="124" s="1"/>
  <c r="F20" i="124" s="1"/>
  <c r="F48" i="124" s="1"/>
  <c r="F191" i="1" s="1"/>
  <c r="G191" i="1" s="1"/>
  <c r="I42" i="129"/>
  <c r="F46" i="129"/>
  <c r="I42" i="133"/>
  <c r="F46" i="133"/>
  <c r="F46" i="125"/>
  <c r="I42" i="125"/>
  <c r="I42" i="126"/>
  <c r="F46" i="126"/>
  <c r="E15" i="141"/>
  <c r="F15" i="141" s="1"/>
  <c r="F20" i="141" s="1"/>
  <c r="F48" i="141" s="1"/>
  <c r="E27" i="137" s="1"/>
  <c r="F27" i="137" s="1"/>
  <c r="H46" i="144"/>
  <c r="E15" i="144"/>
  <c r="F15" i="144" s="1"/>
  <c r="F20" i="144" s="1"/>
  <c r="F48" i="144" s="1"/>
  <c r="F228" i="1" s="1"/>
  <c r="G228" i="1" s="1"/>
  <c r="H46" i="134"/>
  <c r="E15" i="134"/>
  <c r="F15" i="134" s="1"/>
  <c r="F20" i="134" s="1"/>
  <c r="F48" i="134" s="1"/>
  <c r="F15" i="1" s="1"/>
  <c r="G15" i="1" s="1"/>
  <c r="H46" i="145"/>
  <c r="E15" i="145"/>
  <c r="F15" i="145" s="1"/>
  <c r="F20" i="145" s="1"/>
  <c r="F48" i="145" s="1"/>
  <c r="F229" i="1" s="1"/>
  <c r="G229" i="1" s="1"/>
  <c r="H46" i="146"/>
  <c r="E15" i="146"/>
  <c r="F15" i="146" s="1"/>
  <c r="F20" i="146" s="1"/>
  <c r="F48" i="146" s="1"/>
  <c r="F230" i="1" s="1"/>
  <c r="G230" i="1" s="1"/>
  <c r="H46" i="147"/>
  <c r="E15" i="147"/>
  <c r="F15" i="147" s="1"/>
  <c r="F20" i="147" s="1"/>
  <c r="F48" i="147" s="1"/>
  <c r="F231" i="1" s="1"/>
  <c r="G231" i="1" s="1"/>
  <c r="H46" i="148"/>
  <c r="E15" i="148"/>
  <c r="F15" i="148" s="1"/>
  <c r="F20" i="148" s="1"/>
  <c r="F48" i="148" s="1"/>
  <c r="F232" i="1" s="1"/>
  <c r="G232" i="1" s="1"/>
  <c r="E15" i="139"/>
  <c r="F15" i="139" s="1"/>
  <c r="F20" i="139" s="1"/>
  <c r="F51" i="139" s="1"/>
  <c r="F220" i="1" s="1"/>
  <c r="G220" i="1" s="1"/>
  <c r="E15" i="138"/>
  <c r="F15" i="138" s="1"/>
  <c r="F20" i="138" s="1"/>
  <c r="F51" i="138" s="1"/>
  <c r="F219" i="1" s="1"/>
  <c r="G219" i="1" s="1"/>
  <c r="E15" i="120"/>
  <c r="F15" i="120" s="1"/>
  <c r="F20" i="120" s="1"/>
  <c r="F48" i="120" s="1"/>
  <c r="F172" i="1" s="1"/>
  <c r="G172" i="1" s="1"/>
  <c r="I42" i="135"/>
  <c r="F46" i="135"/>
  <c r="E15" i="136"/>
  <c r="F15" i="136" s="1"/>
  <c r="F20" i="136" s="1"/>
  <c r="F48" i="136" s="1"/>
  <c r="F73" i="1" s="1"/>
  <c r="G73" i="1" s="1"/>
  <c r="G69" i="1" s="1"/>
  <c r="E15" i="123"/>
  <c r="F15" i="123" s="1"/>
  <c r="F20" i="123" s="1"/>
  <c r="F48" i="123" s="1"/>
  <c r="F183" i="1" s="1"/>
  <c r="G183" i="1" s="1"/>
  <c r="E15" i="122"/>
  <c r="F15" i="122" s="1"/>
  <c r="F20" i="122" s="1"/>
  <c r="F48" i="122" s="1"/>
  <c r="F182" i="1" s="1"/>
  <c r="G182" i="1" s="1"/>
  <c r="E15" i="121"/>
  <c r="F15" i="121" s="1"/>
  <c r="F20" i="121" s="1"/>
  <c r="F48" i="121" s="1"/>
  <c r="F181" i="1" s="1"/>
  <c r="G181" i="1" s="1"/>
  <c r="G180" i="1" s="1"/>
  <c r="F48" i="143"/>
  <c r="E28" i="137" s="1"/>
  <c r="F28" i="137" s="1"/>
  <c r="F48" i="14"/>
  <c r="F97" i="1" s="1"/>
  <c r="F48" i="140"/>
  <c r="E29" i="137" s="1"/>
  <c r="F29" i="137" s="1"/>
  <c r="E15" i="20"/>
  <c r="F15" i="20" s="1"/>
  <c r="F20" i="20" s="1"/>
  <c r="F48" i="20"/>
  <c r="F126" i="1" s="1"/>
  <c r="G126" i="1" s="1"/>
  <c r="E15" i="11"/>
  <c r="F15" i="11" s="1"/>
  <c r="F20" i="11" s="1"/>
  <c r="F48" i="11"/>
  <c r="E15" i="12"/>
  <c r="F15" i="12" s="1"/>
  <c r="F20" i="12" s="1"/>
  <c r="F48" i="12"/>
  <c r="E15" i="8"/>
  <c r="F15" i="8" s="1"/>
  <c r="F20" i="8" s="1"/>
  <c r="F48" i="8"/>
  <c r="E15" i="18"/>
  <c r="F15" i="18" s="1"/>
  <c r="F20" i="18" s="1"/>
  <c r="F47" i="18"/>
  <c r="F122" i="1" s="1"/>
  <c r="E15" i="94"/>
  <c r="F15" i="94" s="1"/>
  <c r="F20" i="94" s="1"/>
  <c r="F48" i="94" s="1"/>
  <c r="E15" i="95"/>
  <c r="F15" i="95" s="1"/>
  <c r="F20" i="95" s="1"/>
  <c r="F48" i="95"/>
  <c r="F266" i="1" s="1"/>
  <c r="G266" i="1" s="1"/>
  <c r="E15" i="91"/>
  <c r="F15" i="91" s="1"/>
  <c r="F20" i="91" s="1"/>
  <c r="F48" i="91" s="1"/>
  <c r="E15" i="90"/>
  <c r="F15" i="90" s="1"/>
  <c r="F20" i="90" s="1"/>
  <c r="F48" i="90" s="1"/>
  <c r="E15" i="89"/>
  <c r="F15" i="89" s="1"/>
  <c r="F20" i="89" s="1"/>
  <c r="F48" i="89" s="1"/>
  <c r="E15" i="88"/>
  <c r="F15" i="88" s="1"/>
  <c r="F20" i="88" s="1"/>
  <c r="F48" i="88" s="1"/>
  <c r="E15" i="67"/>
  <c r="F15" i="67" s="1"/>
  <c r="F20" i="67" s="1"/>
  <c r="F48" i="67" s="1"/>
  <c r="F39" i="1" s="1"/>
  <c r="G39" i="1" s="1"/>
  <c r="E15" i="66"/>
  <c r="F15" i="66" s="1"/>
  <c r="F20" i="66" s="1"/>
  <c r="F49" i="66" s="1"/>
  <c r="E15" i="64"/>
  <c r="F15" i="64" s="1"/>
  <c r="F20" i="64" s="1"/>
  <c r="F48" i="64" s="1"/>
  <c r="F50" i="79"/>
  <c r="F247" i="1"/>
  <c r="G247" i="1" s="1"/>
  <c r="G244" i="1" s="1"/>
  <c r="F48" i="60"/>
  <c r="F48" i="49"/>
  <c r="F76" i="1"/>
  <c r="G76" i="1" s="1"/>
  <c r="F131" i="1"/>
  <c r="F187" i="1"/>
  <c r="G187" i="1" s="1"/>
  <c r="F72" i="1"/>
  <c r="G72" i="1" s="1"/>
  <c r="F71" i="1"/>
  <c r="G71" i="1" s="1"/>
  <c r="F70" i="1"/>
  <c r="G70" i="1" s="1"/>
  <c r="F62" i="1"/>
  <c r="G62" i="1" s="1"/>
  <c r="F173" i="1"/>
  <c r="G173" i="1" s="1"/>
  <c r="F61" i="1"/>
  <c r="F114" i="1"/>
  <c r="G114" i="1" s="1"/>
  <c r="F56" i="1"/>
  <c r="G56" i="1" s="1"/>
  <c r="F55" i="1"/>
  <c r="G55" i="1" s="1"/>
  <c r="F51" i="1"/>
  <c r="G51" i="1" s="1"/>
  <c r="F110" i="1"/>
  <c r="G110" i="1" s="1"/>
  <c r="F108" i="1"/>
  <c r="G108" i="1" s="1"/>
  <c r="F49" i="1"/>
  <c r="G49" i="1" s="1"/>
  <c r="F52" i="1"/>
  <c r="G52" i="1" s="1"/>
  <c r="F111" i="1"/>
  <c r="G111" i="1" s="1"/>
  <c r="F53" i="1"/>
  <c r="G53" i="1" s="1"/>
  <c r="F112" i="1"/>
  <c r="G112" i="1" s="1"/>
  <c r="F107" i="1"/>
  <c r="G107" i="1" s="1"/>
  <c r="F48" i="1"/>
  <c r="G48" i="1" s="1"/>
  <c r="F164" i="1"/>
  <c r="G164" i="1" s="1"/>
  <c r="F42" i="1"/>
  <c r="G42" i="1" s="1"/>
  <c r="F43" i="1"/>
  <c r="G43" i="1" s="1"/>
  <c r="F163" i="1"/>
  <c r="G163" i="1" s="1"/>
  <c r="F162" i="1"/>
  <c r="G162" i="1" s="1"/>
  <c r="F103" i="1"/>
  <c r="G103" i="1" s="1"/>
  <c r="F44" i="1"/>
  <c r="F106" i="1"/>
  <c r="G106" i="1" s="1"/>
  <c r="F47" i="1"/>
  <c r="G47" i="1" s="1"/>
  <c r="F159" i="1"/>
  <c r="G159" i="1" s="1"/>
  <c r="F41" i="1"/>
  <c r="G41" i="1" s="1"/>
  <c r="F161" i="1"/>
  <c r="G161" i="1" s="1"/>
  <c r="F101" i="1"/>
  <c r="G101" i="1" s="1"/>
  <c r="F40" i="1"/>
  <c r="G40" i="1" s="1"/>
  <c r="F54" i="1"/>
  <c r="G54" i="1" s="1"/>
  <c r="F113" i="1"/>
  <c r="G113" i="1" s="1"/>
  <c r="F79" i="1"/>
  <c r="G79" i="1" s="1"/>
  <c r="F190" i="1"/>
  <c r="G190" i="1" s="1"/>
  <c r="F80" i="1"/>
  <c r="G80" i="1" s="1"/>
  <c r="F177" i="1"/>
  <c r="G177" i="1" s="1"/>
  <c r="F65" i="1"/>
  <c r="G65" i="1" s="1"/>
  <c r="F50" i="1"/>
  <c r="G50" i="1" s="1"/>
  <c r="F109" i="1"/>
  <c r="G109" i="1" s="1"/>
  <c r="F34" i="1"/>
  <c r="G34" i="1" s="1"/>
  <c r="F32" i="1"/>
  <c r="G32" i="1" s="1"/>
  <c r="E27" i="48"/>
  <c r="F27" i="48" s="1"/>
  <c r="F98" i="1"/>
  <c r="F35" i="1"/>
  <c r="G35" i="1" s="1"/>
  <c r="F150" i="1"/>
  <c r="G150" i="1" s="1"/>
  <c r="F31" i="1"/>
  <c r="G31" i="1" s="1"/>
  <c r="F168" i="1"/>
  <c r="G168" i="1" s="1"/>
  <c r="G167" i="1" s="1"/>
  <c r="F120" i="1"/>
  <c r="G120" i="1" s="1"/>
  <c r="G119" i="1" s="1"/>
  <c r="F58" i="1"/>
  <c r="G33" i="1"/>
  <c r="F32" i="57"/>
  <c r="E15" i="107"/>
  <c r="F15" i="107" s="1"/>
  <c r="F20" i="107" s="1"/>
  <c r="F48" i="107" s="1"/>
  <c r="G61" i="1"/>
  <c r="G60" i="1"/>
  <c r="G44" i="1"/>
  <c r="E15" i="42"/>
  <c r="F15" i="42" s="1"/>
  <c r="F20" i="42" s="1"/>
  <c r="F48" i="42" s="1"/>
  <c r="F42" i="5"/>
  <c r="F46" i="5" s="1"/>
  <c r="F42" i="6"/>
  <c r="F46" i="6" s="1"/>
  <c r="F42" i="7"/>
  <c r="F46" i="7" s="1"/>
  <c r="F42" i="53"/>
  <c r="F46" i="53" s="1"/>
  <c r="F42" i="52"/>
  <c r="F46" i="52" s="1"/>
  <c r="F42" i="51"/>
  <c r="F46" i="51" s="1"/>
  <c r="F42" i="50"/>
  <c r="F46" i="50" s="1"/>
  <c r="F42" i="56"/>
  <c r="F46" i="56" s="1"/>
  <c r="F42" i="55"/>
  <c r="F46" i="55" s="1"/>
  <c r="F42" i="59"/>
  <c r="F46" i="59" s="1"/>
  <c r="F42" i="58"/>
  <c r="F46" i="58" s="1"/>
  <c r="F42" i="57"/>
  <c r="F46" i="57" s="1"/>
  <c r="F42" i="54"/>
  <c r="F46" i="54" s="1"/>
  <c r="E15" i="102"/>
  <c r="F15" i="102" s="1"/>
  <c r="F20" i="102" s="1"/>
  <c r="F48" i="102"/>
  <c r="E15" i="41"/>
  <c r="F15" i="41" s="1"/>
  <c r="F20" i="41" s="1"/>
  <c r="F49" i="41"/>
  <c r="E15" i="32"/>
  <c r="F15" i="32" s="1"/>
  <c r="F20" i="32" s="1"/>
  <c r="F48" i="32"/>
  <c r="E15" i="23"/>
  <c r="F15" i="23" s="1"/>
  <c r="F20" i="23" s="1"/>
  <c r="E15" i="24"/>
  <c r="F15" i="24" s="1"/>
  <c r="F20" i="24" s="1"/>
  <c r="G118" i="1"/>
  <c r="G117" i="1"/>
  <c r="E15" i="129" l="1"/>
  <c r="E15" i="133"/>
  <c r="E15" i="125"/>
  <c r="E15" i="126"/>
  <c r="E15" i="135"/>
  <c r="F240" i="1"/>
  <c r="G240" i="1" s="1"/>
  <c r="F96" i="1"/>
  <c r="F239" i="1"/>
  <c r="G239" i="1" s="1"/>
  <c r="F95" i="1"/>
  <c r="F237" i="1"/>
  <c r="G237" i="1" s="1"/>
  <c r="G236" i="1" s="1"/>
  <c r="F91" i="1"/>
  <c r="F189" i="1"/>
  <c r="G189" i="1" s="1"/>
  <c r="G188" i="1" s="1"/>
  <c r="F78" i="1"/>
  <c r="G78" i="1" s="1"/>
  <c r="G77" i="1" s="1"/>
  <c r="F75" i="1"/>
  <c r="G75" i="1" s="1"/>
  <c r="G74" i="1" s="1"/>
  <c r="F186" i="1"/>
  <c r="G186" i="1" s="1"/>
  <c r="G185" i="1" s="1"/>
  <c r="F265" i="1"/>
  <c r="G265" i="1" s="1"/>
  <c r="G262" i="1" s="1"/>
  <c r="F125" i="1"/>
  <c r="G125" i="1" s="1"/>
  <c r="F68" i="1"/>
  <c r="G68" i="1" s="1"/>
  <c r="G64" i="1" s="1"/>
  <c r="F179" i="1"/>
  <c r="G179" i="1" s="1"/>
  <c r="G175" i="1" s="1"/>
  <c r="F258" i="1"/>
  <c r="G258" i="1" s="1"/>
  <c r="F124" i="1"/>
  <c r="F178" i="1"/>
  <c r="G178" i="1" s="1"/>
  <c r="F67" i="1"/>
  <c r="G67" i="1" s="1"/>
  <c r="F257" i="1"/>
  <c r="G257" i="1" s="1"/>
  <c r="F123" i="1"/>
  <c r="G123" i="1" s="1"/>
  <c r="F66" i="1"/>
  <c r="G66" i="1" s="1"/>
  <c r="F176" i="1"/>
  <c r="G176" i="1" s="1"/>
  <c r="E26" i="48"/>
  <c r="F26" i="48" s="1"/>
  <c r="F255" i="1"/>
  <c r="G255" i="1" s="1"/>
  <c r="G254" i="1" s="1"/>
  <c r="F160" i="1"/>
  <c r="G160" i="1" s="1"/>
  <c r="G158" i="1" s="1"/>
  <c r="F38" i="1"/>
  <c r="G38" i="1" s="1"/>
  <c r="F165" i="1"/>
  <c r="G165" i="1" s="1"/>
  <c r="F37" i="1"/>
  <c r="G37" i="1" s="1"/>
  <c r="E15" i="5"/>
  <c r="F15" i="5" s="1"/>
  <c r="F20" i="5" s="1"/>
  <c r="F48" i="5"/>
  <c r="F270" i="1"/>
  <c r="G270" i="1" s="1"/>
  <c r="G269" i="1" s="1"/>
  <c r="F222" i="1"/>
  <c r="G222" i="1" s="1"/>
  <c r="G221" i="1" s="1"/>
  <c r="G149" i="1"/>
  <c r="G227" i="1"/>
  <c r="G30" i="1"/>
  <c r="F115" i="1"/>
  <c r="G115" i="1" s="1"/>
  <c r="F193" i="1"/>
  <c r="G193" i="1" s="1"/>
  <c r="G192" i="1" s="1"/>
  <c r="F135" i="1"/>
  <c r="F82" i="1"/>
  <c r="F102" i="1"/>
  <c r="G102" i="1" s="1"/>
  <c r="F45" i="1"/>
  <c r="F104" i="1"/>
  <c r="F166" i="1"/>
  <c r="G166" i="1" s="1"/>
  <c r="F100" i="1"/>
  <c r="G100" i="1" s="1"/>
  <c r="G116" i="1"/>
  <c r="G46" i="1"/>
  <c r="G105" i="1"/>
  <c r="G45" i="1"/>
  <c r="G36" i="1" s="1"/>
  <c r="G104" i="1"/>
  <c r="G99" i="1" s="1"/>
  <c r="G82" i="1"/>
  <c r="G81" i="1" s="1"/>
  <c r="G135" i="1"/>
  <c r="G134" i="1" s="1"/>
  <c r="E15" i="54"/>
  <c r="F15" i="54" s="1"/>
  <c r="F20" i="54" s="1"/>
  <c r="F48" i="54"/>
  <c r="E33" i="137" s="1"/>
  <c r="F33" i="137" s="1"/>
  <c r="F35" i="137" s="1"/>
  <c r="E39" i="137" s="1"/>
  <c r="F39" i="137" s="1"/>
  <c r="F41" i="137" s="1"/>
  <c r="F51" i="137" s="1"/>
  <c r="F218" i="1" s="1"/>
  <c r="G218" i="1" s="1"/>
  <c r="E15" i="57"/>
  <c r="F15" i="57" s="1"/>
  <c r="F20" i="57" s="1"/>
  <c r="F48" i="57" s="1"/>
  <c r="F243" i="1" s="1"/>
  <c r="G243" i="1" s="1"/>
  <c r="E15" i="58"/>
  <c r="F15" i="58" s="1"/>
  <c r="F20" i="58" s="1"/>
  <c r="F48" i="58" s="1"/>
  <c r="F242" i="1" s="1"/>
  <c r="G242" i="1" s="1"/>
  <c r="G241" i="1" s="1"/>
  <c r="E15" i="59"/>
  <c r="F15" i="59" s="1"/>
  <c r="F20" i="59" s="1"/>
  <c r="F48" i="59" s="1"/>
  <c r="F25" i="1" s="1"/>
  <c r="E15" i="55"/>
  <c r="F15" i="55" s="1"/>
  <c r="F20" i="55" s="1"/>
  <c r="F48" i="55" s="1"/>
  <c r="E15" i="56"/>
  <c r="F15" i="56" s="1"/>
  <c r="F20" i="56" s="1"/>
  <c r="F48" i="56"/>
  <c r="E15" i="50"/>
  <c r="F15" i="50" s="1"/>
  <c r="F20" i="50" s="1"/>
  <c r="F48" i="50" s="1"/>
  <c r="E15" i="51"/>
  <c r="F15" i="51" s="1"/>
  <c r="F20" i="51" s="1"/>
  <c r="F48" i="51"/>
  <c r="E15" i="52"/>
  <c r="F15" i="52" s="1"/>
  <c r="F20" i="52" s="1"/>
  <c r="F48" i="52"/>
  <c r="E15" i="53"/>
  <c r="F15" i="53" s="1"/>
  <c r="F20" i="53" s="1"/>
  <c r="F48" i="53"/>
  <c r="E15" i="7"/>
  <c r="F15" i="7" s="1"/>
  <c r="F20" i="7" s="1"/>
  <c r="F48" i="7"/>
  <c r="E15" i="6"/>
  <c r="F15" i="6" s="1"/>
  <c r="F20" i="6" s="1"/>
  <c r="F48" i="6" s="1"/>
  <c r="F14" i="1"/>
  <c r="I14" i="1" s="1"/>
  <c r="G131" i="1"/>
  <c r="G130" i="1" s="1"/>
  <c r="F48" i="24"/>
  <c r="F48" i="23"/>
  <c r="I15" i="129" l="1"/>
  <c r="F15" i="129"/>
  <c r="F15" i="133"/>
  <c r="I15" i="133"/>
  <c r="I15" i="125"/>
  <c r="F15" i="125"/>
  <c r="F15" i="126"/>
  <c r="I15" i="126"/>
  <c r="F15" i="135"/>
  <c r="I15" i="135"/>
  <c r="F212" i="1"/>
  <c r="G212" i="1" s="1"/>
  <c r="G211" i="1" s="1"/>
  <c r="G210" i="1" s="1"/>
  <c r="H210" i="1" s="1"/>
  <c r="I210" i="1" s="1"/>
  <c r="J210" i="1" s="1"/>
  <c r="K210" i="1" s="1"/>
  <c r="F226" i="1"/>
  <c r="G226" i="1" s="1"/>
  <c r="G225" i="1" s="1"/>
  <c r="G238" i="1"/>
  <c r="F138" i="1"/>
  <c r="G138" i="1" s="1"/>
  <c r="F86" i="1"/>
  <c r="G86" i="1" s="1"/>
  <c r="G85" i="1" s="1"/>
  <c r="F144" i="1"/>
  <c r="G144" i="1" s="1"/>
  <c r="F217" i="1"/>
  <c r="G217" i="1" s="1"/>
  <c r="G216" i="1" s="1"/>
  <c r="F142" i="1"/>
  <c r="G142" i="1" s="1"/>
  <c r="F235" i="1"/>
  <c r="G235" i="1" s="1"/>
  <c r="F214" i="1"/>
  <c r="G214" i="1" s="1"/>
  <c r="G213" i="1" s="1"/>
  <c r="F234" i="1"/>
  <c r="G234" i="1" s="1"/>
  <c r="G233" i="1" s="1"/>
  <c r="F215" i="1"/>
  <c r="G215" i="1" s="1"/>
  <c r="G14" i="1"/>
  <c r="G13" i="1" s="1"/>
  <c r="E24" i="48"/>
  <c r="F24" i="48" s="1"/>
  <c r="F141" i="1"/>
  <c r="G141" i="1" s="1"/>
  <c r="F89" i="1"/>
  <c r="G140" i="1"/>
  <c r="F139" i="1"/>
  <c r="G139" i="1" s="1"/>
  <c r="F87" i="1"/>
  <c r="G87" i="1" s="1"/>
  <c r="G137" i="1"/>
  <c r="F129" i="1"/>
  <c r="G129" i="1" s="1"/>
  <c r="F128" i="1"/>
  <c r="G128" i="1" s="1"/>
  <c r="F21" i="1"/>
  <c r="G21" i="1" s="1"/>
  <c r="F22" i="1"/>
  <c r="G22" i="1" s="1"/>
  <c r="F23" i="1"/>
  <c r="G23" i="1" s="1"/>
  <c r="F148" i="1"/>
  <c r="G148" i="1" s="1"/>
  <c r="G143" i="1" s="1"/>
  <c r="F24" i="1"/>
  <c r="G24" i="1" s="1"/>
  <c r="F156" i="1"/>
  <c r="G156" i="1" s="1"/>
  <c r="F93" i="1"/>
  <c r="G93" i="1" s="1"/>
  <c r="G92" i="1" s="1"/>
  <c r="F27" i="1"/>
  <c r="G27" i="1" s="1"/>
  <c r="G26" i="1" s="1"/>
  <c r="F28" i="1"/>
  <c r="G28" i="1" s="1"/>
  <c r="F157" i="1"/>
  <c r="G157" i="1" s="1"/>
  <c r="F29" i="1"/>
  <c r="G25" i="1"/>
  <c r="E28" i="48"/>
  <c r="F28" i="48" s="1"/>
  <c r="F33" i="48" s="1"/>
  <c r="F49" i="48" s="1"/>
  <c r="G29" i="1"/>
  <c r="G127" i="1"/>
  <c r="F17" i="1"/>
  <c r="G17" i="1" s="1"/>
  <c r="F18" i="1"/>
  <c r="F20" i="1"/>
  <c r="G124" i="1"/>
  <c r="G97" i="1"/>
  <c r="G122" i="1"/>
  <c r="G95" i="1"/>
  <c r="G96" i="1"/>
  <c r="G91" i="1"/>
  <c r="G90" i="1" s="1"/>
  <c r="G98" i="1"/>
  <c r="J15" i="129" l="1"/>
  <c r="F20" i="129"/>
  <c r="J15" i="133"/>
  <c r="F20" i="133"/>
  <c r="J15" i="125"/>
  <c r="F20" i="125"/>
  <c r="F20" i="126"/>
  <c r="J15" i="126"/>
  <c r="F20" i="135"/>
  <c r="J15" i="135"/>
  <c r="G224" i="1"/>
  <c r="H224" i="1" s="1"/>
  <c r="I224" i="1" s="1"/>
  <c r="J224" i="1" s="1"/>
  <c r="K224" i="1" s="1"/>
  <c r="G20" i="1"/>
  <c r="G19" i="1" s="1"/>
  <c r="G18" i="1"/>
  <c r="G16" i="1"/>
  <c r="F133" i="1"/>
  <c r="G133" i="1" s="1"/>
  <c r="G132" i="1" s="1"/>
  <c r="G155" i="1"/>
  <c r="G121" i="1"/>
  <c r="G94" i="1"/>
  <c r="G89" i="1"/>
  <c r="G88" i="1" s="1"/>
  <c r="F48" i="129" l="1"/>
  <c r="H20" i="129"/>
  <c r="F48" i="133"/>
  <c r="H20" i="133"/>
  <c r="F48" i="125"/>
  <c r="H20" i="125"/>
  <c r="F48" i="126"/>
  <c r="H20" i="126"/>
  <c r="F48" i="135"/>
  <c r="H20" i="135"/>
  <c r="G84" i="1"/>
  <c r="G58" i="1"/>
  <c r="F203" i="1" l="1"/>
  <c r="G203" i="1" s="1"/>
  <c r="G200" i="1" s="1"/>
  <c r="H48" i="129"/>
  <c r="H48" i="133"/>
  <c r="F208" i="1"/>
  <c r="G208" i="1" s="1"/>
  <c r="G207" i="1" s="1"/>
  <c r="H48" i="125"/>
  <c r="F199" i="1"/>
  <c r="G199" i="1" s="1"/>
  <c r="G197" i="1" s="1"/>
  <c r="F171" i="1"/>
  <c r="G171" i="1" s="1"/>
  <c r="G169" i="1" s="1"/>
  <c r="G136" i="1" s="1"/>
  <c r="H136" i="1" s="1"/>
  <c r="I136" i="1" s="1"/>
  <c r="J136" i="1" s="1"/>
  <c r="K136" i="1" s="1"/>
  <c r="H48" i="126"/>
  <c r="F196" i="1"/>
  <c r="G196" i="1" s="1"/>
  <c r="G195" i="1" s="1"/>
  <c r="H48" i="135"/>
  <c r="F63" i="1"/>
  <c r="G63" i="1" s="1"/>
  <c r="G59" i="1" s="1"/>
  <c r="H84" i="1"/>
  <c r="I84" i="1" s="1"/>
  <c r="J84" i="1" s="1"/>
  <c r="K84" i="1" s="1"/>
  <c r="G57" i="1"/>
  <c r="G12" i="1" s="1"/>
  <c r="G194" i="1" l="1"/>
  <c r="H194" i="1" s="1"/>
  <c r="I194" i="1" s="1"/>
  <c r="J194" i="1" s="1"/>
  <c r="K194" i="1" s="1"/>
  <c r="N194" i="1" s="1"/>
  <c r="G272" i="1"/>
  <c r="H12" i="1"/>
  <c r="I12" i="1" s="1"/>
  <c r="J12" i="1" s="1"/>
  <c r="K12" i="1" s="1"/>
  <c r="G275" i="1"/>
  <c r="G274" i="1" l="1"/>
  <c r="G273" i="1"/>
  <c r="I26" i="150"/>
  <c r="G25" i="150"/>
  <c r="H25" i="150" s="1"/>
  <c r="G24" i="150"/>
  <c r="H24" i="150" s="1"/>
  <c r="G23" i="150"/>
  <c r="H23" i="150" s="1"/>
  <c r="H26" i="150" s="1"/>
  <c r="H32" i="150" s="1"/>
  <c r="I30" i="150"/>
  <c r="G29" i="150"/>
  <c r="H29" i="150" s="1"/>
  <c r="G276" i="1"/>
  <c r="I20" i="150"/>
  <c r="N274" i="1"/>
  <c r="K273" i="1"/>
  <c r="H33" i="150" l="1"/>
  <c r="H30" i="150"/>
  <c r="G277" i="1"/>
  <c r="G278" i="1" s="1"/>
  <c r="G279" i="1" s="1"/>
  <c r="G280" i="1" s="1"/>
  <c r="I34" i="150"/>
  <c r="J19" i="151" l="1"/>
  <c r="P12" i="151"/>
  <c r="P16" i="151" s="1"/>
  <c r="G281" i="1"/>
  <c r="K281" i="1" s="1"/>
  <c r="L273" i="1"/>
  <c r="O22" i="150"/>
  <c r="O26" i="150" s="1"/>
  <c r="P24" i="151" l="1"/>
  <c r="P20" i="151"/>
  <c r="P19" i="151"/>
  <c r="P18" i="151"/>
  <c r="P17" i="151"/>
  <c r="P28" i="151" s="1"/>
  <c r="G14" i="151" s="1"/>
  <c r="H14" i="151" s="1"/>
  <c r="H17" i="151" s="1"/>
  <c r="H18" i="151" s="1"/>
  <c r="O34" i="150"/>
  <c r="O30" i="150"/>
  <c r="O29" i="150"/>
  <c r="O28" i="150"/>
  <c r="O27" i="150"/>
  <c r="O38" i="150" l="1"/>
  <c r="F17" i="150" s="1"/>
  <c r="H17" i="150" s="1"/>
  <c r="H19" i="150" s="1"/>
  <c r="H20" i="150" s="1"/>
  <c r="H19" i="151"/>
  <c r="I19" i="151" s="1"/>
  <c r="H20" i="151"/>
  <c r="I21" i="151" s="1"/>
  <c r="H31" i="150" l="1"/>
  <c r="H34" i="150" s="1"/>
  <c r="J34" i="150" s="1"/>
  <c r="J20" i="15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G28" authorId="0" shapeId="0" xr:uid="{078A7726-8216-473A-85AB-19CB93491323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0,3 DE ZAPATA + 0,3 DE VIGA</t>
        </r>
      </text>
    </comment>
    <comment ref="G30" authorId="0" shapeId="0" xr:uid="{A38BDAD3-6F87-482B-A11C-D217B81350C9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,45 DE CICLOPEO + ,3 DE VIGA
</t>
        </r>
      </text>
    </comment>
    <comment ref="G367" authorId="0" shapeId="0" xr:uid="{799CF0C3-CCE4-4562-B342-685488F7BECC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viga+ciclopeo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E17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2025-$1,423,500___ DIA A $47,450
</t>
        </r>
      </text>
    </comment>
    <comment ref="F20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$200,000 / 30dias (2025)</t>
        </r>
      </text>
    </comment>
    <comment ref="F45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$200,000 / 30dias (2024)</t>
        </r>
      </text>
    </comment>
  </commentList>
</comments>
</file>

<file path=xl/sharedStrings.xml><?xml version="1.0" encoding="utf-8"?>
<sst xmlns="http://schemas.openxmlformats.org/spreadsheetml/2006/main" count="8317" uniqueCount="1344">
  <si>
    <t xml:space="preserve">ITEM </t>
  </si>
  <si>
    <t>DESCRIPCION</t>
  </si>
  <si>
    <t>UNID</t>
  </si>
  <si>
    <t xml:space="preserve">CANT. </t>
  </si>
  <si>
    <t>VR. UNIT</t>
  </si>
  <si>
    <t xml:space="preserve">VR. TOTAL </t>
  </si>
  <si>
    <t>PRELIMINARES</t>
  </si>
  <si>
    <t>Localización y Replanteo</t>
  </si>
  <si>
    <t>M2</t>
  </si>
  <si>
    <t>M3</t>
  </si>
  <si>
    <t>MAMPOSTERIA</t>
  </si>
  <si>
    <t>Descapote y Limpieza</t>
  </si>
  <si>
    <t>CANTIDAD</t>
  </si>
  <si>
    <t>Viga de cimentacion Eje A 1-4</t>
  </si>
  <si>
    <t>Viga de cimentacion Eje 2 A-C</t>
  </si>
  <si>
    <t>Viga de cimentacion Eje 3 A-C</t>
  </si>
  <si>
    <t>Viga de cimentacion Eje B 2-3</t>
  </si>
  <si>
    <t>Viga de cimentacion Eje C 1-4</t>
  </si>
  <si>
    <t>LONGITUD</t>
  </si>
  <si>
    <t>ML</t>
  </si>
  <si>
    <t xml:space="preserve">APARATOS SANITARIOS </t>
  </si>
  <si>
    <t>UND</t>
  </si>
  <si>
    <t>Pintura Graniplast</t>
  </si>
  <si>
    <t>UNIDAD</t>
  </si>
  <si>
    <t>Viga aerea Eje A 1-4</t>
  </si>
  <si>
    <t>Viga aerea Eje B 2-3</t>
  </si>
  <si>
    <t>Viga aerea Eje C 1-4</t>
  </si>
  <si>
    <t>Viga aerea Eje 2 A-C</t>
  </si>
  <si>
    <t>Viga aerea Eje 3 A-C</t>
  </si>
  <si>
    <t>Piso en ceramica T-5</t>
  </si>
  <si>
    <t>Guardaescoba en ceramica h=0.10m</t>
  </si>
  <si>
    <t>Suministro e instalacion de punto sanitario 2"</t>
  </si>
  <si>
    <t>Suministro e instalacion de punto sanitario 3"</t>
  </si>
  <si>
    <t>Suministro e instalacion de punto sanitario 4"</t>
  </si>
  <si>
    <t>INSTALACIONES ELECTRICAS</t>
  </si>
  <si>
    <t>Suministro e instalacion de tablero monofase 2 circuitos</t>
  </si>
  <si>
    <t>Cajilla de inspeccion 0.6*0.6m en ladrillo</t>
  </si>
  <si>
    <t>Instalacion de sanitario tipo corona</t>
  </si>
  <si>
    <t>Suministro e instalacion de panel LED sobreponer 12W</t>
  </si>
  <si>
    <t>Salida interruptor doble cable 12AWG HFFR-LS  PVC 1/2. Incluye interruptor</t>
  </si>
  <si>
    <t>Punto hidraulico 1/2"</t>
  </si>
  <si>
    <t>V/r UNITARIO</t>
  </si>
  <si>
    <t xml:space="preserve">[ HR  ] </t>
  </si>
  <si>
    <t>HR</t>
  </si>
  <si>
    <t>AYUDANTE (Incl. Prestaciones)</t>
  </si>
  <si>
    <t>OFICIAL (Incl. Prestaciones)</t>
  </si>
  <si>
    <t>V/r PARCIAL</t>
  </si>
  <si>
    <t>CANT</t>
  </si>
  <si>
    <t>DESCRIPCIÓN</t>
  </si>
  <si>
    <t>MANO DE OBRA ELECTRICA</t>
  </si>
  <si>
    <t>MANO DE OBRA PINTURA</t>
  </si>
  <si>
    <t>MANO DE OBRA CARPINTERIA</t>
  </si>
  <si>
    <t>MANO DE OBRA HIDRAULICA</t>
  </si>
  <si>
    <t xml:space="preserve">[ HR ] </t>
  </si>
  <si>
    <t xml:space="preserve">[ DIA  ] </t>
  </si>
  <si>
    <t>INCREMENTO TOTAL</t>
  </si>
  <si>
    <t>%</t>
  </si>
  <si>
    <t>ICBF</t>
  </si>
  <si>
    <t>Sena</t>
  </si>
  <si>
    <t>Caja de compensacion familiar</t>
  </si>
  <si>
    <t>APORTES PARAFISCALES:</t>
  </si>
  <si>
    <t>Seguridad Social (Salud, Pension, Arl)</t>
  </si>
  <si>
    <t>Dotacion aproximada</t>
  </si>
  <si>
    <t>Vacaciones</t>
  </si>
  <si>
    <t>Prima de servicios</t>
  </si>
  <si>
    <t>Intereses de cesantias</t>
  </si>
  <si>
    <t>Cesantias</t>
  </si>
  <si>
    <t>Subsidio de transporte</t>
  </si>
  <si>
    <t>PRESTACIONES SOCIALES</t>
  </si>
  <si>
    <t>DIA</t>
  </si>
  <si>
    <t>OFICIAL</t>
  </si>
  <si>
    <t>AYUDANTE</t>
  </si>
  <si>
    <t>ANALISIS DE PRECIOS UNITARIOS</t>
  </si>
  <si>
    <t>CAPITULO:</t>
  </si>
  <si>
    <t>UNIDAD:</t>
  </si>
  <si>
    <t>ITEM:</t>
  </si>
  <si>
    <t>HERRAMIENTA Y EQUIPO</t>
  </si>
  <si>
    <t>CANT.</t>
  </si>
  <si>
    <t>V. UNIT</t>
  </si>
  <si>
    <t>VR. PARCIAL</t>
  </si>
  <si>
    <t>SUB-TOTAL HERRAMIENTA Y EQUIPO:</t>
  </si>
  <si>
    <t>MATERIALES</t>
  </si>
  <si>
    <t>VR. UNITARIO</t>
  </si>
  <si>
    <t>und</t>
  </si>
  <si>
    <t>TOTAL MATERIALES:</t>
  </si>
  <si>
    <t>TRANSPORTE</t>
  </si>
  <si>
    <t>MATERIAL</t>
  </si>
  <si>
    <t>VOL (M3)</t>
  </si>
  <si>
    <t>DIST (KM)</t>
  </si>
  <si>
    <t>PESOS/(M3-KM)</t>
  </si>
  <si>
    <t>TOTAL TRANSPORTE:</t>
  </si>
  <si>
    <t>MANO DE OBRA</t>
  </si>
  <si>
    <t>TOTAL MANO DE OBRA:</t>
  </si>
  <si>
    <t>VALOR UNITARIO TOTAL</t>
  </si>
  <si>
    <t>Vol - peso o cant</t>
  </si>
  <si>
    <t>TARIFA</t>
  </si>
  <si>
    <t>DIST</t>
  </si>
  <si>
    <t>M3-KM</t>
  </si>
  <si>
    <t>REND</t>
  </si>
  <si>
    <t>m2</t>
  </si>
  <si>
    <t>Mortero 1:4</t>
  </si>
  <si>
    <t>Kg</t>
  </si>
  <si>
    <t>Lt</t>
  </si>
  <si>
    <t xml:space="preserve">Combo sanitario blanco tipo corona </t>
  </si>
  <si>
    <t>Orinal tipo corona con griferia</t>
  </si>
  <si>
    <t xml:space="preserve">Suministro e instalacion puertas en lamina galvanizada </t>
  </si>
  <si>
    <t xml:space="preserve">Suministro e instalacion division en lamina galvanizada </t>
  </si>
  <si>
    <t>Alimentacion electrica principal</t>
  </si>
  <si>
    <t>TARIFA/KM</t>
  </si>
  <si>
    <t>3/8"</t>
  </si>
  <si>
    <t>1/4"</t>
  </si>
  <si>
    <t>KG</t>
  </si>
  <si>
    <t>PESO (KG/ML)</t>
  </si>
  <si>
    <t>TRASLAPO O GANCHOS</t>
  </si>
  <si>
    <t>formaleta</t>
  </si>
  <si>
    <t>Longitud</t>
  </si>
  <si>
    <t>cantidad</t>
  </si>
  <si>
    <t>peso kg/m</t>
  </si>
  <si>
    <t>Volumen</t>
  </si>
  <si>
    <t>Orinal tipo corona. Incluye valvula tipo push</t>
  </si>
  <si>
    <t>KAREN TATIANA GUTIERREZ V.</t>
  </si>
  <si>
    <t>Profesional de apoyo</t>
  </si>
  <si>
    <t>HECTOR HORACIO GAITAN G.</t>
  </si>
  <si>
    <t>Secretario de Planeaicon e Infraestructura</t>
  </si>
  <si>
    <t xml:space="preserve">  </t>
  </si>
  <si>
    <t>MEMORIA DE CANTIDADES DE OBRA</t>
  </si>
  <si>
    <t>MEMORIAS DE CANTIDADES DE OBRA GENERAL</t>
  </si>
  <si>
    <t>ACTIVIDAD</t>
  </si>
  <si>
    <t>DIMENSIONES</t>
  </si>
  <si>
    <t>BARRA Nº</t>
  </si>
  <si>
    <t>TRASLAPOS</t>
  </si>
  <si>
    <t>PESO/ml - m2</t>
  </si>
  <si>
    <t>PESO</t>
  </si>
  <si>
    <t>ÍTEM</t>
  </si>
  <si>
    <t>L</t>
  </si>
  <si>
    <t>A</t>
  </si>
  <si>
    <t>H</t>
  </si>
  <si>
    <t>mts.</t>
  </si>
  <si>
    <t>Kg./ml - m2</t>
  </si>
  <si>
    <t>Kg.</t>
  </si>
  <si>
    <t>CRONOGRAMA DE ACTIVIDADES</t>
  </si>
  <si>
    <t xml:space="preserve">MES 2 </t>
  </si>
  <si>
    <t xml:space="preserve">ACTIVIDAD </t>
  </si>
  <si>
    <t>SEMANA 1</t>
  </si>
  <si>
    <t>SEMANA 2</t>
  </si>
  <si>
    <t>SEMANA 3</t>
  </si>
  <si>
    <t>SEMANA 4</t>
  </si>
  <si>
    <t>SEMANA 5</t>
  </si>
  <si>
    <t>SEMANA 6</t>
  </si>
  <si>
    <t>SEMANA 7</t>
  </si>
  <si>
    <t xml:space="preserve">VALOR UNITARIO </t>
  </si>
  <si>
    <t>VALOR     TOTAL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</si>
  <si>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</si>
  <si>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</si>
  <si>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</si>
  <si>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</si>
  <si>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</si>
  <si>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</si>
  <si>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</si>
  <si>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</si>
  <si>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</si>
  <si>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</si>
  <si>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A1,1</t>
  </si>
  <si>
    <t>A1,2</t>
  </si>
  <si>
    <t>A2,1</t>
  </si>
  <si>
    <t>A2,2</t>
  </si>
  <si>
    <t>A3,1</t>
  </si>
  <si>
    <t>A3,2</t>
  </si>
  <si>
    <t>A3,3</t>
  </si>
  <si>
    <t>A3,4</t>
  </si>
  <si>
    <t>A4,1</t>
  </si>
  <si>
    <t>A4,2</t>
  </si>
  <si>
    <t>A5,1</t>
  </si>
  <si>
    <t>A5,2</t>
  </si>
  <si>
    <t>A5,3</t>
  </si>
  <si>
    <t>A5,4</t>
  </si>
  <si>
    <t>A6,1</t>
  </si>
  <si>
    <t>A6,2</t>
  </si>
  <si>
    <t>A7,1</t>
  </si>
  <si>
    <t>A7,2</t>
  </si>
  <si>
    <t>A8,1</t>
  </si>
  <si>
    <t>A9,1</t>
  </si>
  <si>
    <t>A9,2</t>
  </si>
  <si>
    <t>A9,3</t>
  </si>
  <si>
    <t>A10,1</t>
  </si>
  <si>
    <t>Muro A</t>
  </si>
  <si>
    <t>A11</t>
  </si>
  <si>
    <t>POZO SÉPTICO</t>
  </si>
  <si>
    <t>Construir a todo costo Pozo séptico y filtro anaeróbico de 3,30 x 1,30 x 1,00 mts.</t>
  </si>
  <si>
    <t>A11,1</t>
  </si>
  <si>
    <t>A11,2</t>
  </si>
  <si>
    <t>RECEBO</t>
  </si>
  <si>
    <t>CONCRETO DE 2500 PSI</t>
  </si>
  <si>
    <t>CEMENTO GRIS</t>
  </si>
  <si>
    <t xml:space="preserve">UND </t>
  </si>
  <si>
    <t>EXCAVACION MATERIAL COMUN CON RETIRO</t>
  </si>
  <si>
    <t>MURO LADRILLO MACIZO</t>
  </si>
  <si>
    <t>PLACA CONTRAPISO DE 2500 PSI H=0,07M</t>
  </si>
  <si>
    <t>PLACA MACIZA EN CONCRETO 3000 PSI E=10 CMS</t>
  </si>
  <si>
    <t>ACERO DE REFUERZO DE 60000 PSI</t>
  </si>
  <si>
    <t>SUMINISTRO E INSTALACION GRAVA FILTRO</t>
  </si>
  <si>
    <t>TUBERIA SANITARIA DE 4"</t>
  </si>
  <si>
    <t>CODO SANITARIO DE 4"</t>
  </si>
  <si>
    <t>TEE SANITARIA DE 4"</t>
  </si>
  <si>
    <t>CONSTRUCCIÓN DE COMEDOR - COCINA EN LA INSTITUCIÓN EDUCATIVA NUESTRA SEÑORA DEL CARMEN SEDE EL AMPARO</t>
  </si>
  <si>
    <t>B</t>
  </si>
  <si>
    <t>B1</t>
  </si>
  <si>
    <t>B1,1</t>
  </si>
  <si>
    <t>B1,2</t>
  </si>
  <si>
    <t>B2</t>
  </si>
  <si>
    <t>B2,1</t>
  </si>
  <si>
    <t>B3</t>
  </si>
  <si>
    <t>B3,1</t>
  </si>
  <si>
    <t>B4</t>
  </si>
  <si>
    <t>B4,1</t>
  </si>
  <si>
    <t>B5</t>
  </si>
  <si>
    <t>B5,1</t>
  </si>
  <si>
    <t>B5,2</t>
  </si>
  <si>
    <t>B5,3</t>
  </si>
  <si>
    <t>B5,4</t>
  </si>
  <si>
    <t>B6</t>
  </si>
  <si>
    <t>B6,1</t>
  </si>
  <si>
    <t>B6,2</t>
  </si>
  <si>
    <t>B7</t>
  </si>
  <si>
    <t>B7,1</t>
  </si>
  <si>
    <t>B7,2</t>
  </si>
  <si>
    <t>B8</t>
  </si>
  <si>
    <t>B8,1</t>
  </si>
  <si>
    <t>B8,2</t>
  </si>
  <si>
    <t>B9</t>
  </si>
  <si>
    <t>B9,1</t>
  </si>
  <si>
    <t>B10</t>
  </si>
  <si>
    <t>B10,1</t>
  </si>
  <si>
    <t>B11</t>
  </si>
  <si>
    <t>B11,1</t>
  </si>
  <si>
    <t>B11,2</t>
  </si>
  <si>
    <t>MOVIMIENTO DE TIERRA</t>
  </si>
  <si>
    <t>CIMIENTOS</t>
  </si>
  <si>
    <t>A3,5</t>
  </si>
  <si>
    <t>ESTRUCTURA</t>
  </si>
  <si>
    <t>INSTALACIONES ELÉCTRICAS</t>
  </si>
  <si>
    <t>A6,3</t>
  </si>
  <si>
    <t>A6,4</t>
  </si>
  <si>
    <t>A6,5</t>
  </si>
  <si>
    <t>A6,6</t>
  </si>
  <si>
    <t>A6,7</t>
  </si>
  <si>
    <t>INSTALACIONES HIDRAULICAS Y SANITARIAS</t>
  </si>
  <si>
    <t>A7,3</t>
  </si>
  <si>
    <t>A7,4</t>
  </si>
  <si>
    <t>A7,5</t>
  </si>
  <si>
    <t>A7,6</t>
  </si>
  <si>
    <t>A7,7</t>
  </si>
  <si>
    <t>A7,9</t>
  </si>
  <si>
    <t>A7,10</t>
  </si>
  <si>
    <t>PAÑETES</t>
  </si>
  <si>
    <t>CUBIERTA  Y   ESTRUCTURA DE CUBIERTA</t>
  </si>
  <si>
    <t>A10,2</t>
  </si>
  <si>
    <t>A10,3</t>
  </si>
  <si>
    <t>A10,4</t>
  </si>
  <si>
    <t>CARPINTERÍA METÁLICA</t>
  </si>
  <si>
    <t>A11,3</t>
  </si>
  <si>
    <t>A12</t>
  </si>
  <si>
    <t>PINTURA GENERAL Y ACABADOS</t>
  </si>
  <si>
    <t>A12,1</t>
  </si>
  <si>
    <t>A12,2</t>
  </si>
  <si>
    <t>A13</t>
  </si>
  <si>
    <t>A13,1</t>
  </si>
  <si>
    <t>A13,2</t>
  </si>
  <si>
    <t>A13,3</t>
  </si>
  <si>
    <t>EXTERIORES Y OBRAS COMPLEMENTARIAS</t>
  </si>
  <si>
    <t>Zapatas 1</t>
  </si>
  <si>
    <t>Zapatas 2</t>
  </si>
  <si>
    <t xml:space="preserve">VC Eje 1 Entre Eje A y B </t>
  </si>
  <si>
    <t xml:space="preserve">VC Eje 1 Entre Eje B y C </t>
  </si>
  <si>
    <t>VC Eje 3 Entre Eje A y B</t>
  </si>
  <si>
    <t xml:space="preserve">VC Eje 3 Entre Eje B y C </t>
  </si>
  <si>
    <t xml:space="preserve">VC Eje A Entre Eje 1 y 3 </t>
  </si>
  <si>
    <t>VC Eje B Entre Eje 1 y 3</t>
  </si>
  <si>
    <t>VC Eje C Entre Eje 1 y 3</t>
  </si>
  <si>
    <t>VC Eje 2 Entre Eje B y C</t>
  </si>
  <si>
    <t xml:space="preserve">VC Eje B" Entre Eje 1 y 2 </t>
  </si>
  <si>
    <t xml:space="preserve">Ciclopeo perimetral </t>
  </si>
  <si>
    <t xml:space="preserve">Cuneta </t>
  </si>
  <si>
    <t>Caja De Inspeccion de 60X60</t>
  </si>
  <si>
    <t xml:space="preserve">Area de intervencion </t>
  </si>
  <si>
    <t xml:space="preserve">Zapatas 1 ( 0.70x0.70x0.30) </t>
  </si>
  <si>
    <t xml:space="preserve">Zapatas 2 ( 1,00x1,00x0.30) </t>
  </si>
  <si>
    <t>Vigas de cimentación perimetrales</t>
  </si>
  <si>
    <t>A3,6</t>
  </si>
  <si>
    <t>A6,8</t>
  </si>
  <si>
    <t xml:space="preserve">Zapatas 1 ( 0,7x0,7x0.30) </t>
  </si>
  <si>
    <t xml:space="preserve">Zapatas 2 ( 1.0x1.0x0.30) </t>
  </si>
  <si>
    <t>Muro eje 1 entre ejes A y B</t>
  </si>
  <si>
    <t>Muro eje 1 entre ejes B Y B"</t>
  </si>
  <si>
    <t>Muro eje 1 entre ejes B" Y C</t>
  </si>
  <si>
    <t>Muro eje B' entre ejes 1 y 2</t>
  </si>
  <si>
    <t>Muro eje B' entre ejes 2 y 3</t>
  </si>
  <si>
    <t>Muro eje 3 entre ejes A y B</t>
  </si>
  <si>
    <t>Muro eje 3 entre ejes B Y C</t>
  </si>
  <si>
    <t xml:space="preserve">Mocheta mesones </t>
  </si>
  <si>
    <t>Cocina</t>
  </si>
  <si>
    <t xml:space="preserve">comedor </t>
  </si>
  <si>
    <t>VGA Eje 3 Entre Eje A y B</t>
  </si>
  <si>
    <t xml:space="preserve">VGA Eje A Entre Eje 1 y 3 </t>
  </si>
  <si>
    <t>VGA Eje B Entre Eje 1 y 3</t>
  </si>
  <si>
    <t>VGA Eje C Entre Eje 1 y 3</t>
  </si>
  <si>
    <t xml:space="preserve">Columnas 1A </t>
  </si>
  <si>
    <t>Columnas 1B</t>
  </si>
  <si>
    <t>Columnas 1C</t>
  </si>
  <si>
    <t>Columnas 3A</t>
  </si>
  <si>
    <t xml:space="preserve">Columnas 3B </t>
  </si>
  <si>
    <t>Columnas 3C</t>
  </si>
  <si>
    <t xml:space="preserve">Columnetas </t>
  </si>
  <si>
    <t>Tablero de automáticos</t>
  </si>
  <si>
    <t>Salida eléctrica</t>
  </si>
  <si>
    <t xml:space="preserve">Interuptor </t>
  </si>
  <si>
    <t xml:space="preserve">Lampara </t>
  </si>
  <si>
    <t>Red eléctrica PVC</t>
  </si>
  <si>
    <t>puesta a tierra</t>
  </si>
  <si>
    <t xml:space="preserve">Registro de paso  ½" </t>
  </si>
  <si>
    <t>Acometida cocina</t>
  </si>
  <si>
    <t>Pto agua fría</t>
  </si>
  <si>
    <t>Caja de inspección</t>
  </si>
  <si>
    <t xml:space="preserve">Tubería presión </t>
  </si>
  <si>
    <t>Lavaplatos</t>
  </si>
  <si>
    <t>Tanque 500 Lts</t>
  </si>
  <si>
    <t>Punto 4"</t>
  </si>
  <si>
    <t>Muro eje A entre ejes 1 y 3</t>
  </si>
  <si>
    <t>Cubierta restaurante</t>
  </si>
  <si>
    <t xml:space="preserve">Correa perfil rectangular </t>
  </si>
  <si>
    <t>Bajante aguas lluvias</t>
  </si>
  <si>
    <t>PISOS Y ENCHAPES</t>
  </si>
  <si>
    <t>Comedor</t>
  </si>
  <si>
    <t xml:space="preserve">Guardaescoba </t>
  </si>
  <si>
    <t>ventana 1</t>
  </si>
  <si>
    <t>ventana 2</t>
  </si>
  <si>
    <t>ventana 3</t>
  </si>
  <si>
    <t>ventana 4</t>
  </si>
  <si>
    <t xml:space="preserve">Pueta </t>
  </si>
  <si>
    <t>Reja 1</t>
  </si>
  <si>
    <t>Canal</t>
  </si>
  <si>
    <t xml:space="preserve">Anden </t>
  </si>
  <si>
    <t>Columnas internas</t>
  </si>
  <si>
    <t>Columnas internas culata</t>
  </si>
  <si>
    <t>Eje A entre ejes 1-3 viga aerea interior</t>
  </si>
  <si>
    <t>Eje B entre ejes 1-3 viga aerea interior</t>
  </si>
  <si>
    <t>Eje C entre ejes 1-3  viga aerea interior</t>
  </si>
  <si>
    <t>Eje 1 entre ejes A-B viga aerea interior</t>
  </si>
  <si>
    <t>Eje 1 entre ejes B-C viga aerea interior</t>
  </si>
  <si>
    <t>Eje 3 entre ejes A-B viga aerea interior</t>
  </si>
  <si>
    <t>Eje 3 entre ejes B-C viga aerea interior</t>
  </si>
  <si>
    <t>A4,3</t>
  </si>
  <si>
    <t>Ventana 1</t>
  </si>
  <si>
    <t>Ventana 2</t>
  </si>
  <si>
    <t>A5,5</t>
  </si>
  <si>
    <t>Placa aerea</t>
  </si>
  <si>
    <t>A7,8</t>
  </si>
  <si>
    <t>Relleno en recebo compactado mecánicamente.</t>
  </si>
  <si>
    <t>Viga de cimentación en concreto de 3000 PSI (0,30*0,30mts). Incluye acero de refuerzo de 60000 PSI (4Ø5/8" refuerzo y E=Ø3/8" c./d. 0,10 mts).</t>
  </si>
  <si>
    <t>Viga aérea en concreto de 3000 PSI. (0,30*0,30mts).  Incluye acero de refuerzo   fy= 60000 PSI. (4Ø5/8" refuerzo y E=Ø3/8" c./d. 0,10 mts).</t>
  </si>
  <si>
    <t>Columna en concreto de 3000 PSI (0.30x0.30mts).  Incluye acero de refuerzo de 60000 PSI (6Ø5/8",  refuerzo y E=Ø3/8" c./d. 0,10 mts Y 0,15 mts).</t>
  </si>
  <si>
    <t>Viga cinta en concreto 3000 PSI ( 0.10x0.20mts). Incluye acero (2Ø3/8" refuerzo y E=Ø1/4" c/d. 0,10mts).</t>
  </si>
  <si>
    <t>Caja de inspeccion de 60x60 cm, ladrillo.</t>
  </si>
  <si>
    <t>Suministro e instalación de tanque 500 litros, incluye griferia y accesorios.</t>
  </si>
  <si>
    <t>Alistado de piso en mortero e= 0,05m.</t>
  </si>
  <si>
    <t>Suministrar e instalar Piso en ceramica T-5.</t>
  </si>
  <si>
    <t>Suministrar y aplicar Esgrafiado en Graniplast.</t>
  </si>
  <si>
    <t>Cuneta A.LL. en concreto de 3.000 PSI Tipo U.</t>
  </si>
  <si>
    <t>SALARIO 2024</t>
  </si>
  <si>
    <t>SALARIO DIA PROMEDIO</t>
  </si>
  <si>
    <t>SUB TRANSPORTE</t>
  </si>
  <si>
    <t>FIC</t>
  </si>
  <si>
    <t>COSTO TOTAL</t>
  </si>
  <si>
    <t>PATRONO</t>
  </si>
  <si>
    <t>EMPLEADO</t>
  </si>
  <si>
    <t>PENSION</t>
  </si>
  <si>
    <t>SALUD</t>
  </si>
  <si>
    <t>RIESGOS</t>
  </si>
  <si>
    <t>VALOR HR</t>
  </si>
  <si>
    <t>MANO DE OBRA A (1 OF Y 1 AYUD)</t>
  </si>
  <si>
    <t xml:space="preserve">PRESTACIONES </t>
  </si>
  <si>
    <t xml:space="preserve">EQUIPOS </t>
  </si>
  <si>
    <t>CÓDIGO</t>
  </si>
  <si>
    <t>V/r. UNITARIO</t>
  </si>
  <si>
    <t>EQ001</t>
  </si>
  <si>
    <t>ANDAMIO TUBULAR. 1.5 X 1.5</t>
  </si>
  <si>
    <t>DÍA</t>
  </si>
  <si>
    <t>EQ002</t>
  </si>
  <si>
    <t>EQ003</t>
  </si>
  <si>
    <t>EQ004</t>
  </si>
  <si>
    <t>MEZCLADORA</t>
  </si>
  <si>
    <t>EQ005</t>
  </si>
  <si>
    <t>REGLA VIBRADORA</t>
  </si>
  <si>
    <t>TACO METAL ICO</t>
  </si>
  <si>
    <t>EQ008</t>
  </si>
  <si>
    <t>VIBROCOMPACTADOR (TIPO RANA)</t>
  </si>
  <si>
    <t>EQ009</t>
  </si>
  <si>
    <t>PULIDORA MANUAL</t>
  </si>
  <si>
    <t>EQUIPO ELÉCTRICO SOLDADURA</t>
  </si>
  <si>
    <t xml:space="preserve">VIBRADOR CONCRETO </t>
  </si>
  <si>
    <t xml:space="preserve">HIDROLAVADORA </t>
  </si>
  <si>
    <t xml:space="preserve">MATERIALES BÁSICOS </t>
  </si>
  <si>
    <t>MBA001</t>
  </si>
  <si>
    <t>MBA002</t>
  </si>
  <si>
    <t>CEMENTO BLANCO</t>
  </si>
  <si>
    <t>MBA003</t>
  </si>
  <si>
    <t>MBA004</t>
  </si>
  <si>
    <t>ARENA</t>
  </si>
  <si>
    <t>MBA005</t>
  </si>
  <si>
    <t>MBA006</t>
  </si>
  <si>
    <t>AGUA</t>
  </si>
  <si>
    <t>LT</t>
  </si>
  <si>
    <t>PIEDRA DE RIO</t>
  </si>
  <si>
    <t>LB</t>
  </si>
  <si>
    <t xml:space="preserve">A.P.U BÁSICOS </t>
  </si>
  <si>
    <t>APU001</t>
  </si>
  <si>
    <t>CONCRETO DE 3000 PSI</t>
  </si>
  <si>
    <t>APU002</t>
  </si>
  <si>
    <t>APU003</t>
  </si>
  <si>
    <t>APU004</t>
  </si>
  <si>
    <t>CONCRETO CICLOPEO</t>
  </si>
  <si>
    <t xml:space="preserve">MORTERO 1:4 </t>
  </si>
  <si>
    <t>GAL</t>
  </si>
  <si>
    <t xml:space="preserve">MATERIALES VARIOS </t>
  </si>
  <si>
    <t>MT001</t>
  </si>
  <si>
    <t>MT002</t>
  </si>
  <si>
    <t>MT003</t>
  </si>
  <si>
    <t>GL</t>
  </si>
  <si>
    <t>MT004</t>
  </si>
  <si>
    <t>MT005</t>
  </si>
  <si>
    <t>MT006</t>
  </si>
  <si>
    <t>MT007</t>
  </si>
  <si>
    <t>MT008</t>
  </si>
  <si>
    <t>HERRAMIENTA MENOR</t>
  </si>
  <si>
    <t>MT009</t>
  </si>
  <si>
    <t>MT010</t>
  </si>
  <si>
    <t>MT011</t>
  </si>
  <si>
    <t>MT012</t>
  </si>
  <si>
    <t>MT013</t>
  </si>
  <si>
    <t>MT014</t>
  </si>
  <si>
    <t>MT015</t>
  </si>
  <si>
    <t>MT016</t>
  </si>
  <si>
    <t>MT017</t>
  </si>
  <si>
    <t>MT018</t>
  </si>
  <si>
    <t>MT019</t>
  </si>
  <si>
    <t>MT020</t>
  </si>
  <si>
    <t>MT021</t>
  </si>
  <si>
    <t>MT022</t>
  </si>
  <si>
    <t>MT023</t>
  </si>
  <si>
    <t>MT024</t>
  </si>
  <si>
    <t>MT025</t>
  </si>
  <si>
    <t>MT026</t>
  </si>
  <si>
    <t>PEGAENCHAPE</t>
  </si>
  <si>
    <t>MT027</t>
  </si>
  <si>
    <t>MT028</t>
  </si>
  <si>
    <t>MT029</t>
  </si>
  <si>
    <t>MT030</t>
  </si>
  <si>
    <t>MT031</t>
  </si>
  <si>
    <t>MT032</t>
  </si>
  <si>
    <t>MT033</t>
  </si>
  <si>
    <t>GRANIPLAST</t>
  </si>
  <si>
    <t>MT034</t>
  </si>
  <si>
    <t>MT035</t>
  </si>
  <si>
    <t>MT036</t>
  </si>
  <si>
    <t>MT037</t>
  </si>
  <si>
    <t>MT038</t>
  </si>
  <si>
    <t>MT039</t>
  </si>
  <si>
    <t>MT040</t>
  </si>
  <si>
    <t>MT041</t>
  </si>
  <si>
    <t>MT042</t>
  </si>
  <si>
    <t>MT043</t>
  </si>
  <si>
    <t>MT044</t>
  </si>
  <si>
    <t>MT045</t>
  </si>
  <si>
    <t>MT046</t>
  </si>
  <si>
    <t>MT047</t>
  </si>
  <si>
    <t>MT048</t>
  </si>
  <si>
    <t>MT049</t>
  </si>
  <si>
    <t>MT050</t>
  </si>
  <si>
    <t>MT051</t>
  </si>
  <si>
    <t>MT052</t>
  </si>
  <si>
    <t>MT053</t>
  </si>
  <si>
    <t>MT054</t>
  </si>
  <si>
    <t>MT055</t>
  </si>
  <si>
    <t>MT056</t>
  </si>
  <si>
    <t>MT057</t>
  </si>
  <si>
    <t>MT058</t>
  </si>
  <si>
    <t>MT059</t>
  </si>
  <si>
    <t>MT060</t>
  </si>
  <si>
    <t>MT061</t>
  </si>
  <si>
    <t>MT062</t>
  </si>
  <si>
    <t>MT063</t>
  </si>
  <si>
    <t>MT064</t>
  </si>
  <si>
    <t xml:space="preserve">INSUMOS </t>
  </si>
  <si>
    <t>PUNTILLA 2"</t>
  </si>
  <si>
    <t>POLIN DE MADERA 5X5</t>
  </si>
  <si>
    <t>CAL</t>
  </si>
  <si>
    <t>NYLON No. 80</t>
  </si>
  <si>
    <t>MT065</t>
  </si>
  <si>
    <t>GRAVILLA</t>
  </si>
  <si>
    <t>CONCRETO DE 2.500 PSI (1:3:3)</t>
  </si>
  <si>
    <t>PIEDRA DE RIO MEDIA ZONGA</t>
  </si>
  <si>
    <t>MATERIAL CONCRETO DE 2500 PSI</t>
  </si>
  <si>
    <t>CEMENTO</t>
  </si>
  <si>
    <t>LTS</t>
  </si>
  <si>
    <t>OFICIAL (incl. Prestaciones)</t>
  </si>
  <si>
    <t>AYUIDANTE (Incl. Prestaciones)</t>
  </si>
  <si>
    <t>VALOR DIA</t>
  </si>
  <si>
    <t xml:space="preserve">CONCRETO CICLOPEO </t>
  </si>
  <si>
    <t>FORMALETA MADERA</t>
  </si>
  <si>
    <t>ALAMBRE NEGRO C.18</t>
  </si>
  <si>
    <t>5/8"</t>
  </si>
  <si>
    <t xml:space="preserve">ACERO DE REFUERZO FY = 4200 KG/CM2 </t>
  </si>
  <si>
    <t>APU005</t>
  </si>
  <si>
    <t>CONCRETO DE 2000 PSI</t>
  </si>
  <si>
    <t>MORTERO 1:4</t>
  </si>
  <si>
    <t>ANDAMIO TUBULAR 1.5 X 1.5</t>
  </si>
  <si>
    <t>HERRAMIENTA MENOR (5% M.O)</t>
  </si>
  <si>
    <t>ALAMBRE NEGRO C. 18</t>
  </si>
  <si>
    <t>1/2"</t>
  </si>
  <si>
    <t>DILATACION EN PVC O ALUMINIO</t>
  </si>
  <si>
    <t>MALLA ELECTROSOLDADA 15*15 6MM</t>
  </si>
  <si>
    <t>TABLERO 4 CIRCUITOS  CERTIFICADO</t>
  </si>
  <si>
    <t>BREAKERS 20 AMP 10 KA</t>
  </si>
  <si>
    <t>SELLANTE ACRILICO</t>
  </si>
  <si>
    <t>PEFIL EN ALUMINIO</t>
  </si>
  <si>
    <t>GRIFERIA LAVAMANOS CROMADO</t>
  </si>
  <si>
    <t>TUBO SANITARIO PVC 2"</t>
  </si>
  <si>
    <t>TUBO SANITARIO PVC 3"</t>
  </si>
  <si>
    <t xml:space="preserve">CODO 90 SANITARIO PVC 4" </t>
  </si>
  <si>
    <t>TABLERO MONOFASE 2 CIRCUITOS 120V</t>
  </si>
  <si>
    <t>MT066</t>
  </si>
  <si>
    <t>MT067</t>
  </si>
  <si>
    <t>MT068</t>
  </si>
  <si>
    <t>MT069</t>
  </si>
  <si>
    <t>MT070</t>
  </si>
  <si>
    <t>MT071</t>
  </si>
  <si>
    <t>MT072</t>
  </si>
  <si>
    <t>MT073</t>
  </si>
  <si>
    <t>MT074</t>
  </si>
  <si>
    <t>MT075</t>
  </si>
  <si>
    <t>MT076</t>
  </si>
  <si>
    <t>MT077</t>
  </si>
  <si>
    <t>MT078</t>
  </si>
  <si>
    <t>MT079</t>
  </si>
  <si>
    <t>MT080</t>
  </si>
  <si>
    <t>MT081</t>
  </si>
  <si>
    <t>MT082</t>
  </si>
  <si>
    <t>MT083</t>
  </si>
  <si>
    <t>MT084</t>
  </si>
  <si>
    <t>MT085</t>
  </si>
  <si>
    <t>MT086</t>
  </si>
  <si>
    <t>MT087</t>
  </si>
  <si>
    <t>MT088</t>
  </si>
  <si>
    <t>MT089</t>
  </si>
  <si>
    <t>MT090</t>
  </si>
  <si>
    <t>MT091</t>
  </si>
  <si>
    <t>MT092</t>
  </si>
  <si>
    <t>MT093</t>
  </si>
  <si>
    <t>MT094</t>
  </si>
  <si>
    <t>MT095</t>
  </si>
  <si>
    <t>MT096</t>
  </si>
  <si>
    <t>MT097</t>
  </si>
  <si>
    <t>MT098</t>
  </si>
  <si>
    <t>MT099</t>
  </si>
  <si>
    <t>MT100</t>
  </si>
  <si>
    <t>TUBO CONDUIT PVC 1/2"</t>
  </si>
  <si>
    <t>CINTA AISLANTE</t>
  </si>
  <si>
    <t>BORNE COBRE</t>
  </si>
  <si>
    <t>TAPA REGISTRO PALANCA 20X20 CM</t>
  </si>
  <si>
    <t>TEJA MASTER 1000 COLOR CAL. 30</t>
  </si>
  <si>
    <t xml:space="preserve">TORNILLO AUTOPERFORANTE </t>
  </si>
  <si>
    <t>ANTICORROSIVO</t>
  </si>
  <si>
    <t>LAMINA GALVANIZADA 2X1 CAL. 20</t>
  </si>
  <si>
    <t>ESTUCO</t>
  </si>
  <si>
    <t>PINTURA VINILO TIPO 1</t>
  </si>
  <si>
    <t>ALAMBRE DE COBRE# 10 THWN</t>
  </si>
  <si>
    <t>ALAMBRE DE COBRE# 14 THWN</t>
  </si>
  <si>
    <t>CURVA PVC DE 1/2"</t>
  </si>
  <si>
    <t>ALAMBRE DE COBRE# 12 THWN</t>
  </si>
  <si>
    <t>LAVAPLATO 60X40 SOKODA</t>
  </si>
  <si>
    <t>NIPLE DE 1/2"X 1/2" H.G</t>
  </si>
  <si>
    <t>SELLADOR ETERNA</t>
  </si>
  <si>
    <t>VIDRIO 4MM</t>
  </si>
  <si>
    <t>MT101</t>
  </si>
  <si>
    <t>MT102</t>
  </si>
  <si>
    <t>MT103</t>
  </si>
  <si>
    <t>MT104</t>
  </si>
  <si>
    <t>MT105</t>
  </si>
  <si>
    <t>MT106</t>
  </si>
  <si>
    <t>MT107</t>
  </si>
  <si>
    <t>MT108</t>
  </si>
  <si>
    <t>MT109</t>
  </si>
  <si>
    <t>MT110</t>
  </si>
  <si>
    <t>CRUCETA PLASTICA 2MM X1000</t>
  </si>
  <si>
    <t>REGISTRO DE PASO DIRECTO 1/2 (BOLA)</t>
  </si>
  <si>
    <t>BLOQUE HUECO No. 5 12X20X30</t>
  </si>
  <si>
    <t>CAJILLA EN CONCRETO 0.2x0.2</t>
  </si>
  <si>
    <t>SOLDADURA PVC 1/4 GLN</t>
  </si>
  <si>
    <t>LIMPIADOR PVC 1/4 GLM</t>
  </si>
  <si>
    <t>SIFÓN ST 3"</t>
  </si>
  <si>
    <t>CODO 90 SANITARIO PVC 2"</t>
  </si>
  <si>
    <t>CODO 90 SANITARIO PVC 3"</t>
  </si>
  <si>
    <t>TUBO SANITARIO PVC 4"</t>
  </si>
  <si>
    <t>UNION PVC 4"</t>
  </si>
  <si>
    <t>TANQUE PLASTICO X 500 L I</t>
  </si>
  <si>
    <t>ESMALTE</t>
  </si>
  <si>
    <t>LIMPIADOR PVC 1/4 GLN</t>
  </si>
  <si>
    <t>CERAMICA PISO TRAFICO 5</t>
  </si>
  <si>
    <t>CONCRETO 3000 PSI</t>
  </si>
  <si>
    <t>ANGULO 1"X1/8</t>
  </si>
  <si>
    <t>LIJA DE DE AGUA No. 180</t>
  </si>
  <si>
    <t>CONCRETO 2500 PSI</t>
  </si>
  <si>
    <t>VARILLA 1/2"</t>
  </si>
  <si>
    <t>CONSTRUCCION DE APARATO SANITARIO EN LA INSTITUCIÓN EDUCATIVA NUESTRA SEÑORA DEL SOCORRO SEDE ALTO SAN ISIDRO</t>
  </si>
  <si>
    <t>C1,1</t>
  </si>
  <si>
    <t>C1,2</t>
  </si>
  <si>
    <t>C2,1</t>
  </si>
  <si>
    <t>C2,2</t>
  </si>
  <si>
    <t>C3,1</t>
  </si>
  <si>
    <t>C3,2</t>
  </si>
  <si>
    <t>ADMINISTRACION</t>
  </si>
  <si>
    <t xml:space="preserve">IMPREVISTOS </t>
  </si>
  <si>
    <t>UTILIDAD</t>
  </si>
  <si>
    <t>TUBERÍA GALV. DE 2"</t>
  </si>
  <si>
    <t>ANGULO DE 3/4" X 1/8"</t>
  </si>
  <si>
    <t>BISAGRA ALETA 3"</t>
  </si>
  <si>
    <t>LIMPIADOR PVC  (1/4 GAL)</t>
  </si>
  <si>
    <t>LIMPIADOR PVC  (1/4 GL)</t>
  </si>
  <si>
    <t>TUBERIA PVC 4"</t>
  </si>
  <si>
    <t>BOQUILLA</t>
  </si>
  <si>
    <t>A14</t>
  </si>
  <si>
    <t>LIMPIEZA GENERAL</t>
  </si>
  <si>
    <t>A14,1</t>
  </si>
  <si>
    <t>Aseo final</t>
  </si>
  <si>
    <t>DETERGENTE NEUTRO</t>
  </si>
  <si>
    <t>B12</t>
  </si>
  <si>
    <t>B12,1</t>
  </si>
  <si>
    <t>CONCRETO DE 2.000 PSI (1:3:5)</t>
  </si>
  <si>
    <t>CONCRETO 3000 PSI (1:2:3,5)</t>
  </si>
  <si>
    <t xml:space="preserve">DIA </t>
  </si>
  <si>
    <t>Aseo final de obra.</t>
  </si>
  <si>
    <t>Lavamanos en concreto pulido.</t>
  </si>
  <si>
    <t>Suministro e instalacion de griferia lavamanos cromada.</t>
  </si>
  <si>
    <t>Suministro e instalacion de tablero monofase 2 circuitos.</t>
  </si>
  <si>
    <t>Suministrar y aplicar  Esgrafiado en Graniplast..</t>
  </si>
  <si>
    <t xml:space="preserve">ARENA FINA </t>
  </si>
  <si>
    <t xml:space="preserve">+EQ </t>
  </si>
  <si>
    <t>AGUAS Y ASEO</t>
  </si>
  <si>
    <t>COTIZACION PITAL - VOLQUETERO</t>
  </si>
  <si>
    <t>ARENA FINA</t>
  </si>
  <si>
    <t>MBA007</t>
  </si>
  <si>
    <t>Localización y Replanteo manual.</t>
  </si>
  <si>
    <t>Descapote manual  e=20cm incluye retiro.</t>
  </si>
  <si>
    <t>ANÁLISIS DE PRECIOS UNITARIOS - SUBPRODUCTOS</t>
  </si>
  <si>
    <t xml:space="preserve"> </t>
  </si>
  <si>
    <t xml:space="preserve">CIMIENTOS </t>
  </si>
  <si>
    <t>ENCHAPES</t>
  </si>
  <si>
    <t>CARPINTERIA</t>
  </si>
  <si>
    <t>B13</t>
  </si>
  <si>
    <t>B14</t>
  </si>
  <si>
    <t xml:space="preserve">INSTALACIONES HIDRAULICAS Y SANITARIAS </t>
  </si>
  <si>
    <t>COTIZACION DE MATERIALES</t>
  </si>
  <si>
    <t xml:space="preserve">FERRETERIA 
ARGENTINA </t>
  </si>
  <si>
    <t>FERREAGRO EL SOCORRO</t>
  </si>
  <si>
    <t>APU</t>
  </si>
  <si>
    <t>ADAPTADOR TERMINAL PVC 1/2"</t>
  </si>
  <si>
    <t xml:space="preserve">Excavacion manual. Incluye retiro del material. </t>
  </si>
  <si>
    <t>B6,3</t>
  </si>
  <si>
    <t>B6,4</t>
  </si>
  <si>
    <t>B7,3</t>
  </si>
  <si>
    <t>B7,4</t>
  </si>
  <si>
    <t>B7,5</t>
  </si>
  <si>
    <t>B7,6</t>
  </si>
  <si>
    <t>B7,7</t>
  </si>
  <si>
    <t>B7,8</t>
  </si>
  <si>
    <t>B7,9</t>
  </si>
  <si>
    <t>B7,11</t>
  </si>
  <si>
    <t>B10,2</t>
  </si>
  <si>
    <t>B10,3</t>
  </si>
  <si>
    <t>B10,4</t>
  </si>
  <si>
    <t>B13,1</t>
  </si>
  <si>
    <t>B14,1</t>
  </si>
  <si>
    <t>B10,5</t>
  </si>
  <si>
    <t>BRAKERS 15 AMP</t>
  </si>
  <si>
    <t>CINTA TEFLON</t>
  </si>
  <si>
    <t xml:space="preserve">CEMENTO BLANCO </t>
  </si>
  <si>
    <t>CHAZOS</t>
  </si>
  <si>
    <t>DISOLVENTE THINNER.</t>
  </si>
  <si>
    <t>MALLA ESLABONADA GALV. CAL. 10 - (5X5)</t>
  </si>
  <si>
    <t>EQ006</t>
  </si>
  <si>
    <t>EQ007</t>
  </si>
  <si>
    <t xml:space="preserve">KAREN TATIANA GUTIERREZ VILLAQUIRA </t>
  </si>
  <si>
    <t>APU006</t>
  </si>
  <si>
    <t>CONCRETO DE 1700 PSI</t>
  </si>
  <si>
    <t>CONCRETO DE 1.700 PSI (1:3:5)</t>
  </si>
  <si>
    <t>VARILLA CORRUGADA 5/8"</t>
  </si>
  <si>
    <t>VARILLA CORRUGADA 3/8"</t>
  </si>
  <si>
    <t>Concreto Ciclópeo (40% en piedra media zonga y 60% concreto 2500 PSI de 0,30*0,40 m).</t>
  </si>
  <si>
    <t>Cimentación tipo zapatas en concreto de 3000 P.S.I (0,70*0,70*0,30mts).</t>
  </si>
  <si>
    <t>Cimentación tipo zapatas en concreto de 3000 P.S.I (1,00*1,00*0,30mts).</t>
  </si>
  <si>
    <t>Cimentación tipo solado de limpieza concreto 1700 psi e=0,05 m.</t>
  </si>
  <si>
    <t>Construccion de Muro en Bloque de arcilla #5 (12x20x30cm) Incluye mortero de pega y bloque.</t>
  </si>
  <si>
    <t>Construccion de Mesón en concreto 3000 psi, a=0,60, e=0.10 enchapado, inc. Acero (1Ø1/2"c.015 ambos sentidos).</t>
  </si>
  <si>
    <t>Construccion de Alfajía en Concreto 3000 PSI, E= 0.15X0.25 MTS – Incluye: Acero de refuerzo de 60000 PSI (2Ø3/8" refuerzo y E=Ø1/4" c. 0,35 m).</t>
  </si>
  <si>
    <t>Suministro e instalación de Tablero monofásico 4 circuitos.</t>
  </si>
  <si>
    <t>Suministro e instalación de Salida toma corriente doble 110 v.</t>
  </si>
  <si>
    <t>Suministro e instalación de Salida Interruptor Sencillo 110 v.</t>
  </si>
  <si>
    <t xml:space="preserve">Suministro e instalación de Salida Interruptor Doble 110 v. </t>
  </si>
  <si>
    <t>Suministro e instalación de Puesta a tierra de tablero de distribicion, polo a tierra, varilla C. W. 2,40 ml.</t>
  </si>
  <si>
    <t>Suministro e instalación de Red electrica en tuberia pvc de 1/2", incluye 1 linea No 10 + 1 neutro No 10 + 1 Linea No 14  para toma corrientes.</t>
  </si>
  <si>
    <t>Suministro e instalación de Red electrica en tuberia pvc de 1/2", incluye  1 N° 12 + neutro N° 12 para luminarias.</t>
  </si>
  <si>
    <t>Suministro y aplicación de Pañete muros  1:4 Incluye Filos, carteras y Dilataciones.</t>
  </si>
  <si>
    <t>Suministro e instalación de Bajante ALL PVC 4". Incluye accesorios y mano de obra.</t>
  </si>
  <si>
    <t>Suministro e instalacion de Guardaescoba en cerámica   T-5.</t>
  </si>
  <si>
    <t>Suministro e instalación de Canal en lámina Galvanizada C. 20. Incluye refuerzos en angulo 1" x 1/8"+ pintura.</t>
  </si>
  <si>
    <t>Suministro y aplicación de Estuco y pintura vinilo tipo1 tres manos sobre muros.</t>
  </si>
  <si>
    <t xml:space="preserve">CONCRETO DE 1700 PSI </t>
  </si>
  <si>
    <t>Acero de refuerzo 600000 PSI, para zapata (incluye amarre y figurado).</t>
  </si>
  <si>
    <t xml:space="preserve">CERAMICA COCINA </t>
  </si>
  <si>
    <t>VARILLA CORRUGADA 1/4"</t>
  </si>
  <si>
    <t>Columna de confinamiento (0,20x0,15mts) en concreto de 3000 PSI. Incluye refuerzo  de 6000 PSI ( 4Ø 1/2" refuerzo y E=Ø 1/4" c./d. 0,10 mts).</t>
  </si>
  <si>
    <t>VARILLA CORRUGADA 1/2"</t>
  </si>
  <si>
    <t xml:space="preserve">CINTA AISLANTE </t>
  </si>
  <si>
    <t>SOLDADURA PVC [1/4 GAL)</t>
  </si>
  <si>
    <t>CAJA GALVANIZADA DE 2X4</t>
  </si>
  <si>
    <t>TOMA CORRIENTE DOBLE P-T</t>
  </si>
  <si>
    <t>CAJA PLASTICA 2X4 5800</t>
  </si>
  <si>
    <t>INTERRRUPTOR DOBLE</t>
  </si>
  <si>
    <t>INTERRRUPTOR SENCILLO</t>
  </si>
  <si>
    <t>Suministro e instalación de Salida lampara fluorescente electrónica 2 X 48 w, incluye lampara.</t>
  </si>
  <si>
    <t>Suministro e instalación de Cable concentrico monofasico.</t>
  </si>
  <si>
    <t>A6,9</t>
  </si>
  <si>
    <t xml:space="preserve">Cable concentrico </t>
  </si>
  <si>
    <t>CAJA OCTAGONAL PLASTICA</t>
  </si>
  <si>
    <t>LAMPARA SLIM LINE 2X48</t>
  </si>
  <si>
    <t>SOLDADURA PVC [1/4 GAL )</t>
  </si>
  <si>
    <t>VARILLA C.W POLO A TIERRA DE 1/2" 2,4 ml</t>
  </si>
  <si>
    <t>CABLE CONCENTRICO MONOFASICO</t>
  </si>
  <si>
    <t>Suministro e instalacion de Punto de desague en pvc 2", incluye tuberia.</t>
  </si>
  <si>
    <t>Suministro e instalacion de Punto de desague en pvc 3", incluye tuberia.</t>
  </si>
  <si>
    <t>Suministro e instalacion de Punto de desague en pvc 4", incluye tuberia.</t>
  </si>
  <si>
    <t>Suministro e instalacion de Registro de paso  directo  ½" (bola).</t>
  </si>
  <si>
    <t>Suministro e instalacion de Punto agua fria de ½" PVC, incluye tuberia.</t>
  </si>
  <si>
    <t>Suministro e instalacion de Acometida general de ½".</t>
  </si>
  <si>
    <t>Suministro e instalacion de salida llave terminal de  ½".</t>
  </si>
  <si>
    <t>punto 3"</t>
  </si>
  <si>
    <t>punto 2"</t>
  </si>
  <si>
    <t>LADRILLO TOLETE COMUN</t>
  </si>
  <si>
    <t>SOLDADURA PVC - 1/4 GLN</t>
  </si>
  <si>
    <t>LIMPIADOR PVC - 1/4 GAL</t>
  </si>
  <si>
    <t>TUBO PRESION PVC 1/2"</t>
  </si>
  <si>
    <t>NIPLE GALVANIZADO DE 1/2"X6"</t>
  </si>
  <si>
    <t>CODO PRESIÓN PVC 1/2"</t>
  </si>
  <si>
    <t>UNIVERSAL AG 1/2"</t>
  </si>
  <si>
    <t>TEE PVC 1/2" PRESION</t>
  </si>
  <si>
    <t>CODO PRESION  PVC 1/2"</t>
  </si>
  <si>
    <t>ADAPTADOR MACHO PVC 1/2"</t>
  </si>
  <si>
    <t xml:space="preserve">CINTA TEFLON </t>
  </si>
  <si>
    <t>LLAVE DE 1/2" CROMADA</t>
  </si>
  <si>
    <t>UNIVERSAL 1/2" HG</t>
  </si>
  <si>
    <t>TEE PVC 1/2"</t>
  </si>
  <si>
    <t xml:space="preserve">PERFIL METALICO 3"x1-1/2" CAL. 18 </t>
  </si>
  <si>
    <t xml:space="preserve">SOLDADURA METAL 6011 X 1/8" </t>
  </si>
  <si>
    <t>DISOLVENTE THINNER</t>
  </si>
  <si>
    <t xml:space="preserve">Suministro e instalación ventana en lamina C.20 con vidrio 4mm Inc. anticorrosivo + pintura y todo lo necesario para su correcto funcionamiento. </t>
  </si>
  <si>
    <t>TUBO CUADRADO DE 1" CAL. 20</t>
  </si>
  <si>
    <t xml:space="preserve">SOLDADURA METAL 6013 X 3/32 </t>
  </si>
  <si>
    <t>Suministro e instalación de Marco y puerta metálicos lamina C. R. cal. 20, de 1,00x2.00 m. Incluye anticorrosivo y pintura.</t>
  </si>
  <si>
    <t>LAMINA GALVANIZADA 2X1 - CAL 20</t>
  </si>
  <si>
    <t>GÑT</t>
  </si>
  <si>
    <t xml:space="preserve">CEMENTO GRIS </t>
  </si>
  <si>
    <t>Viga de cimentacion en concreto de 3000 PSI (0,12 x 0,20 mts).Incluye acero de refuerzo de 60000 PSI. (4Ø3/8" refuerzo y E=Ø1/4" c/d. 0,10 m).</t>
  </si>
  <si>
    <t>Viga aerea en concreto de 3000 PSI (0,12 x 0,20 mts).Incluye acero de refuerzo de 60000 PSI. (4Ø3/8" refuerzo y E=Ø1/4" c/d. 0,10 m).</t>
  </si>
  <si>
    <t>Columnas concreto de 3000 PSI (0,12 x 0,20 mts).Incluye acero de refuerzo de 60000 PSI. (4Ø3/8" refuerzo y E=Ø1/4" c/d. 0,10 m).</t>
  </si>
  <si>
    <t>Suministro e instalación de Salida lampara incandesente, incluye bombillo.</t>
  </si>
  <si>
    <t>B6,5</t>
  </si>
  <si>
    <t>Cable concentrico</t>
  </si>
  <si>
    <t>TUBO CONDUIT PVC 1/2" RDE</t>
  </si>
  <si>
    <t>ADAPTADOR TERMINAL PVC 1/2" CONDUIT</t>
  </si>
  <si>
    <t>PLAFON</t>
  </si>
  <si>
    <t>Suministro e instalación  de sanitario color blanco.</t>
  </si>
  <si>
    <t>SANITARIO AHORRADOR COLOR</t>
  </si>
  <si>
    <t>Suministro e instalación de Orinal color blanco.</t>
  </si>
  <si>
    <t xml:space="preserve">ORINAL COLOR BLANCO </t>
  </si>
  <si>
    <t>NIPLE 1/2" X 1/2" H.G.</t>
  </si>
  <si>
    <t>Suministro e instalacion de Enchape de pares 0,20 x 0,25.</t>
  </si>
  <si>
    <t xml:space="preserve">CERAMICA PARED DE 20X25 </t>
  </si>
  <si>
    <t xml:space="preserve">ESPEJO DE 4MM </t>
  </si>
  <si>
    <t>Suministro e instalacion de Espejo flotado 4mm.</t>
  </si>
  <si>
    <t>Suministro e instalacion divisiones para sanitario en lamina galvanizada cal. 18.</t>
  </si>
  <si>
    <t>Suministro e instalación de Marco y Puerta en lamina Galvanizada C.18 de 0,70 x 1,60m. Incluye anticorrosivo y pintura.</t>
  </si>
  <si>
    <t>BISAGRA 3"</t>
  </si>
  <si>
    <t xml:space="preserve">LAMINA GALVANIZADA  2X1 - CAL. 18 </t>
  </si>
  <si>
    <t>PERFIL RECTANGULAR 1 X1 1/2 - C.18</t>
  </si>
  <si>
    <t xml:space="preserve">PASADOR </t>
  </si>
  <si>
    <t xml:space="preserve">DISOLVENTE THINNER </t>
  </si>
  <si>
    <t>Suministro e instalación de Correa en perfil metálico de 3"X1 1/2", cal.18. Incluye pintura.</t>
  </si>
  <si>
    <t xml:space="preserve">CABALLETE (2 X 0,70 ) </t>
  </si>
  <si>
    <t>ANGULO 1-1/2 X 3/16"</t>
  </si>
  <si>
    <t>ANGULO 1-1/4 X 1/8"</t>
  </si>
  <si>
    <t>Registro de paso 1/2"</t>
  </si>
  <si>
    <t>Acometida general 1/2"</t>
  </si>
  <si>
    <t>Llave terminal  1/2"</t>
  </si>
  <si>
    <t>Tanque 500 lts</t>
  </si>
  <si>
    <t xml:space="preserve">Griferia lavamanos </t>
  </si>
  <si>
    <t>Viga de cimentacion Eje A  Y C entre Ejes  1-4</t>
  </si>
  <si>
    <t>Viga de cimentacion Eje B entre Ejes 2-3</t>
  </si>
  <si>
    <t>Viga de cimentacion Eje 2 y 3 entre Ejes C A-C</t>
  </si>
  <si>
    <t>Muro Eje A y C entre Ejes 1-2 y 3-4</t>
  </si>
  <si>
    <t>Muro Eje B entre Ejes 2-3</t>
  </si>
  <si>
    <t>Muro Eje 2 y 3 Entre Ejes A-C</t>
  </si>
  <si>
    <t xml:space="preserve">Muro lavatraperos frontal </t>
  </si>
  <si>
    <t xml:space="preserve">Muro lavatraperos lateral </t>
  </si>
  <si>
    <t>Enchape de Muro exteriores</t>
  </si>
  <si>
    <t xml:space="preserve">Enchape de Muro internos </t>
  </si>
  <si>
    <t xml:space="preserve">Enchape de Muro lavatraperos </t>
  </si>
  <si>
    <t>CHAPA S/PONER</t>
  </si>
  <si>
    <t xml:space="preserve">FERRIOBRAS 
</t>
  </si>
  <si>
    <t xml:space="preserve">FERRIOBRAS </t>
  </si>
  <si>
    <t>____________________________________</t>
  </si>
  <si>
    <t>_______________________________</t>
  </si>
  <si>
    <t>ANGULO 2 X 1/8"</t>
  </si>
  <si>
    <t>BREAKER 15-40AMP.</t>
  </si>
  <si>
    <t xml:space="preserve">Tuberia Desague Pvc 4" </t>
  </si>
  <si>
    <t>SIFÓN ST 2"</t>
  </si>
  <si>
    <t>YEE SANITARIA DE 2"</t>
  </si>
  <si>
    <t>YEE SANITARIA DE 4"</t>
  </si>
  <si>
    <t>YEE SANITARIA DE 4X2</t>
  </si>
  <si>
    <t>MT111</t>
  </si>
  <si>
    <t>MT112</t>
  </si>
  <si>
    <t>LAMINA GALVANIZADA  2X1 CAL 20</t>
  </si>
  <si>
    <t>LADRILLO PRENSADO 6X24,5X12 CM</t>
  </si>
  <si>
    <t>MT113</t>
  </si>
  <si>
    <t>OTROS</t>
  </si>
  <si>
    <t>TANQUE PLASTICO X 500 L I INCLUYE ACCESORIOS</t>
  </si>
  <si>
    <t>SEMANA 8</t>
  </si>
  <si>
    <t>MES 1</t>
  </si>
  <si>
    <t>SEMANA 9</t>
  </si>
  <si>
    <t>SEMANA 10</t>
  </si>
  <si>
    <t>SEMANA 11</t>
  </si>
  <si>
    <t>SEMANA 12</t>
  </si>
  <si>
    <t>MES 3</t>
  </si>
  <si>
    <t>C</t>
  </si>
  <si>
    <t>Cimentación tipo zapatas en concreto de 3000 P.S.I (1,00*1,00*0,40 m).</t>
  </si>
  <si>
    <t>Viga de cimentacion en concreto de 3000 P.S.I.(0,30*0,30m), incluye acero de refuerzo de 60000 P.S.I (4Ø5/8" refuerzo y E=Ø3/8" c/d. 0,10 m).</t>
  </si>
  <si>
    <t>Acero de refuerzo de 60000 PSI,  para zapatas y nudos en arranque de coumnas (incluye refuezo figurado y armado).</t>
  </si>
  <si>
    <t>Viga aerea en concreto de 3000 P.S.I  (0,30*0,30m),  incluye acero de refuerzo de 60000 P.S.I (4Ø5/8" refuerzo y E=Ø3/8" c/d. 0,10 m).</t>
  </si>
  <si>
    <t>Columna en concreto de 3000 PSI (0.30x0.30m),  incluye acero de refuerzo de 60000 P.S.I (4Ø5/8" refuerzo y E=Ø3/8" c/d. 0,10 m).</t>
  </si>
  <si>
    <t>Columna en concreto de 3000 PSI (0.30x0.30 m),  incluye acero de refuerzo de 60000 P.S.I (4Ø5/8" y 2Ø1/2" refuerzo y E=Ø3/8" c/d. 0,10 m).</t>
  </si>
  <si>
    <t>Viga culata 0.20x0.10 m, incl. Acero (2- 3/8, E-1/4" c/d. 0,10 m).</t>
  </si>
  <si>
    <t>Columneta 0,20x0,20 m, en concreto de 3000 psi,  incluye acero de refuerzo de 60000 P.S.I (4Ø1/2" y 2Ø3/8" refuerzo y E=Ø3/8" c/d. 0,10 m).</t>
  </si>
  <si>
    <t>Suministro e instalación de Salida tomacorriente doble 110 v.</t>
  </si>
  <si>
    <t>Suministro e instalación de Salida interruptor doble 110 v.</t>
  </si>
  <si>
    <t>Suministro e instalación de Caballete termoacustic, incluye tornillos autoperforantes.</t>
  </si>
  <si>
    <t xml:space="preserve">Suministro e instalación de Cercha Metalica 2&gt;2"x1/8" superior y 2&gt;1 1/2x3/16 inferior, celosia en &lt;1 1/4X1/8" y varilla 1/2". </t>
  </si>
  <si>
    <t>Suministro e instalación de Correa en perfil metálico de 3"X1 1/2", cal.18.</t>
  </si>
  <si>
    <t>PISOS Y ENCHAPE</t>
  </si>
  <si>
    <t xml:space="preserve">Suministro e instalación ventana en tubo cuadrado de 1" cal. 20, incluye anticorrosivo + pintura y todo lo necesario para su correcto funcionamiento. </t>
  </si>
  <si>
    <t>Suministro e instalación de Luceta en lamina C. R. cal. 20 y tubo cuadrado de 1" cal. 20. Incluye anticorrosivo y pintura.</t>
  </si>
  <si>
    <t>PINTURA GENERAL</t>
  </si>
  <si>
    <t>Suministro y aplicación de Esgrafiado en Graniplast.</t>
  </si>
  <si>
    <t>ESTERIORES</t>
  </si>
  <si>
    <t>Sardinel en concreto 2500 psi, (0,35*0,15m).</t>
  </si>
  <si>
    <t>Placa de piso para exteriores en concreto 2500 P.S.I., barrido y dilatado e=0.10 m.</t>
  </si>
  <si>
    <t>Cuneta a.ll. en concreto de 3.000 PSI, Tipo V, a=0.50 m.</t>
  </si>
  <si>
    <t xml:space="preserve">CONSTRUCCION DE 2 AULAS EDUCATIVAS EN LA INSTITUCIÓN EDUCATIVA EL CAUCHAL SEDE PRINCIPAL </t>
  </si>
  <si>
    <t xml:space="preserve">Zapatas 1 ( 1,0 x 1,0 x 0.40) </t>
  </si>
  <si>
    <t>Anden 1</t>
  </si>
  <si>
    <t>cimentación perimetrales</t>
  </si>
  <si>
    <t xml:space="preserve">Zapatas 1 ( 1 x 1 x 0.40) </t>
  </si>
  <si>
    <t>VC Eje A Entre Eje 1 y 3</t>
  </si>
  <si>
    <t>Zapata</t>
  </si>
  <si>
    <t xml:space="preserve">Nudo arranque </t>
  </si>
  <si>
    <t>Flejes arranque</t>
  </si>
  <si>
    <t>Zapatas</t>
  </si>
  <si>
    <t>Lateral izquierda</t>
  </si>
  <si>
    <t>Lateral derecha</t>
  </si>
  <si>
    <t>lampara fluorescente</t>
  </si>
  <si>
    <t>tomacorriente doble</t>
  </si>
  <si>
    <t>interruptor doble</t>
  </si>
  <si>
    <t>acometida</t>
  </si>
  <si>
    <t>Puesta a tierra</t>
  </si>
  <si>
    <t>Tablero 2 circuitos</t>
  </si>
  <si>
    <t xml:space="preserve">cable concentrico monofasico </t>
  </si>
  <si>
    <t xml:space="preserve">viga aerea </t>
  </si>
  <si>
    <t>Columnas A</t>
  </si>
  <si>
    <t>Columnas b</t>
  </si>
  <si>
    <t xml:space="preserve">viga cinta </t>
  </si>
  <si>
    <t>Columneta</t>
  </si>
  <si>
    <t>Caballete</t>
  </si>
  <si>
    <t>Cercha metalica</t>
  </si>
  <si>
    <t>correa metalica</t>
  </si>
  <si>
    <t>Luceta metalica</t>
  </si>
  <si>
    <t>Puerta de 1 x 2 m</t>
  </si>
  <si>
    <t xml:space="preserve">sardinel </t>
  </si>
  <si>
    <t>placa exterior 1</t>
  </si>
  <si>
    <t>placa exterior 2</t>
  </si>
  <si>
    <t>cuneta</t>
  </si>
  <si>
    <t>C1</t>
  </si>
  <si>
    <t>C2</t>
  </si>
  <si>
    <t>C3</t>
  </si>
  <si>
    <t>C3,3</t>
  </si>
  <si>
    <t>C3,4</t>
  </si>
  <si>
    <t>C3,5</t>
  </si>
  <si>
    <t>C4</t>
  </si>
  <si>
    <t>C4,1</t>
  </si>
  <si>
    <t>C4,2</t>
  </si>
  <si>
    <t>C4,3</t>
  </si>
  <si>
    <t>C4,4</t>
  </si>
  <si>
    <t>C4,5</t>
  </si>
  <si>
    <t>C5</t>
  </si>
  <si>
    <t>C5,1</t>
  </si>
  <si>
    <t>C5,2</t>
  </si>
  <si>
    <t>C6</t>
  </si>
  <si>
    <t>C6,1</t>
  </si>
  <si>
    <t>C6,2</t>
  </si>
  <si>
    <t>C6,3</t>
  </si>
  <si>
    <t>C6,4</t>
  </si>
  <si>
    <t>C6,5</t>
  </si>
  <si>
    <t>C6,6</t>
  </si>
  <si>
    <t>C6,7</t>
  </si>
  <si>
    <t>C6,8</t>
  </si>
  <si>
    <t>C7</t>
  </si>
  <si>
    <t>C7,1</t>
  </si>
  <si>
    <t>C8,4</t>
  </si>
  <si>
    <t>C9</t>
  </si>
  <si>
    <t>C9,1</t>
  </si>
  <si>
    <t>C9,2</t>
  </si>
  <si>
    <t>C9,3</t>
  </si>
  <si>
    <t>C9,4</t>
  </si>
  <si>
    <t>C10</t>
  </si>
  <si>
    <t>C10,1</t>
  </si>
  <si>
    <t>C10,2</t>
  </si>
  <si>
    <t>C10,3</t>
  </si>
  <si>
    <t>C11</t>
  </si>
  <si>
    <t>C11,1</t>
  </si>
  <si>
    <t>C11,2</t>
  </si>
  <si>
    <t>C12</t>
  </si>
  <si>
    <t>C12,1</t>
  </si>
  <si>
    <t>C12,2</t>
  </si>
  <si>
    <t>C12,3</t>
  </si>
  <si>
    <t>C13</t>
  </si>
  <si>
    <t>C13,1</t>
  </si>
  <si>
    <t>DEMOLICIONES Y DESMONTE DE ELEMENTOS</t>
  </si>
  <si>
    <t xml:space="preserve">Desmonte de cubiertas (asbesto cemento) </t>
  </si>
  <si>
    <t xml:space="preserve">CUBIERTA Y  ESTRUCTURA DE CUBIERTA </t>
  </si>
  <si>
    <t xml:space="preserve">Suministro e instalación de cubierta en teja master 1000 Arquitectónica color, CAL 28. Incluye tornillos autoperforantes. </t>
  </si>
  <si>
    <t>Suministro e instalación de Caballete en teja Master 1000.  Incluye tornillos autoperforantes.</t>
  </si>
  <si>
    <t>Suministro y aplicación de pintura de Correa en perfil metálica .04x.08 mts Cal. 18. Existente (Incluye lijada de perfil)</t>
  </si>
  <si>
    <t>Suministro y aplicación de pintura de cerchal metálica existente. (Incluye lijada)</t>
  </si>
  <si>
    <t>Suministro y aplicación de pintura vinilo tipo1 tres manos sobre muros.</t>
  </si>
  <si>
    <t>Suministro y Aplicación de Esmalte sobre lámina llena.</t>
  </si>
  <si>
    <t>Suministro y Aplicación de Esmalte para marcos de puertas y Ventanas.</t>
  </si>
  <si>
    <t>Suministro y Aplicación de Esmalte para rejas.</t>
  </si>
  <si>
    <t>Suministro y aplicación de Pañete muros  1:4 Incluye Filos, carteras y Dilataciones. (Incluye Estuco)</t>
  </si>
  <si>
    <t>D</t>
  </si>
  <si>
    <t>CAMBIO DE CUBIERTA Y PINTURAEN LA  INSTITUCIÓN EDUCATIVA NUESTRA SEÑORA DEL CARMEN SEDE ALTO LIBANO</t>
  </si>
  <si>
    <t>D1</t>
  </si>
  <si>
    <t>D1,1</t>
  </si>
  <si>
    <t>D2</t>
  </si>
  <si>
    <t>D2,1</t>
  </si>
  <si>
    <t>D2,2</t>
  </si>
  <si>
    <t>D3</t>
  </si>
  <si>
    <t>D3,1</t>
  </si>
  <si>
    <t>D3,2</t>
  </si>
  <si>
    <t>D3,3</t>
  </si>
  <si>
    <t>D3,4</t>
  </si>
  <si>
    <t>D3,5</t>
  </si>
  <si>
    <t>D3,6</t>
  </si>
  <si>
    <t>D4</t>
  </si>
  <si>
    <t>D4,1</t>
  </si>
  <si>
    <t>Cubierta existente aula</t>
  </si>
  <si>
    <t>Cubierta existente comedor</t>
  </si>
  <si>
    <t>Cubierta existente comedor - baño</t>
  </si>
  <si>
    <t>Suministro e instalacion de cubierta en teja master 1000 aula</t>
  </si>
  <si>
    <t>Suministro e instalacion de cubierta en teja master 1000 comedor</t>
  </si>
  <si>
    <t>Suministro e instalacion de cubierta en teja master 1000 comedor baño</t>
  </si>
  <si>
    <t>Caballete en taja master 1000 aula</t>
  </si>
  <si>
    <t xml:space="preserve">Caballete en taja master 1000 comedor </t>
  </si>
  <si>
    <t>Correa metalica aula</t>
  </si>
  <si>
    <t>Correa metalica comedor</t>
  </si>
  <si>
    <t>Correa metalica comedor - baño</t>
  </si>
  <si>
    <t>Cercha metalica aula</t>
  </si>
  <si>
    <t>Cercha metalica comedor</t>
  </si>
  <si>
    <t>Muro ejes 1 entre A-C; ejes 2 entre A-C y ejes 3 entre A-C aula</t>
  </si>
  <si>
    <t>Muro ejes A entre 1-5 aula</t>
  </si>
  <si>
    <t xml:space="preserve">Muro ejes C entre 1-5 aula </t>
  </si>
  <si>
    <t>Muro ejes A Y B entre 1-3 baño</t>
  </si>
  <si>
    <t>Muro division baño</t>
  </si>
  <si>
    <t xml:space="preserve">Muro ejes 1 y 2 entre A-D Comedor </t>
  </si>
  <si>
    <t xml:space="preserve">Muro ejes 4 y 5 entre A-D Comedor </t>
  </si>
  <si>
    <t>muro baño cocina</t>
  </si>
  <si>
    <t>Muro Eje B y D entre 1-5 cocina</t>
  </si>
  <si>
    <t>muro cocina</t>
  </si>
  <si>
    <t xml:space="preserve">aula </t>
  </si>
  <si>
    <t>baños</t>
  </si>
  <si>
    <t>cocina</t>
  </si>
  <si>
    <t>Pañete</t>
  </si>
  <si>
    <t>C8</t>
  </si>
  <si>
    <t>C8,1</t>
  </si>
  <si>
    <t>C8,2</t>
  </si>
  <si>
    <t>C8,3</t>
  </si>
  <si>
    <t>ANÁLISIS DE PRECIOS UNITARIOS - SUBPRODUCTOS -  VIGENCIA 2026</t>
  </si>
  <si>
    <t>INSUMOS - VIGENCIA 2026</t>
  </si>
  <si>
    <t xml:space="preserve">COMPRESOR </t>
  </si>
  <si>
    <t>EQ010</t>
  </si>
  <si>
    <t>Mortero 1:3</t>
  </si>
  <si>
    <t>MUNICIPIO</t>
  </si>
  <si>
    <t>APU007</t>
  </si>
  <si>
    <t>MORTERO 1:3</t>
  </si>
  <si>
    <t>Construccion de Placa aerea en concreto armado de 3000 psi e = 10 cm.</t>
  </si>
  <si>
    <t>Suministro e instalación de lavaplatos 60X40 .</t>
  </si>
  <si>
    <t>TEJA MASTER 1000 COLOR CAL. 28 ARQUITECTONICA</t>
  </si>
  <si>
    <t>TORNILLO AUTOPERFORANTE 2" 1/2"</t>
  </si>
  <si>
    <t>UN</t>
  </si>
  <si>
    <t>Construccion de Placa en concreto de 3000 PSI e=0,10 m.</t>
  </si>
  <si>
    <t>Suministro e instalacion de Piso en ceramica t-5</t>
  </si>
  <si>
    <t>EQUIPO ELECTRICO DE SOLDADURA</t>
  </si>
  <si>
    <t>PULIDORA</t>
  </si>
  <si>
    <t>ANGULO 2 X  1/8"</t>
  </si>
  <si>
    <t>ANGULO 1 1/4 X 3/16</t>
  </si>
  <si>
    <t>ANGULO 1 1/4 X 1/8</t>
  </si>
  <si>
    <t>LAMINA GALVANIZADA  2X1 CAL 18</t>
  </si>
  <si>
    <t>LAMINA GALVANIZADA 2X1 CAL 20,</t>
  </si>
  <si>
    <t>CHAPA DE SEGURIDAD</t>
  </si>
  <si>
    <t>COMPRESOR PARA PINTURA CON ACCESORIOS</t>
  </si>
  <si>
    <t xml:space="preserve">DISOLVENTE </t>
  </si>
  <si>
    <t xml:space="preserve">LIJA </t>
  </si>
  <si>
    <t>PINTURA VINILO TIPO 1 - 3 MANOS</t>
  </si>
  <si>
    <t>gal-m2</t>
  </si>
  <si>
    <t xml:space="preserve">KAREN TATIANA GUTIERREZ V. </t>
  </si>
  <si>
    <t xml:space="preserve">                                                                                                                                                                                                           </t>
  </si>
  <si>
    <t xml:space="preserve">PMA </t>
  </si>
  <si>
    <t xml:space="preserve">INTERVENTORIA </t>
  </si>
  <si>
    <t>VALOR TOTAL COSTOS DIRECTOS</t>
  </si>
  <si>
    <t>VALOR TOTAL COSTOS INDIRECTOS</t>
  </si>
  <si>
    <t>VALOR BASICO DE OBRA</t>
  </si>
  <si>
    <t>VALOR TOTAL DE OBRA</t>
  </si>
  <si>
    <t>VALOR TOTAL DEL PROYECTO</t>
  </si>
  <si>
    <t>TEJA MASTER 1000 COLOR CAL. 28</t>
  </si>
  <si>
    <t>MT114</t>
  </si>
  <si>
    <t xml:space="preserve">FERREAGRADO </t>
  </si>
  <si>
    <t>588.23</t>
  </si>
  <si>
    <t>CONSTRUCCIÓN DE COMEDOR - COCINA EN LA INSTITUCIÓN EDUCATIVA PROMOCION SOCIAL SEDE CHIMBAYACO</t>
  </si>
  <si>
    <t xml:space="preserve">CONSTRUCCION DE APARATO SANITARIO EN LA INSTITUCIÓN EDUCATIVA NUESTRA SEÑORA DEL SOCORRO SEDE INDEPENDENCIA </t>
  </si>
  <si>
    <t>Demolición mecánica de concreto ciclópeo</t>
  </si>
  <si>
    <t>PRELIMINARES Y DEMOLICIONES - DESMONTE DE ELEMENTOS</t>
  </si>
  <si>
    <t>COMPRESOR HIDRAULICO 1 MARTILLO</t>
  </si>
  <si>
    <t>EQ011</t>
  </si>
  <si>
    <t>Muro eje C entre ejes 1 y 3</t>
  </si>
  <si>
    <t>Culata posterior eje C entre eje 1 y 2</t>
  </si>
  <si>
    <t>Culata posterior eje C entre eje 2 y 3</t>
  </si>
  <si>
    <t>Culata intermedia  eje B¨ eje 1 y 3</t>
  </si>
  <si>
    <t>Muro meson eje B' entre ejes 2 y 3</t>
  </si>
  <si>
    <t>VGA Eje 1 Entre Eje A y B</t>
  </si>
  <si>
    <t>VGA Eje 1 Entre Eje B y C</t>
  </si>
  <si>
    <t>VGA Eje 3 Entre Eje B y C</t>
  </si>
  <si>
    <t>Fachadas posterior  Eje C entre eje 1 y 3</t>
  </si>
  <si>
    <t>Culata lateral  eje 1 - 2  eje A y C</t>
  </si>
  <si>
    <t>Fachada LATERAL Eje 1- 3 entre eje A-C</t>
  </si>
  <si>
    <t>Muro eje 1 entre ejes A y C</t>
  </si>
  <si>
    <t>Muro eje 3 entre ejes A y C</t>
  </si>
  <si>
    <t>Culata posterior eje C entre eje 1 y 3</t>
  </si>
  <si>
    <t>A9,4</t>
  </si>
  <si>
    <t>Suministro e instalación de Cercha Metálica tubo rectangular .04x.08 mts. 18 superior y tubo rectangular .04x.10 mts cal. 18 inferior, celosía en Tubo rectangular .04x.08 cal. 18".  Incluye pintura.</t>
  </si>
  <si>
    <t>TUBO RECTANGULAR 4*10 CM CAL 18,</t>
  </si>
  <si>
    <t>TUBO RECTANGULAR 4*8 CM CAL 18,</t>
  </si>
  <si>
    <t>SOLDADURA 6011 X 1/8" METAL</t>
  </si>
  <si>
    <t xml:space="preserve">Cercha </t>
  </si>
  <si>
    <t>Reja 2</t>
  </si>
  <si>
    <t>A11,4</t>
  </si>
  <si>
    <t>Suministro e instalación de Marco y puerta metálicos lamina C. R. cal. 20, de 0,90x2.00 m. Incluye anticorrosivo y pintura.</t>
  </si>
  <si>
    <t>Columnas</t>
  </si>
  <si>
    <t>Vigas aereas fachada - lateral - posterior</t>
  </si>
  <si>
    <t xml:space="preserve">placa </t>
  </si>
  <si>
    <t>MT115</t>
  </si>
  <si>
    <t>PERFIL RECTANGULAR 4 X1 1/2 - C.18</t>
  </si>
  <si>
    <t>HOMECENTER</t>
  </si>
  <si>
    <t>TUBO CUADRADO DE 10X10" CAL. 18</t>
  </si>
  <si>
    <t>VC Eje 1 Entre Eje A y E</t>
  </si>
  <si>
    <t>VC Eje 3 Entre Eje A y E</t>
  </si>
  <si>
    <t>VC Eje E Entre Eje 1 y 3</t>
  </si>
  <si>
    <t>Columnas eje 1 ENTRE EJE A y E</t>
  </si>
  <si>
    <t>Columnas eje 2 ENTRE EJE A y E</t>
  </si>
  <si>
    <t>Columnas eje 3 ENTRE EJE A y E</t>
  </si>
  <si>
    <t>fachada principal  SALON 1</t>
  </si>
  <si>
    <t>fachada principal  SALON 2</t>
  </si>
  <si>
    <t>Placa piso SALON 1</t>
  </si>
  <si>
    <t>Placa piso SALON 2</t>
  </si>
  <si>
    <t>Alisado mortero SALON 1</t>
  </si>
  <si>
    <t>Alisado mortero SALON 2</t>
  </si>
  <si>
    <t>salon 1</t>
  </si>
  <si>
    <t>salon 2</t>
  </si>
  <si>
    <t>Guardaescoba SALON 1</t>
  </si>
  <si>
    <t>Guardaescoba SALON 2</t>
  </si>
  <si>
    <t>ventana 1 FACHADA</t>
  </si>
  <si>
    <t>ventana 2 FACHADA</t>
  </si>
  <si>
    <t>ventana 3 LATERALES</t>
  </si>
  <si>
    <t>C8,5</t>
  </si>
  <si>
    <t xml:space="preserve">bajante </t>
  </si>
  <si>
    <t>C10,4</t>
  </si>
  <si>
    <t>CANAL</t>
  </si>
  <si>
    <t xml:space="preserve">Intrermedia </t>
  </si>
  <si>
    <t>Columnas eje 1 y 3  ENTRE EJE B y D</t>
  </si>
  <si>
    <t>columneta EJE 1 ENTRE B Y D</t>
  </si>
  <si>
    <t>EJE 1 ENTRE A Y E</t>
  </si>
  <si>
    <t>EJE A ENTRE 1 Y 3</t>
  </si>
  <si>
    <t>EJE C ENTRE 1 Y 3</t>
  </si>
  <si>
    <t>EJE E ENTRE 1 Y 3</t>
  </si>
  <si>
    <t>CULATA EJE A ENTRE 1 Y 3</t>
  </si>
  <si>
    <t>CULATA  EJE C ENTRE 1 Y 3</t>
  </si>
  <si>
    <t>CULATA EJE E ENTRE 1 Y 3</t>
  </si>
  <si>
    <t>EJE 3 ENTRE A Y E</t>
  </si>
  <si>
    <t>Sardinel en concreto  2500 psi.</t>
  </si>
  <si>
    <t>Sardinel</t>
  </si>
  <si>
    <t>Anden</t>
  </si>
  <si>
    <t>Muro D lavatrapo</t>
  </si>
  <si>
    <t>Muro E Lavatrapo</t>
  </si>
  <si>
    <t>LATERAL SALON 1</t>
  </si>
  <si>
    <t>LATERAL SALON 2</t>
  </si>
  <si>
    <t xml:space="preserve">TUBO CERRAMINETO Negro 1-1/2" x 1,9mm </t>
  </si>
  <si>
    <t>MT116</t>
  </si>
  <si>
    <t>MT117</t>
  </si>
  <si>
    <t xml:space="preserve">PRELIMINARES </t>
  </si>
  <si>
    <t xml:space="preserve">MOVIMIENTO DE TIERRA </t>
  </si>
  <si>
    <t>CONSTRUCCION DE CERRAMIENTO</t>
  </si>
  <si>
    <t>Concreto ciclópeo (40% en piedra media zonga y 60% concreto 2500 PSI de 0,30*0,30 m).</t>
  </si>
  <si>
    <r>
      <t xml:space="preserve">Cerramiento en malla eslabonada y tubo </t>
    </r>
    <r>
      <rPr>
        <b/>
        <sz val="12"/>
        <rFont val="Arial Narrow"/>
        <family val="2"/>
      </rPr>
      <t xml:space="preserve">h= 2.85 </t>
    </r>
    <r>
      <rPr>
        <sz val="12"/>
        <rFont val="Arial Narrow"/>
        <family val="2"/>
      </rPr>
      <t>m, antepecho en ladrillo a la vista de h=0.90m, pedestal en concreto de 0.15x0.20m, viga cinta de 0.10x0.15m y viga de cimiento de ,20x,20 incluye acero incluye acero 1/2" y estribos en 3/8", según diseño.</t>
    </r>
  </si>
  <si>
    <t>Portón metálico en malla eslabonada, ángulo de 1/8x1", acabado en anticorrosivo y esmalte .</t>
  </si>
  <si>
    <t>Puerta metálica en malla eslabonada, ángulo de 1/8x1", acabado en anticorrosivo y esmalte .</t>
  </si>
  <si>
    <t>E</t>
  </si>
  <si>
    <t>E1</t>
  </si>
  <si>
    <t>E1,1</t>
  </si>
  <si>
    <t>E2</t>
  </si>
  <si>
    <t>E2,1</t>
  </si>
  <si>
    <t>E2,2</t>
  </si>
  <si>
    <t>E3</t>
  </si>
  <si>
    <t>E3,1</t>
  </si>
  <si>
    <t>E3,2</t>
  </si>
  <si>
    <t>E3,3</t>
  </si>
  <si>
    <t>E3,4</t>
  </si>
  <si>
    <t>Relleno recebo</t>
  </si>
  <si>
    <t>excavacion manual</t>
  </si>
  <si>
    <t>Concreto ciclopeo</t>
  </si>
  <si>
    <t xml:space="preserve">cerramiento malla </t>
  </si>
  <si>
    <t>Porton Metalico</t>
  </si>
  <si>
    <t>Puerta metalica</t>
  </si>
  <si>
    <t>SOLDADURA DE 6011 X 1/8</t>
  </si>
  <si>
    <t xml:space="preserve">MURO EN LADRILLO TOLETE COMUN VISTO POR AMBAS CARAS </t>
  </si>
  <si>
    <t>COLUMNETA DE ANCLAJE DE ,15X ,20 PARA TUBO INCLUYE ACERO DE REFUERZO</t>
  </si>
  <si>
    <t>VIGA DE CIMIENTO  DE 0,20 X 0,20 INCLUYE ACERO</t>
  </si>
  <si>
    <t>ESMALTE PINTURA</t>
  </si>
  <si>
    <t>ALFAJÍA EN CONCRETO 3000 PSI, E= 0.15X0.25 MTS INCLUYE ACERO</t>
  </si>
  <si>
    <t>CAMION</t>
  </si>
  <si>
    <t>ANGULO DE 1/8" X 1"</t>
  </si>
  <si>
    <t>Viga de cimentacion en concreto de 3000 PSI (0,20 x 0,20 mts).Incluye acero de refuerzo de 60000 PSI. (4Ø1/2" refuerzo y E=Ø3/8" c/d. 0,20 m).</t>
  </si>
  <si>
    <t>E4</t>
  </si>
  <si>
    <t>E4,1</t>
  </si>
  <si>
    <t>Aseo</t>
  </si>
  <si>
    <t>CONSTRUCCIÓN DE CERRAMIENTO A  LA INSTITUCIÓN EDUCATIVA EL CAUCHAL (SEDE EL RECREO)</t>
  </si>
  <si>
    <t>F</t>
  </si>
  <si>
    <t>F1</t>
  </si>
  <si>
    <t>F1,1</t>
  </si>
  <si>
    <t>F2</t>
  </si>
  <si>
    <t>F2,2</t>
  </si>
  <si>
    <t>Demolición pañete muro</t>
  </si>
  <si>
    <t>Desmonte marcos y puertas</t>
  </si>
  <si>
    <t>Desmonte ventanas</t>
  </si>
  <si>
    <t>Demolición placa de piso concreto e=0.10m, incluye retiro</t>
  </si>
  <si>
    <t>Demolición muros e-0.15m, con retiro</t>
  </si>
  <si>
    <t>F2,3</t>
  </si>
  <si>
    <t>F2,4</t>
  </si>
  <si>
    <t>F2,5</t>
  </si>
  <si>
    <t>F3</t>
  </si>
  <si>
    <t>F3,1</t>
  </si>
  <si>
    <t>F3,2</t>
  </si>
  <si>
    <t>F2,1</t>
  </si>
  <si>
    <t>F4</t>
  </si>
  <si>
    <t>F4,1</t>
  </si>
  <si>
    <t>F5</t>
  </si>
  <si>
    <t>F5,1</t>
  </si>
  <si>
    <t>F5,2</t>
  </si>
  <si>
    <t>F6</t>
  </si>
  <si>
    <t>F6,1</t>
  </si>
  <si>
    <t>F7</t>
  </si>
  <si>
    <t>F7,1</t>
  </si>
  <si>
    <t>F7,2</t>
  </si>
  <si>
    <t>F7,3</t>
  </si>
  <si>
    <t>F7,4</t>
  </si>
  <si>
    <t>F8</t>
  </si>
  <si>
    <t>F8,1</t>
  </si>
  <si>
    <t>F9</t>
  </si>
  <si>
    <t>F9,1</t>
  </si>
  <si>
    <t>F9,2</t>
  </si>
  <si>
    <t>F9,3</t>
  </si>
  <si>
    <t>F9,4</t>
  </si>
  <si>
    <t>F10</t>
  </si>
  <si>
    <t>F10,1</t>
  </si>
  <si>
    <t>F11</t>
  </si>
  <si>
    <t>F11,1</t>
  </si>
  <si>
    <t>F6,2</t>
  </si>
  <si>
    <t>F7,5</t>
  </si>
  <si>
    <t>F7,6</t>
  </si>
  <si>
    <t>F7,7</t>
  </si>
  <si>
    <t>F10,2</t>
  </si>
  <si>
    <t>F11,2</t>
  </si>
  <si>
    <t>F11,3</t>
  </si>
  <si>
    <t>F11,4</t>
  </si>
  <si>
    <t>F12</t>
  </si>
  <si>
    <t>F12,1</t>
  </si>
  <si>
    <t>F13</t>
  </si>
  <si>
    <t>F13,1</t>
  </si>
  <si>
    <t xml:space="preserve">punto agua fria </t>
  </si>
  <si>
    <t>registro paso</t>
  </si>
  <si>
    <t xml:space="preserve">acometida general </t>
  </si>
  <si>
    <t xml:space="preserve">llave terminal </t>
  </si>
  <si>
    <t xml:space="preserve">lavaplatos </t>
  </si>
  <si>
    <t>placa concreto</t>
  </si>
  <si>
    <t xml:space="preserve">ventanas </t>
  </si>
  <si>
    <t xml:space="preserve">puestas </t>
  </si>
  <si>
    <t>correa</t>
  </si>
  <si>
    <t xml:space="preserve">pintura cercha </t>
  </si>
  <si>
    <t>piso exterior</t>
  </si>
  <si>
    <t>Excavacion manual. Incluye retiro del material. COMEDOR</t>
  </si>
  <si>
    <t>Excavacion manual. Incluye retiro del material. ANDEN</t>
  </si>
  <si>
    <t xml:space="preserve">Relleno en recebo compactado mecánicamente. COMEDOR </t>
  </si>
  <si>
    <t xml:space="preserve">Relleno en recebo compactado mecánicamente. ANDEN </t>
  </si>
  <si>
    <t>alistado COMEDOR</t>
  </si>
  <si>
    <t>alistado ANDEN</t>
  </si>
  <si>
    <t>ceramica COMEDOR</t>
  </si>
  <si>
    <t>ceramica ANDEN</t>
  </si>
  <si>
    <t>guardaescoba COMEDOR</t>
  </si>
  <si>
    <t xml:space="preserve">guardaescoba ANDEN </t>
  </si>
  <si>
    <t xml:space="preserve">Demolicion `placa COCINA </t>
  </si>
  <si>
    <t xml:space="preserve">Demolicion `placa ANDEN </t>
  </si>
  <si>
    <t xml:space="preserve">demolicion pañete FACHADA X2 </t>
  </si>
  <si>
    <t xml:space="preserve">demolicion pañete LATERAL </t>
  </si>
  <si>
    <t xml:space="preserve">demolicion pañete POSTERIOR </t>
  </si>
  <si>
    <t>demolicion muro COCINA</t>
  </si>
  <si>
    <t xml:space="preserve">DEMOLICION MURO </t>
  </si>
  <si>
    <t>Construccion de Muro COCINA</t>
  </si>
  <si>
    <t>Muro meson</t>
  </si>
  <si>
    <t xml:space="preserve">MURO CULATA </t>
  </si>
  <si>
    <t xml:space="preserve"> pañete FACHADA X2 </t>
  </si>
  <si>
    <t xml:space="preserve">pañete LATERAL </t>
  </si>
  <si>
    <t xml:space="preserve"> pañete POSTERIOR </t>
  </si>
  <si>
    <t xml:space="preserve">ESTUCO FACHADA X2 </t>
  </si>
  <si>
    <t xml:space="preserve">ESTUCO LATERAL </t>
  </si>
  <si>
    <t xml:space="preserve">ESTUCO POSTERIOR </t>
  </si>
  <si>
    <t xml:space="preserve">GRANIPLAS FACHADA X2 </t>
  </si>
  <si>
    <t xml:space="preserve">GRANIPLAS  LATERAL </t>
  </si>
  <si>
    <t xml:space="preserve">GRANIPLAS POSTERIOR </t>
  </si>
  <si>
    <t xml:space="preserve">muro ventana </t>
  </si>
  <si>
    <t>ADECUACION Y MEJORAMIENTO DEL COMEDOR  A  LA INSTITUCIÓN EDUCATIVA SAN ANTONIO (SEDE LA MESA)</t>
  </si>
  <si>
    <t>CÁLCULO DEL A.I.U</t>
  </si>
  <si>
    <t>COSTOS DE PERSONAL</t>
  </si>
  <si>
    <t>ITEM.</t>
  </si>
  <si>
    <t>DESCRIPCCIÓN.</t>
  </si>
  <si>
    <t>DEDICACION MENSUAL</t>
  </si>
  <si>
    <t>SALARIO</t>
  </si>
  <si>
    <t>FACTOR PRESTACIONAL</t>
  </si>
  <si>
    <t xml:space="preserve">SALARIO MÁS PRESTACIONES </t>
  </si>
  <si>
    <t>E=A*B*C*D</t>
  </si>
  <si>
    <t>1.1</t>
  </si>
  <si>
    <t>Director de obra</t>
  </si>
  <si>
    <t>1.2</t>
  </si>
  <si>
    <t>Residente de obra</t>
  </si>
  <si>
    <t>SUBTOTAL COSTOS MENSUALES DE PERSONAL</t>
  </si>
  <si>
    <t>F= TOTAL COSTOS DE PERSONAL (3 MESES)</t>
  </si>
  <si>
    <t xml:space="preserve"> COSTOS INDIRECTOS MENSUALES </t>
  </si>
  <si>
    <t>ITEM</t>
  </si>
  <si>
    <t>VALOR UNITARIO</t>
  </si>
  <si>
    <t>VALOR TOTAL</t>
  </si>
  <si>
    <t>2.1</t>
  </si>
  <si>
    <t>Arriendo</t>
  </si>
  <si>
    <t>Mes</t>
  </si>
  <si>
    <t>2.2</t>
  </si>
  <si>
    <t>Servicios</t>
  </si>
  <si>
    <t>MES</t>
  </si>
  <si>
    <t>2.4</t>
  </si>
  <si>
    <t>Estampillas</t>
  </si>
  <si>
    <t>Und</t>
  </si>
  <si>
    <t>2.5</t>
  </si>
  <si>
    <t>Papeleria, fotocopias, impresiónes, polizas y otros gastos</t>
  </si>
  <si>
    <t>G=TOTAL COSTOS INDIRECTOS</t>
  </si>
  <si>
    <t>H=F+G =COSTOS TOTALES ADMINISTRACION</t>
  </si>
  <si>
    <t>IMPREVISTOS</t>
  </si>
  <si>
    <t>TIPO</t>
  </si>
  <si>
    <t>COSTO TOTAL PROYECTO</t>
  </si>
  <si>
    <t>Por variacion de precios</t>
  </si>
  <si>
    <t>Por variacion climatica</t>
  </si>
  <si>
    <t>Por cantidades no estimadas</t>
  </si>
  <si>
    <t>TOTAL COSTOS IMPREVISTOS</t>
  </si>
  <si>
    <t>Utilidad</t>
  </si>
  <si>
    <t>TOTAL COSTOS UTILIDAD</t>
  </si>
  <si>
    <t>I=(H/PRESUPUESTO OFICIAL MENSUAL)=ADMINISTRACIÓN [ A ] 23%</t>
  </si>
  <si>
    <t>Paz y Salvo</t>
  </si>
  <si>
    <t>J =IMPREVISTOS [ I ] 2%</t>
  </si>
  <si>
    <t>K= UTILIDAD ESPERADA [ U ] 5%</t>
  </si>
  <si>
    <t>L= (I+J+K) =PORCENTAJE TOTAL AIU</t>
  </si>
  <si>
    <t>CONTRATO DE OBRA A TODO COSTO PARA LA CONSTRUCCION, MANTENIMIENTO Y MEJORAMIENTO DE DIFERENTES SEDES EDUCATIVAS DEL MUNICIPIO DE EL PITAL HUILA, CONFORME A LA FICHA TECNICA, EN CUMPLIMIENTO DEL PLAN DE DESARROLLO "UNIDOS SI PODEMOS 2024-2027"</t>
  </si>
  <si>
    <t>OBJETO:  CONTRATO DE OBRA A TODO COSTO PARA LA CONSTRUCCION, MANTENIMIENTO Y MEJORAMIENTO DE DIFERENTES SEDES EDUCATIVAS DEL MUNICIPIO DE EL PITAL HUILA, CONFORME A LA FICHA TECNICA, EN CUMPLIMIENTO DEL PLAN DE DESARROLLO "UNIDOS SI PODEMOS 2024-2027"</t>
  </si>
  <si>
    <t>OBJETO: CONTRATO DE OBRA A TODO COSTO PARA LA CONSTRUCCION, MANTENIMIENTO Y MEJORAMIENTO DE DIFERENTES SEDES EDUCATIVAS DEL MUNICIPIO DE EL PITAL HUILA, CONFORME A LA FICHA TECNICA, EN CUMPLIMIENTO DEL PLAN DE DESARROLLO "UNIDOS SI PODEMOS 2024-2027"</t>
  </si>
  <si>
    <t>Aporte pro cultura</t>
  </si>
  <si>
    <t>2% del Valor Total del contrato</t>
  </si>
  <si>
    <t>Estampilla Pro tercera Edad</t>
  </si>
  <si>
    <t>4% del Valor Total del contrato</t>
  </si>
  <si>
    <t>Tasa pro deporte y recreación</t>
  </si>
  <si>
    <t>Estampilla Mal trato contra la mujer</t>
  </si>
  <si>
    <t>Retención en la fuente</t>
  </si>
  <si>
    <t>Rete ICA</t>
  </si>
  <si>
    <t>5 X 1000</t>
  </si>
  <si>
    <t>Fondo de Seguridad</t>
  </si>
  <si>
    <t>5 X 100</t>
  </si>
  <si>
    <t xml:space="preserve">Impuesto de timbre </t>
  </si>
  <si>
    <t>0.5 % (si aplica)</t>
  </si>
  <si>
    <t>Rte IVA</t>
  </si>
  <si>
    <t>15% DEL IVA (si aplica)</t>
  </si>
  <si>
    <t>,</t>
  </si>
  <si>
    <t>MUNICIPIO DE EL PITAL DEPARTAMENTO DEL HUILA</t>
  </si>
  <si>
    <t>SECRETARIA DE PLANEACION E INFRAESTRUCTURA</t>
  </si>
  <si>
    <t>PRESUPUESTO INTERVENTORIA</t>
  </si>
  <si>
    <t xml:space="preserve">A. COSTOS DIRECTOS (PERSONAL) </t>
  </si>
  <si>
    <t>CARGOS</t>
  </si>
  <si>
    <t xml:space="preserve">CANTIDAD (A) </t>
  </si>
  <si>
    <t>SUELDO MES BASE (B)</t>
  </si>
  <si>
    <t>PARTICIPACION (C)</t>
  </si>
  <si>
    <t>VALOR MES (D)</t>
  </si>
  <si>
    <t>TIEMPO MESES (E)</t>
  </si>
  <si>
    <t>TOTAL</t>
  </si>
  <si>
    <t xml:space="preserve">Director de Interventoria </t>
  </si>
  <si>
    <t>Residente de Interventoria</t>
  </si>
  <si>
    <t>SUBTOTAL COSTOS DIRECTOS DE PERSONAL (A)</t>
  </si>
  <si>
    <t>FACTOR MULTIPLICADOR</t>
  </si>
  <si>
    <t>VALOR TOTAL PERSONAL (A)</t>
  </si>
  <si>
    <t>B. COSTOS DIRECTOS (NO PERSONAL)</t>
  </si>
  <si>
    <t>Papeleria, fotocopias, impresión de planos y otro gastos</t>
  </si>
  <si>
    <t xml:space="preserve">Ensayos de laboratorio </t>
  </si>
  <si>
    <t>TOTAL COSTOS DIRECTOS (B)</t>
  </si>
  <si>
    <t>VALOR BASICO INTERVENTORIA (A+B)</t>
  </si>
  <si>
    <t>IVA 19%</t>
  </si>
  <si>
    <t>VALOR TOTAL DE LA INTERVENTORIA</t>
  </si>
  <si>
    <t>INTERVENTORIA TECNICA, ADMINISTRATIVA, FINANCIERA FRENTE A LA CONSTRUCCION, MANTENIMIENTO Y MEJORAMIENTO A TODO COSTO  DE DIFERENTES SEDES EDUCATIVAS DEL MUNICIPIO DE EL PITAL HUILA EN LA VIGENCIA 2026, EN CUMPLIMIENTO DEL PLAN DE DESARROLLO "UNIDOS SI PODEMOS 2024-2027"</t>
  </si>
  <si>
    <t xml:space="preserve"> 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</si>
</sst>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0.0"/>
    <numFmt numFmtId="166" formatCode="_ * #,###.&quot;.&quot;00_ ;_ * \-#,###.&quot;.&quot;00_ ;_ * &quot;-&quot;??_ ;_ @_ⴆ"/>
    <numFmt numFmtId="167" formatCode="0.000"/>
    <numFmt numFmtId="168" formatCode="_ &quot;$&quot;\ * #,##0.00_ ;_ &quot;$&quot;\ * \-#,##0.00_ ;_ &quot;$&quot;\ * &quot;-&quot;??_ ;_ @_ "/>
    <numFmt numFmtId="169" formatCode="_-&quot;$&quot;\ * #,##0.00_-;\-&quot;$&quot;\ * #,##0.00_-;_-&quot;$&quot;\ * &quot;-&quot;_-;_-@_-"/>
    <numFmt numFmtId="170" formatCode="_-* #,##0.00\ _€_-;\-* #,##0.00\ _€_-;_-* &quot;-&quot;??\ _€_-;_-@_-"/>
    <numFmt numFmtId="171" formatCode="&quot;$&quot;\ #,##0.00"/>
    <numFmt numFmtId="172" formatCode="&quot;$&quot;#,##0.00"/>
    <numFmt numFmtId="173" formatCode="_-&quot;$&quot;\ * #,##0_-;\-&quot;$&quot;\ * #,##0_-;_-&quot;$&quot;\ * &quot;-&quot;??_-;_-@_-"/>
    <numFmt numFmtId="174" formatCode="_-&quot;$&quot;* #,##0_-;\-&quot;$&quot;* #,##0_-;_-&quot;$&quot;* &quot;-&quot;_-;_-@_-"/>
    <numFmt numFmtId="175" formatCode="_-&quot;$&quot;* #,##0.00_-;\-&quot;$&quot;* #,##0.00_-;_-&quot;$&quot;* &quot;-&quot;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color theme="0"/>
      <name val="Arial Narrow"/>
      <family val="2"/>
    </font>
    <font>
      <sz val="8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sz val="12"/>
      <color rgb="FFFF0000"/>
      <name val="Arial Narrow"/>
      <family val="2"/>
    </font>
    <font>
      <b/>
      <sz val="12"/>
      <color indexed="8"/>
      <name val="Arial Narrow"/>
      <family val="2"/>
    </font>
    <font>
      <u/>
      <sz val="12"/>
      <color theme="1"/>
      <name val="Arial Narrow"/>
      <family val="2"/>
    </font>
    <font>
      <u/>
      <sz val="12"/>
      <name val="Arial Narrow"/>
      <family val="2"/>
    </font>
    <font>
      <b/>
      <sz val="12"/>
      <color rgb="FFFF0000"/>
      <name val="Arial Narrow"/>
      <family val="2"/>
    </font>
    <font>
      <sz val="12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7030A0"/>
      <name val="Arial Narrow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170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 applyAlignment="0"/>
    <xf numFmtId="0" fontId="9" fillId="0" borderId="0"/>
    <xf numFmtId="168" fontId="9" fillId="0" borderId="0" applyFont="0" applyFill="0" applyBorder="0" applyAlignment="0" applyProtection="0"/>
    <xf numFmtId="0" fontId="1" fillId="0" borderId="0"/>
    <xf numFmtId="174" fontId="1" fillId="0" borderId="0" applyFont="0" applyFill="0" applyBorder="0" applyAlignment="0" applyProtection="0"/>
  </cellStyleXfs>
  <cellXfs count="1020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65" fontId="10" fillId="0" borderId="1" xfId="1" applyNumberFormat="1" applyFont="1" applyFill="1" applyBorder="1" applyAlignment="1">
      <alignment horizontal="justify" vertical="center" wrapText="1"/>
    </xf>
    <xf numFmtId="166" fontId="10" fillId="0" borderId="1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166" fontId="10" fillId="0" borderId="1" xfId="1" applyNumberFormat="1" applyFont="1" applyFill="1" applyBorder="1" applyAlignment="1">
      <alignment horizontal="left" vertical="center" wrapText="1"/>
    </xf>
    <xf numFmtId="0" fontId="4" fillId="0" borderId="0" xfId="0" applyFont="1"/>
    <xf numFmtId="171" fontId="3" fillId="0" borderId="0" xfId="0" applyNumberFormat="1" applyFont="1"/>
    <xf numFmtId="0" fontId="8" fillId="0" borderId="1" xfId="12" applyFont="1" applyBorder="1" applyAlignment="1">
      <alignment horizontal="center" vertical="center" wrapText="1"/>
    </xf>
    <xf numFmtId="0" fontId="8" fillId="0" borderId="1" xfId="12" applyFont="1" applyBorder="1" applyAlignment="1">
      <alignment horizontal="center" vertical="center"/>
    </xf>
    <xf numFmtId="2" fontId="8" fillId="0" borderId="1" xfId="1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1" xfId="5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 wrapText="1"/>
    </xf>
    <xf numFmtId="164" fontId="8" fillId="8" borderId="1" xfId="1" applyNumberFormat="1" applyFont="1" applyFill="1" applyBorder="1" applyAlignment="1">
      <alignment horizontal="center" vertical="center"/>
    </xf>
    <xf numFmtId="2" fontId="8" fillId="0" borderId="21" xfId="12" applyNumberFormat="1" applyFont="1" applyBorder="1" applyAlignment="1">
      <alignment horizontal="center" vertical="center"/>
    </xf>
    <xf numFmtId="165" fontId="8" fillId="0" borderId="21" xfId="1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5" fontId="8" fillId="0" borderId="1" xfId="12" applyNumberFormat="1" applyFont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10" fillId="0" borderId="1" xfId="1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2" fontId="4" fillId="0" borderId="1" xfId="5" applyFont="1" applyBorder="1" applyAlignment="1">
      <alignment horizontal="center" vertical="center"/>
    </xf>
    <xf numFmtId="171" fontId="4" fillId="7" borderId="1" xfId="0" applyNumberFormat="1" applyFont="1" applyFill="1" applyBorder="1" applyAlignment="1">
      <alignment vertical="center"/>
    </xf>
    <xf numFmtId="171" fontId="4" fillId="8" borderId="1" xfId="5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171" fontId="8" fillId="0" borderId="0" xfId="5" applyNumberFormat="1" applyFont="1" applyFill="1" applyBorder="1" applyAlignment="1">
      <alignment horizontal="right" vertical="center"/>
    </xf>
    <xf numFmtId="42" fontId="3" fillId="0" borderId="0" xfId="5" applyFont="1" applyAlignment="1">
      <alignment horizontal="center" vertical="center"/>
    </xf>
    <xf numFmtId="0" fontId="4" fillId="0" borderId="0" xfId="0" applyFont="1" applyAlignment="1">
      <alignment vertical="center"/>
    </xf>
    <xf numFmtId="0" fontId="15" fillId="9" borderId="1" xfId="12" applyFont="1" applyFill="1" applyBorder="1" applyAlignment="1">
      <alignment horizontal="center" vertical="center"/>
    </xf>
    <xf numFmtId="2" fontId="15" fillId="9" borderId="1" xfId="12" applyNumberFormat="1" applyFont="1" applyFill="1" applyBorder="1" applyAlignment="1">
      <alignment horizontal="center" vertical="center"/>
    </xf>
    <xf numFmtId="0" fontId="16" fillId="9" borderId="1" xfId="12" applyFont="1" applyFill="1" applyBorder="1" applyAlignment="1">
      <alignment vertical="center"/>
    </xf>
    <xf numFmtId="165" fontId="15" fillId="9" borderId="1" xfId="12" applyNumberFormat="1" applyFont="1" applyFill="1" applyBorder="1" applyAlignment="1">
      <alignment horizontal="center" vertical="center"/>
    </xf>
    <xf numFmtId="0" fontId="8" fillId="3" borderId="1" xfId="12" applyFont="1" applyFill="1" applyBorder="1" applyAlignment="1">
      <alignment horizontal="center" vertical="center"/>
    </xf>
    <xf numFmtId="2" fontId="8" fillId="3" borderId="1" xfId="12" applyNumberFormat="1" applyFont="1" applyFill="1" applyBorder="1" applyAlignment="1">
      <alignment horizontal="center" vertical="center"/>
    </xf>
    <xf numFmtId="0" fontId="10" fillId="3" borderId="1" xfId="12" applyFont="1" applyFill="1" applyBorder="1" applyAlignment="1">
      <alignment vertical="center"/>
    </xf>
    <xf numFmtId="165" fontId="8" fillId="3" borderId="1" xfId="12" applyNumberFormat="1" applyFont="1" applyFill="1" applyBorder="1" applyAlignment="1">
      <alignment horizontal="center" vertical="center"/>
    </xf>
    <xf numFmtId="0" fontId="15" fillId="9" borderId="1" xfId="12" applyFont="1" applyFill="1" applyBorder="1" applyAlignment="1">
      <alignment horizontal="left" vertical="center" wrapText="1"/>
    </xf>
    <xf numFmtId="0" fontId="8" fillId="3" borderId="1" xfId="12" applyFont="1" applyFill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horizontal="center"/>
    </xf>
    <xf numFmtId="2" fontId="10" fillId="3" borderId="1" xfId="12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10" fillId="0" borderId="1" xfId="0" applyFont="1" applyBorder="1"/>
    <xf numFmtId="0" fontId="10" fillId="0" borderId="3" xfId="0" applyFont="1" applyBorder="1"/>
    <xf numFmtId="2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65" fontId="10" fillId="3" borderId="1" xfId="1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8" fillId="8" borderId="1" xfId="0" applyFont="1" applyFill="1" applyBorder="1" applyAlignment="1">
      <alignment vertical="center"/>
    </xf>
    <xf numFmtId="171" fontId="4" fillId="0" borderId="1" xfId="5" applyNumberFormat="1" applyFont="1" applyBorder="1" applyAlignment="1">
      <alignment horizontal="center" vertical="center"/>
    </xf>
    <xf numFmtId="171" fontId="4" fillId="0" borderId="1" xfId="5" applyNumberFormat="1" applyFont="1" applyBorder="1" applyAlignment="1">
      <alignment horizontal="center" vertical="center" wrapText="1"/>
    </xf>
    <xf numFmtId="171" fontId="8" fillId="8" borderId="1" xfId="0" applyNumberFormat="1" applyFont="1" applyFill="1" applyBorder="1" applyAlignment="1">
      <alignment horizontal="center" vertical="center" wrapText="1"/>
    </xf>
    <xf numFmtId="171" fontId="3" fillId="0" borderId="0" xfId="5" applyNumberFormat="1" applyFont="1" applyBorder="1" applyAlignment="1">
      <alignment horizontal="center" vertical="center"/>
    </xf>
    <xf numFmtId="171" fontId="3" fillId="0" borderId="0" xfId="5" applyNumberFormat="1" applyFont="1" applyAlignment="1">
      <alignment horizontal="center" vertical="center"/>
    </xf>
    <xf numFmtId="171" fontId="10" fillId="0" borderId="1" xfId="5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1" fontId="3" fillId="0" borderId="0" xfId="0" applyNumberFormat="1" applyFont="1" applyAlignment="1">
      <alignment horizontal="center" vertical="center"/>
    </xf>
    <xf numFmtId="0" fontId="8" fillId="0" borderId="8" xfId="6" applyFont="1" applyBorder="1" applyAlignment="1">
      <alignment horizontal="center" vertical="center"/>
    </xf>
    <xf numFmtId="0" fontId="8" fillId="0" borderId="9" xfId="6" applyFont="1" applyBorder="1" applyAlignment="1">
      <alignment horizontal="center" vertical="center"/>
    </xf>
    <xf numFmtId="168" fontId="8" fillId="0" borderId="10" xfId="4" applyFont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10" fillId="0" borderId="17" xfId="6" applyFont="1" applyBorder="1" applyAlignment="1">
      <alignment horizontal="center" vertical="center"/>
    </xf>
    <xf numFmtId="0" fontId="10" fillId="0" borderId="3" xfId="6" applyFont="1" applyBorder="1" applyAlignment="1">
      <alignment horizontal="left" vertical="center" wrapText="1"/>
    </xf>
    <xf numFmtId="0" fontId="8" fillId="0" borderId="26" xfId="6" applyFont="1" applyBorder="1" applyAlignment="1">
      <alignment horizontal="center" vertical="center"/>
    </xf>
    <xf numFmtId="0" fontId="10" fillId="4" borderId="17" xfId="6" applyFont="1" applyFill="1" applyBorder="1" applyAlignment="1">
      <alignment horizontal="center" vertical="center"/>
    </xf>
    <xf numFmtId="0" fontId="10" fillId="4" borderId="3" xfId="6" applyFont="1" applyFill="1" applyBorder="1" applyAlignment="1">
      <alignment horizontal="left" vertical="center" wrapText="1"/>
    </xf>
    <xf numFmtId="0" fontId="10" fillId="4" borderId="1" xfId="6" applyFont="1" applyFill="1" applyBorder="1" applyAlignment="1">
      <alignment horizontal="center" vertical="center"/>
    </xf>
    <xf numFmtId="0" fontId="8" fillId="4" borderId="8" xfId="6" applyFont="1" applyFill="1" applyBorder="1" applyAlignment="1">
      <alignment horizontal="center" vertical="center"/>
    </xf>
    <xf numFmtId="0" fontId="8" fillId="4" borderId="9" xfId="6" applyFont="1" applyFill="1" applyBorder="1" applyAlignment="1">
      <alignment horizontal="center" vertical="center"/>
    </xf>
    <xf numFmtId="171" fontId="10" fillId="4" borderId="12" xfId="4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/>
    </xf>
    <xf numFmtId="0" fontId="10" fillId="0" borderId="1" xfId="6" applyFont="1" applyBorder="1" applyAlignment="1">
      <alignment horizontal="center"/>
    </xf>
    <xf numFmtId="4" fontId="10" fillId="0" borderId="1" xfId="6" applyNumberFormat="1" applyFont="1" applyBorder="1" applyAlignment="1">
      <alignment horizontal="center"/>
    </xf>
    <xf numFmtId="171" fontId="10" fillId="0" borderId="12" xfId="4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171" fontId="3" fillId="10" borderId="0" xfId="0" applyNumberFormat="1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1" fontId="8" fillId="8" borderId="1" xfId="5" applyNumberFormat="1" applyFont="1" applyFill="1" applyBorder="1" applyAlignment="1">
      <alignment horizontal="right" vertical="center"/>
    </xf>
    <xf numFmtId="171" fontId="10" fillId="0" borderId="1" xfId="5" applyNumberFormat="1" applyFont="1" applyFill="1" applyBorder="1" applyAlignment="1">
      <alignment horizontal="right"/>
    </xf>
    <xf numFmtId="9" fontId="10" fillId="0" borderId="1" xfId="3" applyFont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171" fontId="8" fillId="12" borderId="1" xfId="5" applyNumberFormat="1" applyFont="1" applyFill="1" applyBorder="1" applyAlignment="1">
      <alignment horizontal="right"/>
    </xf>
    <xf numFmtId="168" fontId="8" fillId="0" borderId="10" xfId="4" applyFont="1" applyBorder="1" applyAlignment="1">
      <alignment horizontal="right" vertical="center"/>
    </xf>
    <xf numFmtId="168" fontId="8" fillId="4" borderId="10" xfId="4" applyFont="1" applyFill="1" applyBorder="1" applyAlignment="1">
      <alignment horizontal="right" vertical="center"/>
    </xf>
    <xf numFmtId="2" fontId="8" fillId="9" borderId="1" xfId="12" applyNumberFormat="1" applyFont="1" applyFill="1" applyBorder="1" applyAlignment="1">
      <alignment horizontal="center" vertical="center"/>
    </xf>
    <xf numFmtId="0" fontId="10" fillId="9" borderId="1" xfId="12" applyFont="1" applyFill="1" applyBorder="1" applyAlignment="1">
      <alignment vertical="center"/>
    </xf>
    <xf numFmtId="0" fontId="16" fillId="9" borderId="1" xfId="12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7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69" fontId="2" fillId="0" borderId="12" xfId="5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5" fillId="5" borderId="0" xfId="0" applyFont="1" applyFill="1" applyAlignment="1">
      <alignment vertical="center"/>
    </xf>
    <xf numFmtId="42" fontId="3" fillId="12" borderId="1" xfId="5" applyFont="1" applyFill="1" applyBorder="1" applyAlignment="1">
      <alignment horizontal="center"/>
    </xf>
    <xf numFmtId="9" fontId="3" fillId="0" borderId="1" xfId="3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10" fillId="0" borderId="0" xfId="0" applyFont="1"/>
    <xf numFmtId="0" fontId="10" fillId="6" borderId="1" xfId="0" applyFont="1" applyFill="1" applyBorder="1"/>
    <xf numFmtId="42" fontId="10" fillId="0" borderId="1" xfId="5" applyFont="1" applyFill="1" applyBorder="1"/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4" applyNumberFormat="1" applyFont="1" applyFill="1" applyAlignment="1">
      <alignment horizontal="center"/>
    </xf>
    <xf numFmtId="168" fontId="10" fillId="0" borderId="0" xfId="4" applyFont="1" applyFill="1" applyAlignment="1">
      <alignment horizontal="center"/>
    </xf>
    <xf numFmtId="0" fontId="10" fillId="11" borderId="1" xfId="0" applyFont="1" applyFill="1" applyBorder="1"/>
    <xf numFmtId="0" fontId="8" fillId="0" borderId="6" xfId="0" applyFont="1" applyBorder="1" applyAlignment="1">
      <alignment horizontal="left" wrapText="1"/>
    </xf>
    <xf numFmtId="0" fontId="8" fillId="0" borderId="6" xfId="0" applyFont="1" applyBorder="1" applyAlignment="1">
      <alignment horizontal="center"/>
    </xf>
    <xf numFmtId="4" fontId="8" fillId="0" borderId="6" xfId="4" applyNumberFormat="1" applyFont="1" applyFill="1" applyBorder="1" applyAlignment="1">
      <alignment horizontal="center"/>
    </xf>
    <xf numFmtId="168" fontId="8" fillId="0" borderId="6" xfId="4" applyFont="1" applyFill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4" fontId="8" fillId="0" borderId="0" xfId="4" applyNumberFormat="1" applyFont="1" applyFill="1" applyBorder="1" applyAlignment="1">
      <alignment horizontal="center"/>
    </xf>
    <xf numFmtId="168" fontId="8" fillId="0" borderId="0" xfId="4" applyFont="1" applyFill="1" applyBorder="1" applyAlignment="1">
      <alignment horizontal="center"/>
    </xf>
    <xf numFmtId="9" fontId="10" fillId="0" borderId="0" xfId="3" applyFont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10" fontId="10" fillId="0" borderId="0" xfId="0" applyNumberFormat="1" applyFont="1" applyAlignment="1">
      <alignment horizontal="center"/>
    </xf>
    <xf numFmtId="10" fontId="10" fillId="0" borderId="1" xfId="3" applyNumberFormat="1" applyFont="1" applyFill="1" applyBorder="1"/>
    <xf numFmtId="10" fontId="10" fillId="0" borderId="1" xfId="0" applyNumberFormat="1" applyFont="1" applyBorder="1"/>
    <xf numFmtId="10" fontId="8" fillId="0" borderId="1" xfId="3" applyNumberFormat="1" applyFont="1" applyFill="1" applyBorder="1"/>
    <xf numFmtId="9" fontId="10" fillId="0" borderId="0" xfId="0" applyNumberFormat="1" applyFont="1" applyAlignment="1">
      <alignment horizontal="center"/>
    </xf>
    <xf numFmtId="0" fontId="10" fillId="0" borderId="7" xfId="0" applyFont="1" applyBorder="1" applyAlignment="1">
      <alignment horizontal="left" wrapText="1"/>
    </xf>
    <xf numFmtId="0" fontId="10" fillId="0" borderId="7" xfId="0" applyFont="1" applyBorder="1" applyAlignment="1">
      <alignment horizontal="center"/>
    </xf>
    <xf numFmtId="10" fontId="10" fillId="0" borderId="7" xfId="0" applyNumberFormat="1" applyFont="1" applyBorder="1" applyAlignment="1">
      <alignment horizontal="center"/>
    </xf>
    <xf numFmtId="4" fontId="10" fillId="0" borderId="7" xfId="4" applyNumberFormat="1" applyFont="1" applyFill="1" applyBorder="1" applyAlignment="1">
      <alignment horizontal="center"/>
    </xf>
    <xf numFmtId="168" fontId="10" fillId="0" borderId="7" xfId="4" applyFont="1" applyFill="1" applyBorder="1" applyAlignment="1">
      <alignment horizontal="center"/>
    </xf>
    <xf numFmtId="168" fontId="8" fillId="0" borderId="0" xfId="4" applyFont="1" applyFill="1" applyAlignment="1">
      <alignment horizontal="center"/>
    </xf>
    <xf numFmtId="0" fontId="8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center"/>
    </xf>
    <xf numFmtId="4" fontId="10" fillId="2" borderId="0" xfId="4" applyNumberFormat="1" applyFont="1" applyFill="1" applyAlignment="1">
      <alignment horizontal="center"/>
    </xf>
    <xf numFmtId="168" fontId="10" fillId="2" borderId="0" xfId="4" applyFont="1" applyFill="1" applyAlignment="1">
      <alignment horizontal="center"/>
    </xf>
    <xf numFmtId="2" fontId="10" fillId="0" borderId="0" xfId="0" applyNumberFormat="1" applyFont="1" applyAlignment="1">
      <alignment horizontal="center"/>
    </xf>
    <xf numFmtId="2" fontId="10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169" fontId="2" fillId="0" borderId="0" xfId="5" applyNumberFormat="1" applyFont="1" applyAlignment="1">
      <alignment horizontal="center"/>
    </xf>
    <xf numFmtId="0" fontId="2" fillId="0" borderId="0" xfId="0" applyFont="1" applyAlignment="1">
      <alignment vertical="center"/>
    </xf>
    <xf numFmtId="169" fontId="2" fillId="0" borderId="0" xfId="5" applyNumberFormat="1" applyFont="1"/>
    <xf numFmtId="169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/>
    </xf>
    <xf numFmtId="169" fontId="3" fillId="0" borderId="1" xfId="5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9" fontId="3" fillId="0" borderId="12" xfId="5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2" fontId="3" fillId="0" borderId="1" xfId="5" applyFont="1" applyBorder="1" applyAlignment="1">
      <alignment horizontal="center" wrapText="1"/>
    </xf>
    <xf numFmtId="169" fontId="3" fillId="0" borderId="12" xfId="5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173" fontId="3" fillId="0" borderId="1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169" fontId="4" fillId="0" borderId="16" xfId="5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vertical="center" wrapText="1"/>
    </xf>
    <xf numFmtId="42" fontId="3" fillId="0" borderId="1" xfId="5" applyFont="1" applyBorder="1" applyAlignment="1">
      <alignment horizontal="center" vertical="center" wrapText="1"/>
    </xf>
    <xf numFmtId="171" fontId="3" fillId="0" borderId="12" xfId="5" applyNumberFormat="1" applyFont="1" applyBorder="1" applyAlignment="1">
      <alignment horizontal="right" vertical="center" wrapText="1"/>
    </xf>
    <xf numFmtId="169" fontId="4" fillId="0" borderId="7" xfId="5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wrapText="1"/>
    </xf>
    <xf numFmtId="0" fontId="3" fillId="4" borderId="1" xfId="0" applyFont="1" applyFill="1" applyBorder="1" applyAlignment="1">
      <alignment horizontal="center" wrapText="1"/>
    </xf>
    <xf numFmtId="0" fontId="3" fillId="0" borderId="18" xfId="0" applyFont="1" applyBorder="1" applyAlignment="1">
      <alignment wrapText="1"/>
    </xf>
    <xf numFmtId="2" fontId="3" fillId="0" borderId="15" xfId="0" applyNumberFormat="1" applyFont="1" applyBorder="1" applyAlignment="1">
      <alignment horizontal="center" wrapText="1"/>
    </xf>
    <xf numFmtId="0" fontId="3" fillId="4" borderId="15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9" fontId="4" fillId="0" borderId="7" xfId="5" applyNumberFormat="1" applyFont="1" applyBorder="1" applyAlignment="1">
      <alignment horizontal="center" wrapText="1"/>
    </xf>
    <xf numFmtId="10" fontId="3" fillId="0" borderId="1" xfId="0" applyNumberFormat="1" applyFont="1" applyBorder="1" applyAlignment="1">
      <alignment horizontal="center" vertical="center" wrapText="1"/>
    </xf>
    <xf numFmtId="171" fontId="3" fillId="0" borderId="1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71" fontId="3" fillId="0" borderId="19" xfId="5" applyNumberFormat="1" applyFont="1" applyBorder="1" applyAlignment="1">
      <alignment horizontal="right" vertical="center" wrapText="1"/>
    </xf>
    <xf numFmtId="169" fontId="4" fillId="0" borderId="7" xfId="5" applyNumberFormat="1" applyFont="1" applyFill="1" applyBorder="1" applyAlignment="1">
      <alignment horizontal="center" wrapText="1"/>
    </xf>
    <xf numFmtId="169" fontId="3" fillId="0" borderId="0" xfId="5" applyNumberFormat="1" applyFont="1"/>
    <xf numFmtId="2" fontId="3" fillId="0" borderId="1" xfId="0" applyNumberFormat="1" applyFont="1" applyBorder="1" applyAlignment="1">
      <alignment wrapText="1"/>
    </xf>
    <xf numFmtId="2" fontId="3" fillId="0" borderId="15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171" fontId="3" fillId="0" borderId="1" xfId="5" applyNumberFormat="1" applyFont="1" applyBorder="1" applyAlignment="1">
      <alignment horizontal="right" wrapText="1"/>
    </xf>
    <xf numFmtId="171" fontId="3" fillId="0" borderId="12" xfId="5" applyNumberFormat="1" applyFont="1" applyBorder="1" applyAlignment="1">
      <alignment horizontal="right" wrapText="1"/>
    </xf>
    <xf numFmtId="171" fontId="3" fillId="0" borderId="1" xfId="0" applyNumberFormat="1" applyFont="1" applyBorder="1" applyAlignment="1">
      <alignment horizontal="right" wrapText="1"/>
    </xf>
    <xf numFmtId="171" fontId="3" fillId="0" borderId="15" xfId="0" applyNumberFormat="1" applyFont="1" applyBorder="1" applyAlignment="1">
      <alignment horizontal="right" wrapText="1"/>
    </xf>
    <xf numFmtId="171" fontId="3" fillId="0" borderId="1" xfId="5" applyNumberFormat="1" applyFont="1" applyFill="1" applyBorder="1" applyAlignment="1">
      <alignment horizontal="right" vertical="center" wrapText="1"/>
    </xf>
    <xf numFmtId="171" fontId="3" fillId="0" borderId="19" xfId="5" applyNumberFormat="1" applyFont="1" applyBorder="1" applyAlignment="1">
      <alignment horizontal="right" wrapText="1"/>
    </xf>
    <xf numFmtId="171" fontId="3" fillId="0" borderId="1" xfId="5" applyNumberFormat="1" applyFont="1" applyBorder="1" applyAlignment="1">
      <alignment horizontal="center" wrapText="1"/>
    </xf>
    <xf numFmtId="171" fontId="3" fillId="0" borderId="12" xfId="5" applyNumberFormat="1" applyFont="1" applyBorder="1" applyAlignment="1">
      <alignment horizontal="center" wrapText="1"/>
    </xf>
    <xf numFmtId="171" fontId="3" fillId="0" borderId="1" xfId="0" applyNumberFormat="1" applyFont="1" applyBorder="1" applyAlignment="1">
      <alignment horizontal="center" wrapText="1"/>
    </xf>
    <xf numFmtId="171" fontId="3" fillId="0" borderId="15" xfId="0" applyNumberFormat="1" applyFont="1" applyBorder="1" applyAlignment="1">
      <alignment horizontal="center" wrapText="1"/>
    </xf>
    <xf numFmtId="171" fontId="4" fillId="0" borderId="7" xfId="5" applyNumberFormat="1" applyFont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wrapText="1"/>
    </xf>
    <xf numFmtId="0" fontId="3" fillId="0" borderId="15" xfId="0" applyFont="1" applyBorder="1" applyAlignment="1">
      <alignment wrapText="1"/>
    </xf>
    <xf numFmtId="171" fontId="4" fillId="0" borderId="16" xfId="5" applyNumberFormat="1" applyFont="1" applyBorder="1" applyAlignment="1">
      <alignment horizontal="center" wrapText="1"/>
    </xf>
    <xf numFmtId="171" fontId="3" fillId="0" borderId="1" xfId="5" applyNumberFormat="1" applyFont="1" applyBorder="1" applyAlignment="1">
      <alignment horizontal="center" vertical="center" wrapText="1"/>
    </xf>
    <xf numFmtId="171" fontId="3" fillId="0" borderId="15" xfId="0" applyNumberFormat="1" applyFont="1" applyBorder="1" applyAlignment="1">
      <alignment horizontal="center" vertical="center" wrapText="1"/>
    </xf>
    <xf numFmtId="171" fontId="3" fillId="0" borderId="0" xfId="0" applyNumberFormat="1" applyFont="1" applyAlignment="1">
      <alignment horizontal="center"/>
    </xf>
    <xf numFmtId="171" fontId="3" fillId="0" borderId="0" xfId="5" applyNumberFormat="1" applyFont="1" applyAlignment="1">
      <alignment horizontal="center"/>
    </xf>
    <xf numFmtId="171" fontId="3" fillId="0" borderId="17" xfId="0" applyNumberFormat="1" applyFont="1" applyBorder="1" applyAlignment="1">
      <alignment wrapText="1"/>
    </xf>
    <xf numFmtId="171" fontId="3" fillId="0" borderId="18" xfId="0" applyNumberFormat="1" applyFont="1" applyBorder="1" applyAlignment="1">
      <alignment wrapText="1"/>
    </xf>
    <xf numFmtId="171" fontId="3" fillId="0" borderId="15" xfId="0" applyNumberFormat="1" applyFont="1" applyBorder="1" applyAlignment="1">
      <alignment wrapText="1"/>
    </xf>
    <xf numFmtId="0" fontId="6" fillId="0" borderId="1" xfId="0" applyFont="1" applyBorder="1" applyAlignment="1">
      <alignment horizontal="center"/>
    </xf>
    <xf numFmtId="2" fontId="2" fillId="0" borderId="0" xfId="0" applyNumberFormat="1" applyFont="1"/>
    <xf numFmtId="171" fontId="2" fillId="0" borderId="0" xfId="0" applyNumberFormat="1" applyFont="1"/>
    <xf numFmtId="171" fontId="2" fillId="0" borderId="0" xfId="8" applyNumberFormat="1" applyFont="1" applyAlignment="1">
      <alignment horizontal="right"/>
    </xf>
    <xf numFmtId="0" fontId="4" fillId="0" borderId="1" xfId="0" applyFont="1" applyBorder="1" applyAlignment="1">
      <alignment horizontal="center"/>
    </xf>
    <xf numFmtId="171" fontId="3" fillId="0" borderId="1" xfId="5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71" fontId="3" fillId="4" borderId="1" xfId="5" applyNumberFormat="1" applyFont="1" applyFill="1" applyBorder="1" applyAlignment="1">
      <alignment horizontal="right" vertical="center" wrapText="1"/>
    </xf>
    <xf numFmtId="2" fontId="3" fillId="0" borderId="0" xfId="0" applyNumberFormat="1" applyFont="1"/>
    <xf numFmtId="0" fontId="17" fillId="0" borderId="0" xfId="0" applyFont="1"/>
    <xf numFmtId="173" fontId="3" fillId="0" borderId="1" xfId="8" applyNumberFormat="1" applyFont="1" applyFill="1" applyBorder="1" applyAlignment="1">
      <alignment horizontal="right" vertical="center" wrapText="1"/>
    </xf>
    <xf numFmtId="171" fontId="3" fillId="0" borderId="0" xfId="8" applyNumberFormat="1" applyFont="1" applyAlignment="1">
      <alignment horizontal="right"/>
    </xf>
    <xf numFmtId="0" fontId="3" fillId="0" borderId="15" xfId="0" applyFont="1" applyBorder="1" applyAlignment="1">
      <alignment horizontal="right" vertical="center" wrapText="1"/>
    </xf>
    <xf numFmtId="171" fontId="4" fillId="0" borderId="16" xfId="8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169" fontId="3" fillId="0" borderId="10" xfId="5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69" fontId="2" fillId="0" borderId="12" xfId="5" applyNumberFormat="1" applyFont="1" applyBorder="1" applyAlignment="1">
      <alignment horizontal="center" vertical="center" wrapText="1"/>
    </xf>
    <xf numFmtId="171" fontId="2" fillId="0" borderId="1" xfId="5" applyNumberFormat="1" applyFont="1" applyBorder="1" applyAlignment="1">
      <alignment horizontal="right" wrapText="1"/>
    </xf>
    <xf numFmtId="171" fontId="2" fillId="0" borderId="12" xfId="5" applyNumberFormat="1" applyFont="1" applyBorder="1" applyAlignment="1">
      <alignment horizontal="right" wrapText="1"/>
    </xf>
    <xf numFmtId="171" fontId="2" fillId="0" borderId="1" xfId="0" applyNumberFormat="1" applyFont="1" applyBorder="1" applyAlignment="1">
      <alignment horizontal="right" wrapText="1"/>
    </xf>
    <xf numFmtId="0" fontId="2" fillId="0" borderId="15" xfId="0" applyFont="1" applyBorder="1" applyAlignment="1">
      <alignment horizontal="center" wrapText="1"/>
    </xf>
    <xf numFmtId="171" fontId="2" fillId="0" borderId="15" xfId="0" applyNumberFormat="1" applyFont="1" applyBorder="1" applyAlignment="1">
      <alignment horizontal="right" wrapText="1"/>
    </xf>
    <xf numFmtId="169" fontId="6" fillId="0" borderId="16" xfId="5" applyNumberFormat="1" applyFont="1" applyBorder="1" applyAlignment="1">
      <alignment horizontal="center" wrapText="1"/>
    </xf>
    <xf numFmtId="171" fontId="2" fillId="0" borderId="1" xfId="5" applyNumberFormat="1" applyFont="1" applyBorder="1" applyAlignment="1">
      <alignment horizontal="right" vertical="center" wrapText="1"/>
    </xf>
    <xf numFmtId="171" fontId="2" fillId="0" borderId="12" xfId="5" applyNumberFormat="1" applyFont="1" applyBorder="1" applyAlignment="1">
      <alignment horizontal="right" vertical="center" wrapText="1"/>
    </xf>
    <xf numFmtId="171" fontId="2" fillId="4" borderId="1" xfId="5" applyNumberFormat="1" applyFont="1" applyFill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73" fontId="2" fillId="0" borderId="1" xfId="8" applyNumberFormat="1" applyFont="1" applyFill="1" applyBorder="1" applyAlignment="1">
      <alignment horizontal="righ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right" vertical="center" wrapText="1"/>
    </xf>
    <xf numFmtId="171" fontId="2" fillId="0" borderId="19" xfId="5" applyNumberFormat="1" applyFont="1" applyBorder="1" applyAlignment="1">
      <alignment horizontal="right" vertical="center" wrapText="1"/>
    </xf>
    <xf numFmtId="169" fontId="6" fillId="0" borderId="7" xfId="5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71" fontId="2" fillId="0" borderId="19" xfId="5" applyNumberFormat="1" applyFont="1" applyBorder="1" applyAlignment="1">
      <alignment horizontal="right" wrapText="1"/>
    </xf>
    <xf numFmtId="171" fontId="6" fillId="0" borderId="16" xfId="5" applyNumberFormat="1" applyFont="1" applyBorder="1" applyAlignment="1">
      <alignment horizontal="center" wrapText="1"/>
    </xf>
    <xf numFmtId="10" fontId="2" fillId="0" borderId="1" xfId="0" applyNumberFormat="1" applyFont="1" applyBorder="1" applyAlignment="1">
      <alignment horizontal="center" vertical="center" wrapText="1"/>
    </xf>
    <xf numFmtId="171" fontId="2" fillId="0" borderId="1" xfId="0" applyNumberFormat="1" applyFont="1" applyBorder="1" applyAlignment="1">
      <alignment horizontal="center" vertical="center" wrapText="1"/>
    </xf>
    <xf numFmtId="169" fontId="6" fillId="0" borderId="7" xfId="5" applyNumberFormat="1" applyFont="1" applyBorder="1" applyAlignment="1">
      <alignment horizontal="center" wrapText="1"/>
    </xf>
    <xf numFmtId="169" fontId="6" fillId="0" borderId="7" xfId="5" applyNumberFormat="1" applyFont="1" applyFill="1" applyBorder="1" applyAlignment="1">
      <alignment horizontal="center" wrapText="1"/>
    </xf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171" fontId="3" fillId="0" borderId="1" xfId="8" applyNumberFormat="1" applyFont="1" applyFill="1" applyBorder="1" applyAlignment="1">
      <alignment horizontal="right" vertical="center" wrapText="1"/>
    </xf>
    <xf numFmtId="171" fontId="3" fillId="0" borderId="15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171" fontId="3" fillId="4" borderId="15" xfId="5" applyNumberFormat="1" applyFont="1" applyFill="1" applyBorder="1" applyAlignment="1">
      <alignment horizontal="right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72" fontId="3" fillId="0" borderId="1" xfId="5" applyNumberFormat="1" applyFont="1" applyBorder="1" applyAlignment="1">
      <alignment horizontal="right" vertical="center" wrapText="1"/>
    </xf>
    <xf numFmtId="0" fontId="3" fillId="0" borderId="21" xfId="0" applyFont="1" applyBorder="1" applyAlignment="1">
      <alignment horizontal="center" vertical="center" wrapText="1"/>
    </xf>
    <xf numFmtId="2" fontId="3" fillId="0" borderId="21" xfId="0" applyNumberFormat="1" applyFont="1" applyBorder="1" applyAlignment="1">
      <alignment horizontal="center" vertical="center" wrapText="1"/>
    </xf>
    <xf numFmtId="171" fontId="3" fillId="0" borderId="15" xfId="5" applyNumberFormat="1" applyFont="1" applyBorder="1" applyAlignment="1">
      <alignment horizontal="right" vertical="center" wrapText="1"/>
    </xf>
    <xf numFmtId="171" fontId="3" fillId="0" borderId="33" xfId="5" applyNumberFormat="1" applyFont="1" applyBorder="1" applyAlignment="1">
      <alignment horizontal="right" vertical="center" wrapText="1"/>
    </xf>
    <xf numFmtId="165" fontId="3" fillId="0" borderId="0" xfId="0" applyNumberFormat="1" applyFont="1"/>
    <xf numFmtId="171" fontId="3" fillId="0" borderId="1" xfId="0" applyNumberFormat="1" applyFont="1" applyBorder="1" applyAlignment="1">
      <alignment horizontal="right" vertical="center" wrapText="1"/>
    </xf>
    <xf numFmtId="171" fontId="3" fillId="0" borderId="1" xfId="5" applyNumberFormat="1" applyFont="1" applyBorder="1" applyAlignment="1">
      <alignment horizontal="right" wrapText="1" indent="2"/>
    </xf>
    <xf numFmtId="171" fontId="3" fillId="0" borderId="12" xfId="5" applyNumberFormat="1" applyFont="1" applyBorder="1" applyAlignment="1">
      <alignment horizontal="right" wrapText="1" indent="2"/>
    </xf>
    <xf numFmtId="171" fontId="3" fillId="0" borderId="1" xfId="0" applyNumberFormat="1" applyFont="1" applyBorder="1" applyAlignment="1">
      <alignment horizontal="right" wrapText="1" indent="2"/>
    </xf>
    <xf numFmtId="171" fontId="3" fillId="0" borderId="15" xfId="0" applyNumberFormat="1" applyFont="1" applyBorder="1" applyAlignment="1">
      <alignment horizontal="right" wrapText="1" indent="2"/>
    </xf>
    <xf numFmtId="172" fontId="3" fillId="0" borderId="1" xfId="5" applyNumberFormat="1" applyFont="1" applyBorder="1" applyAlignment="1">
      <alignment horizontal="right" wrapText="1"/>
    </xf>
    <xf numFmtId="172" fontId="3" fillId="0" borderId="12" xfId="5" applyNumberFormat="1" applyFont="1" applyBorder="1" applyAlignment="1">
      <alignment horizontal="right" wrapText="1"/>
    </xf>
    <xf numFmtId="172" fontId="3" fillId="0" borderId="1" xfId="0" applyNumberFormat="1" applyFont="1" applyBorder="1" applyAlignment="1">
      <alignment horizontal="right" wrapText="1"/>
    </xf>
    <xf numFmtId="172" fontId="3" fillId="0" borderId="15" xfId="0" applyNumberFormat="1" applyFont="1" applyBorder="1" applyAlignment="1">
      <alignment horizontal="right" wrapText="1"/>
    </xf>
    <xf numFmtId="172" fontId="3" fillId="0" borderId="12" xfId="5" applyNumberFormat="1" applyFont="1" applyBorder="1" applyAlignment="1">
      <alignment horizontal="right" vertical="center" wrapText="1"/>
    </xf>
    <xf numFmtId="172" fontId="3" fillId="0" borderId="1" xfId="0" applyNumberFormat="1" applyFont="1" applyBorder="1" applyAlignment="1">
      <alignment horizontal="right" vertical="center" wrapText="1"/>
    </xf>
    <xf numFmtId="172" fontId="3" fillId="0" borderId="15" xfId="0" applyNumberFormat="1" applyFont="1" applyBorder="1" applyAlignment="1">
      <alignment horizontal="right" vertical="center" wrapText="1"/>
    </xf>
    <xf numFmtId="172" fontId="3" fillId="0" borderId="19" xfId="5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2" fontId="3" fillId="0" borderId="19" xfId="5" applyNumberFormat="1" applyFont="1" applyBorder="1" applyAlignment="1">
      <alignment horizontal="right" wrapText="1"/>
    </xf>
    <xf numFmtId="169" fontId="4" fillId="0" borderId="0" xfId="5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3" fontId="10" fillId="0" borderId="1" xfId="13" applyNumberFormat="1" applyFont="1" applyBorder="1" applyAlignment="1">
      <alignment horizontal="center" vertical="center"/>
    </xf>
    <xf numFmtId="3" fontId="10" fillId="0" borderId="1" xfId="13" applyNumberFormat="1" applyFont="1" applyBorder="1" applyAlignment="1">
      <alignment horizontal="center"/>
    </xf>
    <xf numFmtId="4" fontId="10" fillId="0" borderId="21" xfId="13" applyNumberFormat="1" applyFont="1" applyBorder="1" applyAlignment="1">
      <alignment horizontal="center" vertical="center"/>
    </xf>
    <xf numFmtId="4" fontId="10" fillId="0" borderId="1" xfId="13" applyNumberFormat="1" applyFont="1" applyBorder="1" applyAlignment="1">
      <alignment horizontal="center"/>
    </xf>
    <xf numFmtId="4" fontId="10" fillId="0" borderId="21" xfId="13" applyNumberFormat="1" applyFont="1" applyBorder="1" applyAlignment="1">
      <alignment horizontal="center"/>
    </xf>
    <xf numFmtId="3" fontId="10" fillId="0" borderId="15" xfId="13" applyNumberFormat="1" applyFont="1" applyBorder="1" applyAlignment="1">
      <alignment horizontal="center"/>
    </xf>
    <xf numFmtId="4" fontId="10" fillId="0" borderId="15" xfId="13" applyNumberFormat="1" applyFont="1" applyBorder="1" applyAlignment="1">
      <alignment horizontal="center"/>
    </xf>
    <xf numFmtId="166" fontId="8" fillId="8" borderId="1" xfId="1" applyNumberFormat="1" applyFont="1" applyFill="1" applyBorder="1" applyAlignment="1">
      <alignment vertical="center" wrapText="1"/>
    </xf>
    <xf numFmtId="165" fontId="8" fillId="8" borderId="1" xfId="1" applyNumberFormat="1" applyFont="1" applyFill="1" applyBorder="1" applyAlignment="1">
      <alignment vertical="center" wrapText="1"/>
    </xf>
    <xf numFmtId="0" fontId="3" fillId="0" borderId="1" xfId="6" applyFont="1" applyBorder="1" applyAlignment="1">
      <alignment horizontal="center" vertical="center"/>
    </xf>
    <xf numFmtId="171" fontId="17" fillId="0" borderId="0" xfId="0" applyNumberFormat="1" applyFont="1"/>
    <xf numFmtId="164" fontId="10" fillId="0" borderId="1" xfId="1" applyNumberFormat="1" applyFont="1" applyFill="1" applyBorder="1" applyAlignment="1">
      <alignment horizontal="center" vertical="center"/>
    </xf>
    <xf numFmtId="171" fontId="10" fillId="0" borderId="1" xfId="5" applyNumberFormat="1" applyFont="1" applyFill="1" applyBorder="1" applyAlignment="1">
      <alignment horizontal="center" vertical="center"/>
    </xf>
    <xf numFmtId="171" fontId="10" fillId="0" borderId="1" xfId="5" applyNumberFormat="1" applyFont="1" applyBorder="1" applyAlignment="1">
      <alignment horizontal="right" vertical="center"/>
    </xf>
    <xf numFmtId="0" fontId="10" fillId="8" borderId="1" xfId="0" applyFont="1" applyFill="1" applyBorder="1" applyAlignment="1">
      <alignment horizontal="center" vertical="center"/>
    </xf>
    <xf numFmtId="171" fontId="10" fillId="8" borderId="1" xfId="0" applyNumberFormat="1" applyFont="1" applyFill="1" applyBorder="1" applyAlignment="1">
      <alignment horizontal="center" vertical="center"/>
    </xf>
    <xf numFmtId="171" fontId="10" fillId="0" borderId="1" xfId="0" applyNumberFormat="1" applyFont="1" applyBorder="1" applyAlignment="1">
      <alignment horizontal="center" vertical="center"/>
    </xf>
    <xf numFmtId="171" fontId="10" fillId="0" borderId="1" xfId="0" applyNumberFormat="1" applyFont="1" applyBorder="1" applyAlignment="1">
      <alignment horizontal="right" vertical="center"/>
    </xf>
    <xf numFmtId="165" fontId="8" fillId="8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2" fontId="8" fillId="8" borderId="1" xfId="0" applyNumberFormat="1" applyFont="1" applyFill="1" applyBorder="1" applyAlignment="1">
      <alignment horizontal="center" vertical="center"/>
    </xf>
    <xf numFmtId="171" fontId="8" fillId="8" borderId="1" xfId="0" applyNumberFormat="1" applyFont="1" applyFill="1" applyBorder="1" applyAlignment="1">
      <alignment horizontal="center" vertical="center"/>
    </xf>
    <xf numFmtId="171" fontId="8" fillId="8" borderId="1" xfId="0" applyNumberFormat="1" applyFont="1" applyFill="1" applyBorder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1" fontId="8" fillId="7" borderId="1" xfId="0" applyNumberFormat="1" applyFont="1" applyFill="1" applyBorder="1" applyAlignment="1">
      <alignment vertical="center"/>
    </xf>
    <xf numFmtId="171" fontId="10" fillId="0" borderId="1" xfId="5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171" fontId="3" fillId="0" borderId="19" xfId="5" applyNumberFormat="1" applyFont="1" applyBorder="1" applyAlignment="1">
      <alignment wrapText="1"/>
    </xf>
    <xf numFmtId="171" fontId="3" fillId="0" borderId="12" xfId="5" applyNumberFormat="1" applyFont="1" applyBorder="1" applyAlignment="1">
      <alignment vertical="center" wrapText="1"/>
    </xf>
    <xf numFmtId="171" fontId="3" fillId="0" borderId="19" xfId="5" applyNumberFormat="1" applyFont="1" applyBorder="1" applyAlignment="1">
      <alignment vertical="center" wrapText="1"/>
    </xf>
    <xf numFmtId="171" fontId="3" fillId="0" borderId="12" xfId="5" applyNumberFormat="1" applyFont="1" applyBorder="1" applyAlignment="1">
      <alignment wrapText="1"/>
    </xf>
    <xf numFmtId="165" fontId="3" fillId="0" borderId="1" xfId="1" applyNumberFormat="1" applyFont="1" applyFill="1" applyBorder="1" applyAlignment="1">
      <alignment horizontal="justify" vertical="center" wrapText="1"/>
    </xf>
    <xf numFmtId="0" fontId="3" fillId="0" borderId="33" xfId="0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/>
    </xf>
    <xf numFmtId="165" fontId="10" fillId="0" borderId="1" xfId="6" applyNumberFormat="1" applyFont="1" applyBorder="1" applyAlignment="1">
      <alignment horizontal="center"/>
    </xf>
    <xf numFmtId="4" fontId="10" fillId="0" borderId="15" xfId="6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15" xfId="0" applyNumberFormat="1" applyFont="1" applyBorder="1" applyAlignment="1">
      <alignment horizontal="center" vertical="center" wrapText="1"/>
    </xf>
    <xf numFmtId="172" fontId="3" fillId="0" borderId="15" xfId="5" applyNumberFormat="1" applyFont="1" applyBorder="1" applyAlignment="1">
      <alignment horizontal="right" vertical="center" wrapText="1"/>
    </xf>
    <xf numFmtId="171" fontId="4" fillId="0" borderId="16" xfId="5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vertical="center" wrapText="1"/>
    </xf>
    <xf numFmtId="0" fontId="8" fillId="3" borderId="1" xfId="12" applyFont="1" applyFill="1" applyBorder="1" applyAlignment="1">
      <alignment vertical="center"/>
    </xf>
    <xf numFmtId="0" fontId="15" fillId="9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6" fillId="9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left" vertical="center"/>
    </xf>
    <xf numFmtId="0" fontId="8" fillId="7" borderId="1" xfId="12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171" fontId="3" fillId="4" borderId="12" xfId="5" applyNumberFormat="1" applyFont="1" applyFill="1" applyBorder="1" applyAlignment="1">
      <alignment horizontal="right" wrapText="1"/>
    </xf>
    <xf numFmtId="171" fontId="3" fillId="0" borderId="12" xfId="5" applyNumberFormat="1" applyFont="1" applyBorder="1" applyAlignment="1">
      <alignment horizontal="center" vertical="center" wrapText="1"/>
    </xf>
    <xf numFmtId="171" fontId="3" fillId="0" borderId="0" xfId="5" applyNumberFormat="1" applyFont="1"/>
    <xf numFmtId="171" fontId="3" fillId="0" borderId="0" xfId="5" applyNumberFormat="1" applyFont="1" applyAlignment="1">
      <alignment horizontal="right"/>
    </xf>
    <xf numFmtId="171" fontId="4" fillId="0" borderId="7" xfId="5" applyNumberFormat="1" applyFont="1" applyBorder="1" applyAlignment="1">
      <alignment horizontal="right" vertical="center" wrapText="1"/>
    </xf>
    <xf numFmtId="171" fontId="4" fillId="0" borderId="7" xfId="5" applyNumberFormat="1" applyFont="1" applyBorder="1" applyAlignment="1">
      <alignment horizontal="right" wrapText="1"/>
    </xf>
    <xf numFmtId="171" fontId="4" fillId="0" borderId="7" xfId="5" applyNumberFormat="1" applyFont="1" applyFill="1" applyBorder="1" applyAlignment="1">
      <alignment horizontal="right" wrapText="1"/>
    </xf>
    <xf numFmtId="0" fontId="10" fillId="0" borderId="1" xfId="6" applyFont="1" applyBorder="1" applyAlignment="1">
      <alignment vertical="center" wrapText="1"/>
    </xf>
    <xf numFmtId="0" fontId="10" fillId="0" borderId="1" xfId="10" applyFont="1" applyBorder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2" fontId="10" fillId="0" borderId="1" xfId="10" applyNumberFormat="1" applyFont="1" applyBorder="1" applyAlignment="1">
      <alignment vertical="center"/>
    </xf>
    <xf numFmtId="0" fontId="10" fillId="0" borderId="1" xfId="6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2" fontId="10" fillId="0" borderId="1" xfId="6" applyNumberFormat="1" applyFont="1" applyBorder="1" applyAlignment="1">
      <alignment horizontal="center" vertical="center"/>
    </xf>
    <xf numFmtId="165" fontId="10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vertical="center"/>
    </xf>
    <xf numFmtId="17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1" fontId="3" fillId="0" borderId="1" xfId="0" applyNumberFormat="1" applyFont="1" applyBorder="1" applyAlignment="1">
      <alignment horizontal="center" vertical="center"/>
    </xf>
    <xf numFmtId="171" fontId="17" fillId="0" borderId="1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71" fontId="18" fillId="6" borderId="1" xfId="14" applyNumberFormat="1" applyFont="1" applyFill="1" applyBorder="1" applyAlignment="1">
      <alignment horizontal="center" vertical="center" wrapText="1"/>
    </xf>
    <xf numFmtId="171" fontId="17" fillId="0" borderId="1" xfId="0" applyNumberFormat="1" applyFont="1" applyBorder="1" applyAlignment="1">
      <alignment horizontal="center"/>
    </xf>
    <xf numFmtId="171" fontId="3" fillId="0" borderId="1" xfId="0" applyNumberFormat="1" applyFont="1" applyBorder="1" applyAlignment="1">
      <alignment horizontal="center"/>
    </xf>
    <xf numFmtId="171" fontId="17" fillId="0" borderId="0" xfId="0" applyNumberFormat="1" applyFont="1" applyAlignment="1">
      <alignment horizontal="center" vertical="center"/>
    </xf>
    <xf numFmtId="44" fontId="3" fillId="0" borderId="0" xfId="0" applyNumberFormat="1" applyFont="1"/>
    <xf numFmtId="171" fontId="17" fillId="0" borderId="1" xfId="8" applyNumberFormat="1" applyFont="1" applyBorder="1" applyAlignment="1">
      <alignment horizont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3" fillId="0" borderId="42" xfId="0" applyFont="1" applyBorder="1"/>
    <xf numFmtId="0" fontId="3" fillId="0" borderId="28" xfId="0" applyFont="1" applyBorder="1"/>
    <xf numFmtId="0" fontId="3" fillId="0" borderId="46" xfId="0" applyFont="1" applyBorder="1"/>
    <xf numFmtId="165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8" borderId="3" xfId="0" applyFont="1" applyFill="1" applyBorder="1" applyAlignment="1">
      <alignment vertical="center" wrapText="1"/>
    </xf>
    <xf numFmtId="165" fontId="8" fillId="8" borderId="3" xfId="1" applyNumberFormat="1" applyFont="1" applyFill="1" applyBorder="1" applyAlignment="1">
      <alignment vertical="center" wrapText="1"/>
    </xf>
    <xf numFmtId="166" fontId="8" fillId="8" borderId="3" xfId="1" applyNumberFormat="1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vertical="center"/>
    </xf>
    <xf numFmtId="0" fontId="8" fillId="8" borderId="4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/>
    </xf>
    <xf numFmtId="165" fontId="8" fillId="8" borderId="4" xfId="1" applyNumberFormat="1" applyFont="1" applyFill="1" applyBorder="1" applyAlignment="1">
      <alignment vertical="center" wrapText="1"/>
    </xf>
    <xf numFmtId="165" fontId="8" fillId="8" borderId="5" xfId="1" applyNumberFormat="1" applyFont="1" applyFill="1" applyBorder="1" applyAlignment="1">
      <alignment vertical="center" wrapText="1"/>
    </xf>
    <xf numFmtId="166" fontId="8" fillId="8" borderId="4" xfId="1" applyNumberFormat="1" applyFont="1" applyFill="1" applyBorder="1" applyAlignment="1">
      <alignment vertical="center" wrapText="1"/>
    </xf>
    <xf numFmtId="166" fontId="8" fillId="8" borderId="5" xfId="1" applyNumberFormat="1" applyFont="1" applyFill="1" applyBorder="1" applyAlignment="1">
      <alignment vertical="center" wrapText="1"/>
    </xf>
    <xf numFmtId="0" fontId="8" fillId="8" borderId="4" xfId="0" applyFont="1" applyFill="1" applyBorder="1" applyAlignment="1">
      <alignment vertical="center" wrapText="1"/>
    </xf>
    <xf numFmtId="0" fontId="8" fillId="8" borderId="5" xfId="0" applyFont="1" applyFill="1" applyBorder="1" applyAlignment="1">
      <alignment vertical="center" wrapText="1"/>
    </xf>
    <xf numFmtId="166" fontId="10" fillId="0" borderId="3" xfId="1" applyNumberFormat="1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11" borderId="1" xfId="0" applyFont="1" applyFill="1" applyBorder="1"/>
    <xf numFmtId="0" fontId="19" fillId="0" borderId="0" xfId="0" applyFont="1"/>
    <xf numFmtId="0" fontId="0" fillId="0" borderId="0" xfId="0" applyAlignment="1">
      <alignment horizontal="center"/>
    </xf>
    <xf numFmtId="0" fontId="4" fillId="8" borderId="1" xfId="0" applyFont="1" applyFill="1" applyBorder="1" applyAlignment="1">
      <alignment vertical="center" wrapText="1"/>
    </xf>
    <xf numFmtId="0" fontId="21" fillId="8" borderId="1" xfId="0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/>
    </xf>
    <xf numFmtId="171" fontId="3" fillId="0" borderId="1" xfId="5" applyNumberFormat="1" applyFont="1" applyFill="1" applyBorder="1" applyAlignment="1">
      <alignment horizontal="center" vertical="center"/>
    </xf>
    <xf numFmtId="171" fontId="3" fillId="0" borderId="1" xfId="5" applyNumberFormat="1" applyFont="1" applyBorder="1" applyAlignment="1">
      <alignment horizontal="right" vertical="center"/>
    </xf>
    <xf numFmtId="0" fontId="3" fillId="8" borderId="1" xfId="0" applyFont="1" applyFill="1" applyBorder="1" applyAlignment="1">
      <alignment horizontal="center" vertical="center"/>
    </xf>
    <xf numFmtId="171" fontId="3" fillId="8" borderId="1" xfId="0" applyNumberFormat="1" applyFont="1" applyFill="1" applyBorder="1" applyAlignment="1">
      <alignment horizontal="center" vertical="center"/>
    </xf>
    <xf numFmtId="171" fontId="3" fillId="0" borderId="1" xfId="0" applyNumberFormat="1" applyFont="1" applyBorder="1" applyAlignment="1">
      <alignment horizontal="right" vertical="center"/>
    </xf>
    <xf numFmtId="165" fontId="4" fillId="8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vertical="center"/>
    </xf>
    <xf numFmtId="0" fontId="21" fillId="8" borderId="1" xfId="0" applyFont="1" applyFill="1" applyBorder="1" applyAlignment="1">
      <alignment vertical="center"/>
    </xf>
    <xf numFmtId="165" fontId="4" fillId="8" borderId="1" xfId="1" applyNumberFormat="1" applyFont="1" applyFill="1" applyBorder="1" applyAlignment="1">
      <alignment vertical="center" wrapText="1"/>
    </xf>
    <xf numFmtId="165" fontId="21" fillId="8" borderId="1" xfId="1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wrapText="1"/>
    </xf>
    <xf numFmtId="166" fontId="4" fillId="8" borderId="1" xfId="1" applyNumberFormat="1" applyFont="1" applyFill="1" applyBorder="1" applyAlignment="1">
      <alignment vertical="center" wrapText="1"/>
    </xf>
    <xf numFmtId="166" fontId="21" fillId="8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left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2" fontId="4" fillId="8" borderId="1" xfId="0" applyNumberFormat="1" applyFont="1" applyFill="1" applyBorder="1" applyAlignment="1">
      <alignment horizontal="center" vertical="center"/>
    </xf>
    <xf numFmtId="171" fontId="4" fillId="8" borderId="1" xfId="0" applyNumberFormat="1" applyFont="1" applyFill="1" applyBorder="1" applyAlignment="1">
      <alignment horizontal="center" vertical="center"/>
    </xf>
    <xf numFmtId="171" fontId="4" fillId="8" borderId="1" xfId="0" applyNumberFormat="1" applyFont="1" applyFill="1" applyBorder="1" applyAlignment="1">
      <alignment horizontal="right" vertical="center"/>
    </xf>
    <xf numFmtId="0" fontId="4" fillId="9" borderId="1" xfId="12" applyFont="1" applyFill="1" applyBorder="1" applyAlignment="1">
      <alignment horizontal="center" vertical="center"/>
    </xf>
    <xf numFmtId="2" fontId="4" fillId="9" borderId="1" xfId="12" applyNumberFormat="1" applyFont="1" applyFill="1" applyBorder="1" applyAlignment="1">
      <alignment horizontal="center" vertical="center"/>
    </xf>
    <xf numFmtId="0" fontId="3" fillId="9" borderId="1" xfId="12" applyFont="1" applyFill="1" applyBorder="1" applyAlignment="1">
      <alignment vertical="center"/>
    </xf>
    <xf numFmtId="0" fontId="4" fillId="3" borderId="1" xfId="12" applyFont="1" applyFill="1" applyBorder="1" applyAlignment="1">
      <alignment horizontal="center" vertical="center"/>
    </xf>
    <xf numFmtId="2" fontId="4" fillId="3" borderId="1" xfId="12" applyNumberFormat="1" applyFont="1" applyFill="1" applyBorder="1" applyAlignment="1">
      <alignment horizontal="center" vertical="center"/>
    </xf>
    <xf numFmtId="0" fontId="3" fillId="3" borderId="1" xfId="12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horizontal="center"/>
    </xf>
    <xf numFmtId="165" fontId="4" fillId="3" borderId="1" xfId="12" applyNumberFormat="1" applyFont="1" applyFill="1" applyBorder="1" applyAlignment="1">
      <alignment horizontal="center" vertical="center"/>
    </xf>
    <xf numFmtId="0" fontId="10" fillId="3" borderId="1" xfId="12" applyFont="1" applyFill="1" applyBorder="1" applyAlignment="1">
      <alignment horizontal="center" vertical="center"/>
    </xf>
    <xf numFmtId="165" fontId="4" fillId="9" borderId="1" xfId="12" applyNumberFormat="1" applyFont="1" applyFill="1" applyBorder="1" applyAlignment="1">
      <alignment horizontal="center" vertical="center"/>
    </xf>
    <xf numFmtId="2" fontId="3" fillId="3" borderId="1" xfId="12" applyNumberFormat="1" applyFont="1" applyFill="1" applyBorder="1" applyAlignment="1">
      <alignment horizontal="center" vertical="center"/>
    </xf>
    <xf numFmtId="0" fontId="3" fillId="3" borderId="1" xfId="12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21" fillId="9" borderId="1" xfId="12" applyFont="1" applyFill="1" applyBorder="1" applyAlignment="1">
      <alignment horizontal="center" vertical="center"/>
    </xf>
    <xf numFmtId="2" fontId="21" fillId="9" borderId="1" xfId="12" applyNumberFormat="1" applyFont="1" applyFill="1" applyBorder="1" applyAlignment="1">
      <alignment horizontal="center" vertical="center"/>
    </xf>
    <xf numFmtId="0" fontId="17" fillId="9" borderId="1" xfId="12" applyFont="1" applyFill="1" applyBorder="1" applyAlignment="1">
      <alignment vertical="center"/>
    </xf>
    <xf numFmtId="2" fontId="8" fillId="3" borderId="1" xfId="0" applyNumberFormat="1" applyFont="1" applyFill="1" applyBorder="1" applyAlignment="1">
      <alignment horizontal="center"/>
    </xf>
    <xf numFmtId="0" fontId="10" fillId="3" borderId="1" xfId="0" applyFont="1" applyFill="1" applyBorder="1"/>
    <xf numFmtId="0" fontId="17" fillId="9" borderId="1" xfId="12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71" fontId="4" fillId="8" borderId="12" xfId="5" applyNumberFormat="1" applyFont="1" applyFill="1" applyBorder="1" applyAlignment="1">
      <alignment horizontal="right" vertical="center"/>
    </xf>
    <xf numFmtId="164" fontId="10" fillId="0" borderId="17" xfId="1" applyNumberFormat="1" applyFont="1" applyFill="1" applyBorder="1" applyAlignment="1">
      <alignment horizontal="center" vertical="center"/>
    </xf>
    <xf numFmtId="171" fontId="10" fillId="0" borderId="12" xfId="5" applyNumberFormat="1" applyFont="1" applyBorder="1" applyAlignment="1">
      <alignment horizontal="right" vertical="center"/>
    </xf>
    <xf numFmtId="165" fontId="8" fillId="8" borderId="17" xfId="0" applyNumberFormat="1" applyFont="1" applyFill="1" applyBorder="1" applyAlignment="1">
      <alignment horizontal="center" vertical="center"/>
    </xf>
    <xf numFmtId="171" fontId="8" fillId="8" borderId="12" xfId="5" applyNumberFormat="1" applyFont="1" applyFill="1" applyBorder="1" applyAlignment="1">
      <alignment horizontal="right" vertical="center"/>
    </xf>
    <xf numFmtId="165" fontId="10" fillId="0" borderId="17" xfId="0" applyNumberFormat="1" applyFont="1" applyBorder="1" applyAlignment="1">
      <alignment horizontal="center" vertical="center"/>
    </xf>
    <xf numFmtId="166" fontId="3" fillId="0" borderId="3" xfId="1" applyNumberFormat="1" applyFont="1" applyFill="1" applyBorder="1" applyAlignment="1">
      <alignment horizontal="center" vertical="center" wrapText="1"/>
    </xf>
    <xf numFmtId="171" fontId="10" fillId="0" borderId="12" xfId="0" applyNumberFormat="1" applyFont="1" applyBorder="1" applyAlignment="1">
      <alignment horizontal="right" vertical="center"/>
    </xf>
    <xf numFmtId="166" fontId="4" fillId="8" borderId="3" xfId="1" applyNumberFormat="1" applyFont="1" applyFill="1" applyBorder="1" applyAlignment="1">
      <alignment horizontal="center" vertical="center" wrapText="1"/>
    </xf>
    <xf numFmtId="171" fontId="4" fillId="8" borderId="12" xfId="0" applyNumberFormat="1" applyFont="1" applyFill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/>
    </xf>
    <xf numFmtId="165" fontId="15" fillId="3" borderId="1" xfId="12" applyNumberFormat="1" applyFont="1" applyFill="1" applyBorder="1" applyAlignment="1">
      <alignment horizontal="center" vertical="center"/>
    </xf>
    <xf numFmtId="2" fontId="15" fillId="3" borderId="1" xfId="12" applyNumberFormat="1" applyFont="1" applyFill="1" applyBorder="1" applyAlignment="1">
      <alignment horizontal="center" vertical="center"/>
    </xf>
    <xf numFmtId="2" fontId="16" fillId="9" borderId="1" xfId="12" applyNumberFormat="1" applyFont="1" applyFill="1" applyBorder="1" applyAlignment="1">
      <alignment horizontal="center" vertical="center"/>
    </xf>
    <xf numFmtId="0" fontId="4" fillId="3" borderId="1" xfId="12" applyFont="1" applyFill="1" applyBorder="1" applyAlignment="1">
      <alignment vertical="center" wrapText="1"/>
    </xf>
    <xf numFmtId="0" fontId="8" fillId="3" borderId="1" xfId="12" applyFont="1" applyFill="1" applyBorder="1" applyAlignment="1">
      <alignment vertical="center" wrapText="1"/>
    </xf>
    <xf numFmtId="0" fontId="15" fillId="9" borderId="1" xfId="12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wrapText="1"/>
    </xf>
    <xf numFmtId="0" fontId="3" fillId="0" borderId="28" xfId="0" applyFont="1" applyBorder="1" applyAlignment="1">
      <alignment horizontal="left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42" fontId="9" fillId="6" borderId="1" xfId="5" applyFont="1" applyFill="1" applyBorder="1"/>
    <xf numFmtId="42" fontId="9" fillId="11" borderId="1" xfId="5" applyFont="1" applyFill="1" applyBorder="1"/>
    <xf numFmtId="171" fontId="3" fillId="0" borderId="47" xfId="5" applyNumberFormat="1" applyFont="1" applyBorder="1" applyAlignment="1">
      <alignment horizontal="right" wrapText="1"/>
    </xf>
    <xf numFmtId="44" fontId="0" fillId="0" borderId="0" xfId="8" applyFont="1"/>
    <xf numFmtId="44" fontId="3" fillId="4" borderId="1" xfId="8" applyFont="1" applyFill="1" applyBorder="1" applyAlignment="1">
      <alignment horizontal="center" wrapText="1"/>
    </xf>
    <xf numFmtId="171" fontId="24" fillId="0" borderId="12" xfId="4" applyNumberFormat="1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171" fontId="23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vertical="center"/>
    </xf>
    <xf numFmtId="2" fontId="3" fillId="0" borderId="48" xfId="0" applyNumberFormat="1" applyFont="1" applyBorder="1" applyAlignment="1">
      <alignment horizontal="center"/>
    </xf>
    <xf numFmtId="44" fontId="3" fillId="0" borderId="48" xfId="0" applyNumberFormat="1" applyFont="1" applyBorder="1" applyAlignment="1">
      <alignment horizontal="center"/>
    </xf>
    <xf numFmtId="171" fontId="3" fillId="0" borderId="0" xfId="8" applyNumberFormat="1" applyFont="1" applyAlignment="1">
      <alignment horizontal="center"/>
    </xf>
    <xf numFmtId="171" fontId="3" fillId="0" borderId="48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2" fontId="0" fillId="0" borderId="0" xfId="0" applyNumberFormat="1"/>
    <xf numFmtId="171" fontId="0" fillId="0" borderId="0" xfId="0" applyNumberFormat="1"/>
    <xf numFmtId="171" fontId="0" fillId="0" borderId="0" xfId="8" applyNumberFormat="1" applyFont="1" applyAlignment="1">
      <alignment horizontal="right"/>
    </xf>
    <xf numFmtId="169" fontId="0" fillId="0" borderId="0" xfId="5" applyNumberFormat="1" applyFont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42" fontId="3" fillId="8" borderId="1" xfId="5" applyFont="1" applyFill="1" applyBorder="1" applyAlignment="1">
      <alignment horizontal="center"/>
    </xf>
    <xf numFmtId="171" fontId="8" fillId="8" borderId="1" xfId="5" applyNumberFormat="1" applyFont="1" applyFill="1" applyBorder="1" applyAlignment="1">
      <alignment horizontal="right"/>
    </xf>
    <xf numFmtId="9" fontId="3" fillId="12" borderId="1" xfId="3" applyFont="1" applyFill="1" applyBorder="1" applyAlignment="1">
      <alignment horizontal="center"/>
    </xf>
    <xf numFmtId="171" fontId="10" fillId="12" borderId="1" xfId="5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171" fontId="3" fillId="13" borderId="1" xfId="5" applyNumberFormat="1" applyFont="1" applyFill="1" applyBorder="1" applyAlignment="1">
      <alignment horizontal="center" vertical="center"/>
    </xf>
    <xf numFmtId="171" fontId="8" fillId="13" borderId="1" xfId="5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171" fontId="4" fillId="7" borderId="42" xfId="5" applyNumberFormat="1" applyFont="1" applyFill="1" applyBorder="1" applyAlignment="1">
      <alignment horizontal="right" vertical="center"/>
    </xf>
    <xf numFmtId="171" fontId="3" fillId="0" borderId="12" xfId="4" applyNumberFormat="1" applyFont="1" applyFill="1" applyBorder="1" applyAlignment="1">
      <alignment vertical="center"/>
    </xf>
    <xf numFmtId="171" fontId="23" fillId="0" borderId="1" xfId="4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71" fontId="3" fillId="0" borderId="1" xfId="0" applyNumberFormat="1" applyFont="1" applyBorder="1"/>
    <xf numFmtId="2" fontId="3" fillId="0" borderId="0" xfId="0" applyNumberFormat="1" applyFont="1" applyAlignment="1">
      <alignment vertical="center"/>
    </xf>
    <xf numFmtId="0" fontId="3" fillId="10" borderId="0" xfId="0" applyFont="1" applyFill="1"/>
    <xf numFmtId="171" fontId="10" fillId="4" borderId="1" xfId="4" applyNumberFormat="1" applyFont="1" applyFill="1" applyBorder="1" applyAlignment="1">
      <alignment horizontal="right" vertical="center"/>
    </xf>
    <xf numFmtId="171" fontId="17" fillId="0" borderId="1" xfId="8" applyNumberFormat="1" applyFont="1" applyBorder="1"/>
    <xf numFmtId="0" fontId="3" fillId="0" borderId="5" xfId="0" applyFont="1" applyBorder="1"/>
    <xf numFmtId="0" fontId="8" fillId="9" borderId="1" xfId="12" applyFont="1" applyFill="1" applyBorder="1" applyAlignment="1">
      <alignment vertical="center" wrapText="1"/>
    </xf>
    <xf numFmtId="0" fontId="10" fillId="0" borderId="1" xfId="12" applyFont="1" applyBorder="1" applyAlignment="1">
      <alignment vertical="center"/>
    </xf>
    <xf numFmtId="2" fontId="10" fillId="0" borderId="1" xfId="12" applyNumberFormat="1" applyFont="1" applyBorder="1" applyAlignment="1">
      <alignment horizontal="center" vertical="center"/>
    </xf>
    <xf numFmtId="0" fontId="8" fillId="3" borderId="1" xfId="12" applyFont="1" applyFill="1" applyBorder="1" applyAlignment="1">
      <alignment horizontal="center" vertical="center" wrapText="1"/>
    </xf>
    <xf numFmtId="165" fontId="10" fillId="0" borderId="1" xfId="12" applyNumberFormat="1" applyFont="1" applyBorder="1" applyAlignment="1">
      <alignment horizontal="center" vertical="center"/>
    </xf>
    <xf numFmtId="171" fontId="27" fillId="0" borderId="1" xfId="0" applyNumberFormat="1" applyFont="1" applyBorder="1" applyAlignment="1">
      <alignment horizontal="center" vertical="center"/>
    </xf>
    <xf numFmtId="171" fontId="27" fillId="0" borderId="1" xfId="0" applyNumberFormat="1" applyFont="1" applyBorder="1" applyAlignment="1">
      <alignment horizontal="center"/>
    </xf>
    <xf numFmtId="171" fontId="27" fillId="10" borderId="1" xfId="0" applyNumberFormat="1" applyFont="1" applyFill="1" applyBorder="1" applyAlignment="1">
      <alignment horizontal="center"/>
    </xf>
    <xf numFmtId="171" fontId="27" fillId="10" borderId="1" xfId="0" applyNumberFormat="1" applyFont="1" applyFill="1" applyBorder="1" applyAlignment="1">
      <alignment horizontal="center" vertical="center"/>
    </xf>
    <xf numFmtId="171" fontId="8" fillId="0" borderId="1" xfId="5" applyNumberFormat="1" applyFont="1" applyFill="1" applyBorder="1" applyAlignment="1">
      <alignment horizontal="right" vertical="center"/>
    </xf>
    <xf numFmtId="0" fontId="10" fillId="0" borderId="1" xfId="12" applyFont="1" applyBorder="1" applyAlignment="1">
      <alignment horizontal="left" vertical="center" wrapText="1"/>
    </xf>
    <xf numFmtId="0" fontId="3" fillId="0" borderId="1" xfId="12" applyFont="1" applyBorder="1" applyAlignment="1">
      <alignment vertical="center" wrapText="1"/>
    </xf>
    <xf numFmtId="0" fontId="3" fillId="0" borderId="1" xfId="12" applyFont="1" applyBorder="1" applyAlignment="1">
      <alignment horizontal="center" vertical="center"/>
    </xf>
    <xf numFmtId="2" fontId="3" fillId="0" borderId="1" xfId="12" applyNumberFormat="1" applyFont="1" applyBorder="1" applyAlignment="1">
      <alignment horizontal="center" vertical="center"/>
    </xf>
    <xf numFmtId="0" fontId="3" fillId="0" borderId="1" xfId="12" applyFont="1" applyBorder="1" applyAlignment="1">
      <alignment vertical="center"/>
    </xf>
    <xf numFmtId="0" fontId="4" fillId="0" borderId="1" xfId="12" applyFont="1" applyBorder="1" applyAlignment="1">
      <alignment horizontal="center" vertical="center"/>
    </xf>
    <xf numFmtId="2" fontId="4" fillId="0" borderId="1" xfId="12" applyNumberFormat="1" applyFont="1" applyBorder="1" applyAlignment="1">
      <alignment horizontal="center" vertical="center"/>
    </xf>
    <xf numFmtId="165" fontId="3" fillId="0" borderId="1" xfId="12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1" xfId="12" applyFont="1" applyBorder="1" applyAlignment="1">
      <alignment vertical="center" wrapText="1"/>
    </xf>
    <xf numFmtId="165" fontId="4" fillId="0" borderId="1" xfId="12" applyNumberFormat="1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2" fontId="10" fillId="0" borderId="1" xfId="12" applyNumberFormat="1" applyFont="1" applyBorder="1" applyAlignment="1">
      <alignment vertical="center"/>
    </xf>
    <xf numFmtId="165" fontId="16" fillId="0" borderId="1" xfId="12" applyNumberFormat="1" applyFont="1" applyBorder="1" applyAlignment="1">
      <alignment horizontal="center" vertical="center"/>
    </xf>
    <xf numFmtId="2" fontId="16" fillId="0" borderId="1" xfId="12" applyNumberFormat="1" applyFont="1" applyBorder="1" applyAlignment="1">
      <alignment horizontal="center" vertical="center"/>
    </xf>
    <xf numFmtId="2" fontId="10" fillId="0" borderId="1" xfId="1" applyNumberFormat="1" applyFont="1" applyFill="1" applyBorder="1" applyAlignment="1">
      <alignment horizontal="center" vertical="center" wrapText="1"/>
    </xf>
    <xf numFmtId="171" fontId="8" fillId="7" borderId="1" xfId="5" applyNumberFormat="1" applyFont="1" applyFill="1" applyBorder="1" applyAlignment="1">
      <alignment horizontal="right" vertical="center"/>
    </xf>
    <xf numFmtId="0" fontId="8" fillId="0" borderId="0" xfId="12" applyFon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5" xfId="0" applyFont="1" applyBorder="1"/>
    <xf numFmtId="0" fontId="10" fillId="0" borderId="15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wrapText="1"/>
    </xf>
    <xf numFmtId="171" fontId="10" fillId="0" borderId="1" xfId="5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2" fontId="10" fillId="0" borderId="4" xfId="0" applyNumberFormat="1" applyFont="1" applyBorder="1" applyAlignment="1">
      <alignment horizontal="center" vertical="center"/>
    </xf>
    <xf numFmtId="171" fontId="10" fillId="0" borderId="4" xfId="0" applyNumberFormat="1" applyFont="1" applyBorder="1" applyAlignment="1">
      <alignment horizontal="center" vertical="center"/>
    </xf>
    <xf numFmtId="171" fontId="10" fillId="0" borderId="4" xfId="0" applyNumberFormat="1" applyFont="1" applyBorder="1" applyAlignment="1">
      <alignment horizontal="right" vertical="center"/>
    </xf>
    <xf numFmtId="0" fontId="10" fillId="11" borderId="4" xfId="0" applyFont="1" applyFill="1" applyBorder="1" applyAlignment="1">
      <alignment horizontal="center" vertical="center"/>
    </xf>
    <xf numFmtId="2" fontId="10" fillId="11" borderId="4" xfId="0" applyNumberFormat="1" applyFont="1" applyFill="1" applyBorder="1" applyAlignment="1">
      <alignment horizontal="center" vertical="center"/>
    </xf>
    <xf numFmtId="171" fontId="10" fillId="11" borderId="4" xfId="0" applyNumberFormat="1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66" fontId="4" fillId="8" borderId="1" xfId="1" applyNumberFormat="1" applyFont="1" applyFill="1" applyBorder="1" applyAlignment="1">
      <alignment horizontal="center" vertical="center" wrapText="1"/>
    </xf>
    <xf numFmtId="0" fontId="8" fillId="7" borderId="0" xfId="12" applyFont="1" applyFill="1" applyAlignment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9" borderId="1" xfId="12" applyFont="1" applyFill="1" applyBorder="1" applyAlignment="1">
      <alignment horizontal="center" vertical="center"/>
    </xf>
    <xf numFmtId="49" fontId="8" fillId="11" borderId="1" xfId="0" applyNumberFormat="1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2" applyFont="1" applyAlignment="1">
      <alignment horizontal="center" vertical="center"/>
    </xf>
    <xf numFmtId="2" fontId="10" fillId="0" borderId="0" xfId="12" applyNumberFormat="1" applyFont="1" applyAlignment="1">
      <alignment horizontal="center" vertical="center"/>
    </xf>
    <xf numFmtId="2" fontId="17" fillId="0" borderId="0" xfId="0" applyNumberFormat="1" applyFont="1"/>
    <xf numFmtId="4" fontId="3" fillId="0" borderId="0" xfId="0" applyNumberFormat="1" applyFont="1"/>
    <xf numFmtId="171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71" fontId="3" fillId="0" borderId="0" xfId="0" applyNumberFormat="1" applyFont="1" applyAlignment="1">
      <alignment vertical="center"/>
    </xf>
    <xf numFmtId="171" fontId="3" fillId="0" borderId="0" xfId="8" applyNumberFormat="1" applyFont="1" applyAlignment="1">
      <alignment vertical="center"/>
    </xf>
    <xf numFmtId="0" fontId="29" fillId="16" borderId="34" xfId="0" applyFont="1" applyFill="1" applyBorder="1" applyAlignment="1">
      <alignment horizontal="center" vertical="center" wrapText="1"/>
    </xf>
    <xf numFmtId="0" fontId="29" fillId="16" borderId="38" xfId="0" applyFont="1" applyFill="1" applyBorder="1" applyAlignment="1">
      <alignment vertical="center" wrapText="1"/>
    </xf>
    <xf numFmtId="0" fontId="29" fillId="16" borderId="33" xfId="0" applyFont="1" applyFill="1" applyBorder="1" applyAlignment="1">
      <alignment horizontal="center" vertical="center" wrapText="1"/>
    </xf>
    <xf numFmtId="0" fontId="29" fillId="16" borderId="55" xfId="0" applyFont="1" applyFill="1" applyBorder="1" applyAlignment="1">
      <alignment horizontal="center" vertical="center" wrapText="1"/>
    </xf>
    <xf numFmtId="0" fontId="29" fillId="14" borderId="56" xfId="0" applyFont="1" applyFill="1" applyBorder="1" applyAlignment="1">
      <alignment horizontal="center" vertical="center" wrapText="1"/>
    </xf>
    <xf numFmtId="0" fontId="29" fillId="14" borderId="57" xfId="0" applyFont="1" applyFill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2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44" fontId="30" fillId="0" borderId="1" xfId="0" applyNumberFormat="1" applyFont="1" applyBorder="1" applyAlignment="1">
      <alignment horizontal="center" vertical="center" wrapText="1"/>
    </xf>
    <xf numFmtId="2" fontId="30" fillId="0" borderId="1" xfId="0" applyNumberFormat="1" applyFont="1" applyBorder="1" applyAlignment="1">
      <alignment horizontal="center" vertical="center" wrapText="1"/>
    </xf>
    <xf numFmtId="44" fontId="30" fillId="0" borderId="12" xfId="0" applyNumberFormat="1" applyFont="1" applyBorder="1" applyAlignment="1">
      <alignment horizontal="center" vertical="center" wrapText="1"/>
    </xf>
    <xf numFmtId="0" fontId="30" fillId="14" borderId="17" xfId="0" applyFont="1" applyFill="1" applyBorder="1" applyAlignment="1">
      <alignment horizontal="center" vertical="center" wrapText="1"/>
    </xf>
    <xf numFmtId="0" fontId="30" fillId="14" borderId="5" xfId="0" applyFont="1" applyFill="1" applyBorder="1" applyAlignment="1">
      <alignment horizontal="justify" vertical="center" wrapText="1"/>
    </xf>
    <xf numFmtId="44" fontId="30" fillId="14" borderId="12" xfId="0" applyNumberFormat="1" applyFont="1" applyFill="1" applyBorder="1" applyAlignment="1">
      <alignment horizontal="center" vertical="center" wrapText="1"/>
    </xf>
    <xf numFmtId="0" fontId="29" fillId="14" borderId="39" xfId="0" applyFont="1" applyFill="1" applyBorder="1" applyAlignment="1">
      <alignment horizontal="center" vertical="center" wrapText="1"/>
    </xf>
    <xf numFmtId="44" fontId="29" fillId="14" borderId="56" xfId="0" applyNumberFormat="1" applyFont="1" applyFill="1" applyBorder="1" applyAlignment="1">
      <alignment horizontal="center" vertical="center" wrapText="1"/>
    </xf>
    <xf numFmtId="44" fontId="31" fillId="16" borderId="48" xfId="0" applyNumberFormat="1" applyFont="1" applyFill="1" applyBorder="1" applyAlignment="1">
      <alignment horizontal="center" vertical="center" wrapText="1"/>
    </xf>
    <xf numFmtId="0" fontId="29" fillId="14" borderId="41" xfId="0" applyFont="1" applyFill="1" applyBorder="1" applyAlignment="1">
      <alignment horizontal="center" vertical="center" wrapText="1"/>
    </xf>
    <xf numFmtId="0" fontId="29" fillId="14" borderId="0" xfId="0" applyFont="1" applyFill="1" applyAlignment="1">
      <alignment horizontal="center" vertical="center" wrapText="1"/>
    </xf>
    <xf numFmtId="0" fontId="32" fillId="14" borderId="0" xfId="0" applyFont="1" applyFill="1" applyAlignment="1">
      <alignment horizontal="center" vertical="center" wrapText="1"/>
    </xf>
    <xf numFmtId="0" fontId="29" fillId="17" borderId="39" xfId="0" applyFont="1" applyFill="1" applyBorder="1" applyAlignment="1">
      <alignment horizontal="center" vertical="center" wrapText="1"/>
    </xf>
    <xf numFmtId="0" fontId="29" fillId="14" borderId="23" xfId="0" applyFont="1" applyFill="1" applyBorder="1" applyAlignment="1">
      <alignment horizontal="center" vertical="center" wrapText="1"/>
    </xf>
    <xf numFmtId="0" fontId="29" fillId="14" borderId="48" xfId="0" applyFont="1" applyFill="1" applyBorder="1" applyAlignment="1">
      <alignment horizontal="center" vertical="center" wrapText="1"/>
    </xf>
    <xf numFmtId="0" fontId="29" fillId="14" borderId="24" xfId="0" applyFont="1" applyFill="1" applyBorder="1" applyAlignment="1">
      <alignment horizontal="center" vertical="center" wrapText="1"/>
    </xf>
    <xf numFmtId="0" fontId="30" fillId="14" borderId="34" xfId="0" applyFont="1" applyFill="1" applyBorder="1" applyAlignment="1">
      <alignment horizontal="center" vertical="center" wrapText="1"/>
    </xf>
    <xf numFmtId="0" fontId="30" fillId="14" borderId="33" xfId="0" applyFont="1" applyFill="1" applyBorder="1" applyAlignment="1">
      <alignment horizontal="left" vertical="center" wrapText="1"/>
    </xf>
    <xf numFmtId="0" fontId="30" fillId="14" borderId="33" xfId="0" applyFont="1" applyFill="1" applyBorder="1" applyAlignment="1">
      <alignment horizontal="center" vertical="center" wrapText="1"/>
    </xf>
    <xf numFmtId="44" fontId="30" fillId="14" borderId="55" xfId="0" applyNumberFormat="1" applyFont="1" applyFill="1" applyBorder="1" applyAlignment="1">
      <alignment horizontal="center" vertical="center" wrapText="1"/>
    </xf>
    <xf numFmtId="0" fontId="30" fillId="14" borderId="1" xfId="0" applyFont="1" applyFill="1" applyBorder="1" applyAlignment="1">
      <alignment horizontal="left" vertical="center" wrapText="1"/>
    </xf>
    <xf numFmtId="0" fontId="30" fillId="14" borderId="1" xfId="0" applyFont="1" applyFill="1" applyBorder="1" applyAlignment="1">
      <alignment horizontal="center" vertical="center" wrapText="1"/>
    </xf>
    <xf numFmtId="44" fontId="30" fillId="14" borderId="1" xfId="0" applyNumberFormat="1" applyFont="1" applyFill="1" applyBorder="1" applyAlignment="1">
      <alignment horizontal="center" vertical="center" wrapText="1"/>
    </xf>
    <xf numFmtId="44" fontId="29" fillId="0" borderId="48" xfId="0" applyNumberFormat="1" applyFont="1" applyBorder="1" applyAlignment="1">
      <alignment horizontal="center" vertical="center" wrapText="1"/>
    </xf>
    <xf numFmtId="44" fontId="29" fillId="17" borderId="56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0" fontId="29" fillId="14" borderId="40" xfId="0" applyFont="1" applyFill="1" applyBorder="1" applyAlignment="1">
      <alignment horizontal="center" vertical="center" wrapText="1"/>
    </xf>
    <xf numFmtId="0" fontId="29" fillId="14" borderId="8" xfId="0" applyFont="1" applyFill="1" applyBorder="1" applyAlignment="1">
      <alignment horizontal="center" vertical="center" wrapText="1"/>
    </xf>
    <xf numFmtId="0" fontId="30" fillId="14" borderId="9" xfId="0" applyFont="1" applyFill="1" applyBorder="1" applyAlignment="1">
      <alignment horizontal="left" vertical="center" wrapText="1"/>
    </xf>
    <xf numFmtId="10" fontId="30" fillId="14" borderId="9" xfId="0" applyNumberFormat="1" applyFont="1" applyFill="1" applyBorder="1" applyAlignment="1">
      <alignment horizontal="center" vertical="center" wrapText="1"/>
    </xf>
    <xf numFmtId="44" fontId="30" fillId="14" borderId="9" xfId="0" applyNumberFormat="1" applyFont="1" applyFill="1" applyBorder="1" applyAlignment="1">
      <alignment horizontal="center" vertical="center" wrapText="1"/>
    </xf>
    <xf numFmtId="44" fontId="30" fillId="14" borderId="10" xfId="0" applyNumberFormat="1" applyFont="1" applyFill="1" applyBorder="1" applyAlignment="1">
      <alignment horizontal="center" vertical="center" wrapText="1"/>
    </xf>
    <xf numFmtId="0" fontId="29" fillId="14" borderId="17" xfId="0" applyFont="1" applyFill="1" applyBorder="1" applyAlignment="1">
      <alignment horizontal="center" vertical="center" wrapText="1"/>
    </xf>
    <xf numFmtId="0" fontId="30" fillId="14" borderId="1" xfId="0" applyFont="1" applyFill="1" applyBorder="1" applyAlignment="1">
      <alignment vertical="center" wrapText="1"/>
    </xf>
    <xf numFmtId="10" fontId="30" fillId="14" borderId="1" xfId="0" applyNumberFormat="1" applyFont="1" applyFill="1" applyBorder="1" applyAlignment="1">
      <alignment horizontal="center" vertical="center" wrapText="1"/>
    </xf>
    <xf numFmtId="0" fontId="29" fillId="14" borderId="60" xfId="0" applyFont="1" applyFill="1" applyBorder="1" applyAlignment="1">
      <alignment horizontal="center" vertical="center" wrapText="1"/>
    </xf>
    <xf numFmtId="0" fontId="30" fillId="14" borderId="21" xfId="0" applyFont="1" applyFill="1" applyBorder="1" applyAlignment="1">
      <alignment vertical="center" wrapText="1"/>
    </xf>
    <xf numFmtId="10" fontId="30" fillId="14" borderId="21" xfId="0" applyNumberFormat="1" applyFont="1" applyFill="1" applyBorder="1" applyAlignment="1">
      <alignment horizontal="center" vertical="center" wrapText="1"/>
    </xf>
    <xf numFmtId="44" fontId="30" fillId="14" borderId="19" xfId="0" applyNumberFormat="1" applyFont="1" applyFill="1" applyBorder="1" applyAlignment="1">
      <alignment horizontal="center" vertical="center" wrapText="1"/>
    </xf>
    <xf numFmtId="44" fontId="29" fillId="17" borderId="57" xfId="0" applyNumberFormat="1" applyFont="1" applyFill="1" applyBorder="1" applyAlignment="1">
      <alignment horizontal="center" vertical="center" wrapText="1"/>
    </xf>
    <xf numFmtId="0" fontId="29" fillId="14" borderId="61" xfId="0" applyFont="1" applyFill="1" applyBorder="1" applyAlignment="1">
      <alignment horizontal="center" vertical="center" wrapText="1"/>
    </xf>
    <xf numFmtId="0" fontId="30" fillId="14" borderId="62" xfId="0" applyFont="1" applyFill="1" applyBorder="1" applyAlignment="1">
      <alignment vertical="center" wrapText="1"/>
    </xf>
    <xf numFmtId="9" fontId="30" fillId="14" borderId="62" xfId="0" applyNumberFormat="1" applyFont="1" applyFill="1" applyBorder="1" applyAlignment="1">
      <alignment horizontal="center" vertical="center" wrapText="1"/>
    </xf>
    <xf numFmtId="44" fontId="30" fillId="14" borderId="62" xfId="0" applyNumberFormat="1" applyFont="1" applyFill="1" applyBorder="1" applyAlignment="1">
      <alignment horizontal="center" vertical="center" wrapText="1"/>
    </xf>
    <xf numFmtId="44" fontId="30" fillId="14" borderId="63" xfId="0" applyNumberFormat="1" applyFont="1" applyFill="1" applyBorder="1" applyAlignment="1">
      <alignment horizontal="center" vertical="center" wrapText="1"/>
    </xf>
    <xf numFmtId="44" fontId="29" fillId="17" borderId="48" xfId="0" applyNumberFormat="1" applyFont="1" applyFill="1" applyBorder="1" applyAlignment="1">
      <alignment horizontal="center" vertical="center" wrapText="1"/>
    </xf>
    <xf numFmtId="44" fontId="29" fillId="14" borderId="57" xfId="0" applyNumberFormat="1" applyFont="1" applyFill="1" applyBorder="1" applyAlignment="1">
      <alignment horizontal="center" vertical="center" wrapText="1"/>
    </xf>
    <xf numFmtId="44" fontId="29" fillId="14" borderId="48" xfId="0" applyNumberFormat="1" applyFont="1" applyFill="1" applyBorder="1" applyAlignment="1">
      <alignment horizontal="center" vertical="center" wrapText="1"/>
    </xf>
    <xf numFmtId="44" fontId="29" fillId="15" borderId="48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/>
    </xf>
    <xf numFmtId="0" fontId="8" fillId="10" borderId="0" xfId="12" applyFont="1" applyFill="1" applyAlignment="1">
      <alignment horizontal="center" vertical="center"/>
    </xf>
    <xf numFmtId="0" fontId="0" fillId="0" borderId="1" xfId="0" applyBorder="1" applyAlignment="1">
      <alignment wrapText="1"/>
    </xf>
    <xf numFmtId="171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6" fontId="2" fillId="0" borderId="0" xfId="0" applyNumberFormat="1" applyFont="1" applyAlignment="1">
      <alignment horizontal="center" vertical="center" wrapText="1"/>
    </xf>
    <xf numFmtId="44" fontId="30" fillId="14" borderId="33" xfId="0" applyNumberFormat="1" applyFont="1" applyFill="1" applyBorder="1" applyAlignment="1">
      <alignment horizontal="center" vertical="center" wrapText="1"/>
    </xf>
    <xf numFmtId="0" fontId="33" fillId="19" borderId="1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44" fontId="33" fillId="0" borderId="1" xfId="0" applyNumberFormat="1" applyFont="1" applyBorder="1" applyAlignment="1">
      <alignment vertical="center"/>
    </xf>
    <xf numFmtId="0" fontId="0" fillId="0" borderId="1" xfId="0" applyBorder="1"/>
    <xf numFmtId="44" fontId="0" fillId="0" borderId="1" xfId="0" applyNumberFormat="1" applyBorder="1" applyAlignment="1">
      <alignment vertical="center"/>
    </xf>
    <xf numFmtId="44" fontId="33" fillId="0" borderId="1" xfId="0" applyNumberFormat="1" applyFont="1" applyBorder="1"/>
    <xf numFmtId="44" fontId="33" fillId="19" borderId="1" xfId="0" applyNumberFormat="1" applyFont="1" applyFill="1" applyBorder="1"/>
    <xf numFmtId="44" fontId="0" fillId="0" borderId="1" xfId="0" applyNumberFormat="1" applyBorder="1"/>
    <xf numFmtId="175" fontId="3" fillId="0" borderId="0" xfId="16" applyNumberFormat="1" applyFont="1" applyAlignment="1"/>
    <xf numFmtId="171" fontId="3" fillId="0" borderId="0" xfId="16" applyNumberFormat="1" applyFont="1" applyAlignment="1">
      <alignment horizontal="center"/>
    </xf>
    <xf numFmtId="174" fontId="4" fillId="0" borderId="0" xfId="16" applyFont="1" applyAlignment="1"/>
    <xf numFmtId="174" fontId="3" fillId="0" borderId="0" xfId="16" applyFont="1" applyAlignment="1">
      <alignment horizontal="center"/>
    </xf>
    <xf numFmtId="6" fontId="3" fillId="0" borderId="0" xfId="0" applyNumberFormat="1" applyFont="1" applyAlignment="1">
      <alignment horizontal="center" vertical="center"/>
    </xf>
    <xf numFmtId="175" fontId="3" fillId="0" borderId="0" xfId="16" applyNumberFormat="1" applyFont="1"/>
    <xf numFmtId="42" fontId="3" fillId="0" borderId="0" xfId="5" applyFont="1" applyBorder="1" applyAlignment="1">
      <alignment horizontal="center" vertical="center"/>
    </xf>
    <xf numFmtId="171" fontId="3" fillId="0" borderId="0" xfId="16" applyNumberFormat="1" applyFont="1" applyAlignment="1">
      <alignment horizontal="right" vertical="center"/>
    </xf>
    <xf numFmtId="171" fontId="0" fillId="0" borderId="1" xfId="0" applyNumberFormat="1" applyBorder="1" applyAlignment="1">
      <alignment vertical="center"/>
    </xf>
    <xf numFmtId="0" fontId="4" fillId="7" borderId="4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vertical="center"/>
    </xf>
    <xf numFmtId="0" fontId="8" fillId="7" borderId="4" xfId="0" applyFont="1" applyFill="1" applyBorder="1" applyAlignment="1">
      <alignment vertical="center"/>
    </xf>
    <xf numFmtId="0" fontId="8" fillId="7" borderId="5" xfId="0" applyFont="1" applyFill="1" applyBorder="1" applyAlignment="1">
      <alignment vertical="center"/>
    </xf>
    <xf numFmtId="0" fontId="3" fillId="0" borderId="0" xfId="0" applyFont="1" applyAlignment="1">
      <alignment horizontal="center" wrapText="1"/>
    </xf>
    <xf numFmtId="165" fontId="10" fillId="0" borderId="1" xfId="0" applyNumberFormat="1" applyFont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vertical="center" wrapText="1"/>
    </xf>
    <xf numFmtId="0" fontId="3" fillId="6" borderId="1" xfId="0" applyFont="1" applyFill="1" applyBorder="1"/>
    <xf numFmtId="0" fontId="3" fillId="6" borderId="0" xfId="0" applyFont="1" applyFill="1"/>
    <xf numFmtId="165" fontId="8" fillId="6" borderId="1" xfId="0" applyNumberFormat="1" applyFont="1" applyFill="1" applyBorder="1" applyAlignment="1">
      <alignment horizontal="center" vertical="center" wrapText="1"/>
    </xf>
    <xf numFmtId="165" fontId="8" fillId="6" borderId="1" xfId="1" applyNumberFormat="1" applyFont="1" applyFill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6" borderId="1" xfId="1" applyNumberFormat="1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0" fontId="8" fillId="7" borderId="0" xfId="0" applyFont="1" applyFill="1" applyAlignment="1">
      <alignment vertical="center"/>
    </xf>
    <xf numFmtId="0" fontId="8" fillId="7" borderId="64" xfId="0" applyFont="1" applyFill="1" applyBorder="1" applyAlignment="1">
      <alignment vertical="center"/>
    </xf>
    <xf numFmtId="0" fontId="8" fillId="7" borderId="37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left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166" fontId="8" fillId="6" borderId="1" xfId="1" applyNumberFormat="1" applyFont="1" applyFill="1" applyBorder="1" applyAlignment="1">
      <alignment horizontal="left" vertical="center" wrapText="1"/>
    </xf>
    <xf numFmtId="165" fontId="8" fillId="6" borderId="1" xfId="1" applyNumberFormat="1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6" borderId="1" xfId="0" applyFont="1" applyFill="1" applyBorder="1"/>
    <xf numFmtId="0" fontId="4" fillId="6" borderId="0" xfId="0" applyFont="1" applyFill="1"/>
    <xf numFmtId="0" fontId="4" fillId="7" borderId="4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wrapText="1"/>
    </xf>
    <xf numFmtId="0" fontId="4" fillId="6" borderId="1" xfId="0" applyFont="1" applyFill="1" applyBorder="1" applyAlignment="1">
      <alignment horizontal="center" wrapText="1"/>
    </xf>
    <xf numFmtId="165" fontId="8" fillId="7" borderId="0" xfId="0" applyNumberFormat="1" applyFont="1" applyFill="1" applyAlignment="1">
      <alignment horizontal="center" vertical="center" wrapText="1"/>
    </xf>
    <xf numFmtId="0" fontId="4" fillId="7" borderId="1" xfId="0" applyFont="1" applyFill="1" applyBorder="1"/>
    <xf numFmtId="0" fontId="4" fillId="7" borderId="1" xfId="0" applyFont="1" applyFill="1" applyBorder="1" applyAlignment="1">
      <alignment horizontal="center" wrapText="1"/>
    </xf>
    <xf numFmtId="0" fontId="4" fillId="7" borderId="0" xfId="0" applyFont="1" applyFill="1" applyAlignment="1">
      <alignment horizontal="center"/>
    </xf>
    <xf numFmtId="0" fontId="4" fillId="7" borderId="0" xfId="0" applyFont="1" applyFill="1"/>
    <xf numFmtId="0" fontId="3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8" fillId="20" borderId="1" xfId="0" applyFont="1" applyFill="1" applyBorder="1" applyAlignment="1">
      <alignment horizontal="center" vertical="center" wrapText="1"/>
    </xf>
    <xf numFmtId="0" fontId="3" fillId="20" borderId="1" xfId="0" applyFont="1" applyFill="1" applyBorder="1"/>
    <xf numFmtId="0" fontId="10" fillId="2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/>
    </xf>
    <xf numFmtId="0" fontId="8" fillId="12" borderId="1" xfId="0" applyFont="1" applyFill="1" applyBorder="1" applyAlignment="1">
      <alignment horizontal="right"/>
    </xf>
    <xf numFmtId="0" fontId="8" fillId="13" borderId="1" xfId="0" applyFont="1" applyFill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12" borderId="3" xfId="0" applyFont="1" applyFill="1" applyBorder="1" applyAlignment="1">
      <alignment horizontal="right"/>
    </xf>
    <xf numFmtId="0" fontId="8" fillId="12" borderId="4" xfId="0" applyFont="1" applyFill="1" applyBorder="1" applyAlignment="1">
      <alignment horizontal="right"/>
    </xf>
    <xf numFmtId="0" fontId="8" fillId="12" borderId="5" xfId="0" applyFont="1" applyFill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8" fillId="8" borderId="1" xfId="0" applyFont="1" applyFill="1" applyBorder="1" applyAlignment="1">
      <alignment horizontal="right"/>
    </xf>
    <xf numFmtId="0" fontId="8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5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4" fillId="7" borderId="3" xfId="0" applyFont="1" applyFill="1" applyBorder="1"/>
    <xf numFmtId="0" fontId="4" fillId="7" borderId="4" xfId="0" applyFont="1" applyFill="1" applyBorder="1"/>
    <xf numFmtId="0" fontId="4" fillId="7" borderId="5" xfId="0" applyFont="1" applyFill="1" applyBorder="1"/>
    <xf numFmtId="0" fontId="4" fillId="7" borderId="1" xfId="0" applyFont="1" applyFill="1" applyBorder="1" applyAlignment="1">
      <alignment horizontal="center"/>
    </xf>
    <xf numFmtId="0" fontId="3" fillId="2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20" borderId="1" xfId="0" applyFont="1" applyFill="1" applyBorder="1" applyAlignment="1">
      <alignment horizontal="center"/>
    </xf>
    <xf numFmtId="0" fontId="35" fillId="6" borderId="1" xfId="0" applyFont="1" applyFill="1" applyBorder="1" applyAlignment="1">
      <alignment horizontal="center"/>
    </xf>
    <xf numFmtId="0" fontId="13" fillId="5" borderId="41" xfId="0" applyFont="1" applyFill="1" applyBorder="1" applyAlignment="1">
      <alignment horizontal="center" wrapText="1"/>
    </xf>
    <xf numFmtId="0" fontId="13" fillId="5" borderId="0" xfId="0" applyFont="1" applyFill="1" applyAlignment="1">
      <alignment horizontal="center" wrapText="1"/>
    </xf>
    <xf numFmtId="0" fontId="13" fillId="5" borderId="42" xfId="0" applyFont="1" applyFill="1" applyBorder="1" applyAlignment="1">
      <alignment horizontal="center" wrapText="1"/>
    </xf>
    <xf numFmtId="0" fontId="13" fillId="5" borderId="41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42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6" borderId="38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5" fillId="0" borderId="41" xfId="0" applyFont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29" fillId="15" borderId="23" xfId="0" applyFont="1" applyFill="1" applyBorder="1" applyAlignment="1">
      <alignment horizontal="right" vertical="center" wrapText="1"/>
    </xf>
    <xf numFmtId="0" fontId="29" fillId="15" borderId="24" xfId="0" applyFont="1" applyFill="1" applyBorder="1" applyAlignment="1">
      <alignment horizontal="right" vertical="center" wrapText="1"/>
    </xf>
    <xf numFmtId="0" fontId="29" fillId="15" borderId="25" xfId="0" applyFont="1" applyFill="1" applyBorder="1" applyAlignment="1">
      <alignment horizontal="right" vertical="center" wrapText="1"/>
    </xf>
    <xf numFmtId="0" fontId="29" fillId="18" borderId="45" xfId="0" applyFont="1" applyFill="1" applyBorder="1" applyAlignment="1">
      <alignment horizontal="right" vertical="center" wrapText="1"/>
    </xf>
    <xf numFmtId="0" fontId="29" fillId="18" borderId="28" xfId="0" applyFont="1" applyFill="1" applyBorder="1" applyAlignment="1">
      <alignment horizontal="right" vertical="center" wrapText="1"/>
    </xf>
    <xf numFmtId="0" fontId="29" fillId="18" borderId="46" xfId="0" applyFont="1" applyFill="1" applyBorder="1" applyAlignment="1">
      <alignment horizontal="right" vertical="center" wrapText="1"/>
    </xf>
    <xf numFmtId="0" fontId="29" fillId="18" borderId="23" xfId="0" applyFont="1" applyFill="1" applyBorder="1" applyAlignment="1">
      <alignment horizontal="right" vertical="center" wrapText="1"/>
    </xf>
    <xf numFmtId="0" fontId="29" fillId="18" borderId="24" xfId="0" applyFont="1" applyFill="1" applyBorder="1" applyAlignment="1">
      <alignment horizontal="right" vertical="center" wrapText="1"/>
    </xf>
    <xf numFmtId="0" fontId="29" fillId="18" borderId="25" xfId="0" applyFont="1" applyFill="1" applyBorder="1" applyAlignment="1">
      <alignment horizontal="right" vertical="center" wrapText="1"/>
    </xf>
    <xf numFmtId="0" fontId="29" fillId="14" borderId="9" xfId="0" applyFont="1" applyFill="1" applyBorder="1" applyAlignment="1">
      <alignment horizontal="center" vertical="center" wrapText="1"/>
    </xf>
    <xf numFmtId="0" fontId="29" fillId="14" borderId="1" xfId="0" applyFont="1" applyFill="1" applyBorder="1" applyAlignment="1">
      <alignment horizontal="center" vertical="center" wrapText="1"/>
    </xf>
    <xf numFmtId="0" fontId="29" fillId="14" borderId="21" xfId="0" applyFont="1" applyFill="1" applyBorder="1" applyAlignment="1">
      <alignment horizontal="center" vertical="center" wrapText="1"/>
    </xf>
    <xf numFmtId="0" fontId="29" fillId="17" borderId="23" xfId="0" applyFont="1" applyFill="1" applyBorder="1" applyAlignment="1">
      <alignment horizontal="center" vertical="center" wrapText="1"/>
    </xf>
    <xf numFmtId="0" fontId="29" fillId="17" borderId="24" xfId="0" applyFont="1" applyFill="1" applyBorder="1" applyAlignment="1">
      <alignment horizontal="center" vertical="center" wrapText="1"/>
    </xf>
    <xf numFmtId="0" fontId="29" fillId="17" borderId="25" xfId="0" applyFont="1" applyFill="1" applyBorder="1" applyAlignment="1">
      <alignment horizontal="center" vertical="center" wrapText="1"/>
    </xf>
    <xf numFmtId="0" fontId="29" fillId="15" borderId="23" xfId="0" applyFont="1" applyFill="1" applyBorder="1" applyAlignment="1">
      <alignment horizontal="center" vertical="center" wrapText="1"/>
    </xf>
    <xf numFmtId="0" fontId="29" fillId="15" borderId="24" xfId="0" applyFont="1" applyFill="1" applyBorder="1" applyAlignment="1">
      <alignment horizontal="center" vertical="center" wrapText="1"/>
    </xf>
    <xf numFmtId="0" fontId="29" fillId="15" borderId="25" xfId="0" applyFont="1" applyFill="1" applyBorder="1" applyAlignment="1">
      <alignment horizontal="center" vertical="center" wrapText="1"/>
    </xf>
    <xf numFmtId="0" fontId="29" fillId="14" borderId="39" xfId="0" applyFont="1" applyFill="1" applyBorder="1" applyAlignment="1">
      <alignment horizontal="center" vertical="center" wrapText="1"/>
    </xf>
    <xf numFmtId="0" fontId="29" fillId="14" borderId="40" xfId="0" applyFont="1" applyFill="1" applyBorder="1" applyAlignment="1">
      <alignment horizontal="center" vertical="center" wrapText="1"/>
    </xf>
    <xf numFmtId="0" fontId="29" fillId="14" borderId="22" xfId="0" applyFont="1" applyFill="1" applyBorder="1" applyAlignment="1">
      <alignment horizontal="center" vertical="center" wrapText="1"/>
    </xf>
    <xf numFmtId="0" fontId="29" fillId="16" borderId="23" xfId="0" applyFont="1" applyFill="1" applyBorder="1" applyAlignment="1">
      <alignment horizontal="center" vertical="center" wrapText="1"/>
    </xf>
    <xf numFmtId="0" fontId="29" fillId="16" borderId="24" xfId="0" applyFont="1" applyFill="1" applyBorder="1" applyAlignment="1">
      <alignment horizontal="center" vertical="center" wrapText="1"/>
    </xf>
    <xf numFmtId="0" fontId="29" fillId="17" borderId="23" xfId="0" applyFont="1" applyFill="1" applyBorder="1" applyAlignment="1">
      <alignment horizontal="left" vertical="center" wrapText="1"/>
    </xf>
    <xf numFmtId="0" fontId="29" fillId="17" borderId="24" xfId="0" applyFont="1" applyFill="1" applyBorder="1" applyAlignment="1">
      <alignment horizontal="left" vertical="center" wrapText="1"/>
    </xf>
    <xf numFmtId="0" fontId="29" fillId="17" borderId="25" xfId="0" applyFont="1" applyFill="1" applyBorder="1" applyAlignment="1">
      <alignment horizontal="left" vertical="center" wrapText="1"/>
    </xf>
    <xf numFmtId="0" fontId="29" fillId="14" borderId="58" xfId="0" applyFont="1" applyFill="1" applyBorder="1" applyAlignment="1">
      <alignment horizontal="center" vertical="center" wrapText="1"/>
    </xf>
    <xf numFmtId="0" fontId="29" fillId="14" borderId="59" xfId="0" applyFont="1" applyFill="1" applyBorder="1" applyAlignment="1">
      <alignment horizontal="center" vertical="center" wrapText="1"/>
    </xf>
    <xf numFmtId="44" fontId="30" fillId="14" borderId="33" xfId="0" applyNumberFormat="1" applyFont="1" applyFill="1" applyBorder="1" applyAlignment="1">
      <alignment horizontal="center" vertical="center" wrapText="1"/>
    </xf>
    <xf numFmtId="44" fontId="30" fillId="14" borderId="3" xfId="0" applyNumberFormat="1" applyFont="1" applyFill="1" applyBorder="1" applyAlignment="1">
      <alignment horizontal="center" vertical="center" wrapText="1"/>
    </xf>
    <xf numFmtId="44" fontId="30" fillId="14" borderId="5" xfId="0" applyNumberFormat="1" applyFont="1" applyFill="1" applyBorder="1" applyAlignment="1">
      <alignment horizontal="center" vertical="center" wrapText="1"/>
    </xf>
    <xf numFmtId="44" fontId="30" fillId="14" borderId="1" xfId="0" applyNumberFormat="1" applyFont="1" applyFill="1" applyBorder="1" applyAlignment="1">
      <alignment horizontal="right" vertical="center" wrapText="1"/>
    </xf>
    <xf numFmtId="44" fontId="30" fillId="14" borderId="1" xfId="0" applyNumberFormat="1" applyFont="1" applyFill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17" borderId="39" xfId="0" applyFont="1" applyFill="1" applyBorder="1" applyAlignment="1">
      <alignment horizontal="center" vertical="center" wrapText="1"/>
    </xf>
    <xf numFmtId="0" fontId="29" fillId="17" borderId="22" xfId="0" applyFont="1" applyFill="1" applyBorder="1" applyAlignment="1">
      <alignment horizontal="center" vertical="center" wrapText="1"/>
    </xf>
    <xf numFmtId="0" fontId="29" fillId="17" borderId="40" xfId="0" applyFont="1" applyFill="1" applyBorder="1" applyAlignment="1">
      <alignment horizontal="center" vertical="center" wrapText="1"/>
    </xf>
    <xf numFmtId="0" fontId="29" fillId="14" borderId="62" xfId="0" applyFont="1" applyFill="1" applyBorder="1" applyAlignment="1">
      <alignment horizontal="center" vertical="center" wrapText="1"/>
    </xf>
    <xf numFmtId="0" fontId="5" fillId="0" borderId="49" xfId="15" applyFont="1" applyBorder="1" applyAlignment="1">
      <alignment horizontal="center" vertical="center" wrapText="1"/>
    </xf>
    <xf numFmtId="0" fontId="5" fillId="0" borderId="6" xfId="15" applyFont="1" applyBorder="1" applyAlignment="1">
      <alignment horizontal="center" vertical="center" wrapText="1"/>
    </xf>
    <xf numFmtId="0" fontId="28" fillId="14" borderId="50" xfId="0" applyFont="1" applyFill="1" applyBorder="1" applyAlignment="1">
      <alignment horizontal="center" vertical="center" wrapText="1"/>
    </xf>
    <xf numFmtId="0" fontId="28" fillId="14" borderId="51" xfId="0" applyFont="1" applyFill="1" applyBorder="1" applyAlignment="1">
      <alignment horizontal="center" vertical="center" wrapText="1"/>
    </xf>
    <xf numFmtId="0" fontId="29" fillId="15" borderId="52" xfId="0" applyFont="1" applyFill="1" applyBorder="1" applyAlignment="1">
      <alignment horizontal="center" vertical="center" wrapText="1"/>
    </xf>
    <xf numFmtId="0" fontId="29" fillId="15" borderId="53" xfId="0" applyFont="1" applyFill="1" applyBorder="1" applyAlignment="1">
      <alignment horizontal="center" vertical="center" wrapText="1"/>
    </xf>
    <xf numFmtId="0" fontId="29" fillId="15" borderId="54" xfId="0" applyFont="1" applyFill="1" applyBorder="1" applyAlignment="1">
      <alignment horizontal="center" vertical="center" wrapText="1"/>
    </xf>
    <xf numFmtId="0" fontId="29" fillId="14" borderId="56" xfId="0" applyFont="1" applyFill="1" applyBorder="1" applyAlignment="1">
      <alignment horizontal="center" vertical="center" wrapText="1"/>
    </xf>
    <xf numFmtId="0" fontId="29" fillId="14" borderId="57" xfId="0" applyFont="1" applyFill="1" applyBorder="1" applyAlignment="1">
      <alignment horizontal="center" vertical="center" wrapText="1"/>
    </xf>
    <xf numFmtId="0" fontId="33" fillId="19" borderId="3" xfId="0" applyFont="1" applyFill="1" applyBorder="1" applyAlignment="1">
      <alignment horizontal="center" vertical="center"/>
    </xf>
    <xf numFmtId="0" fontId="33" fillId="19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3" fillId="19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33" fillId="19" borderId="1" xfId="0" applyFont="1" applyFill="1" applyBorder="1" applyAlignment="1">
      <alignment horizontal="right" vertical="center"/>
    </xf>
    <xf numFmtId="0" fontId="33" fillId="0" borderId="1" xfId="0" applyFont="1" applyBorder="1" applyAlignment="1">
      <alignment horizontal="right" vertical="center"/>
    </xf>
    <xf numFmtId="0" fontId="3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3" fillId="19" borderId="1" xfId="0" applyFont="1" applyFill="1" applyBorder="1" applyAlignment="1">
      <alignment horizontal="left" vertical="center"/>
    </xf>
    <xf numFmtId="0" fontId="34" fillId="0" borderId="0" xfId="0" applyFont="1" applyAlignment="1">
      <alignment horizontal="center"/>
    </xf>
    <xf numFmtId="0" fontId="33" fillId="0" borderId="2" xfId="0" applyFont="1" applyBorder="1" applyAlignment="1">
      <alignment horizontal="center" wrapText="1"/>
    </xf>
    <xf numFmtId="0" fontId="33" fillId="0" borderId="2" xfId="0" applyFont="1" applyBorder="1" applyAlignment="1">
      <alignment horizontal="center"/>
    </xf>
    <xf numFmtId="0" fontId="15" fillId="9" borderId="1" xfId="0" applyFont="1" applyFill="1" applyBorder="1" applyAlignment="1">
      <alignment horizontal="left" vertical="center"/>
    </xf>
    <xf numFmtId="0" fontId="8" fillId="10" borderId="1" xfId="12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15" fillId="5" borderId="1" xfId="10" applyFont="1" applyFill="1" applyBorder="1" applyAlignment="1">
      <alignment horizontal="center" vertical="center"/>
    </xf>
    <xf numFmtId="0" fontId="8" fillId="0" borderId="1" xfId="12" applyFont="1" applyBorder="1" applyAlignment="1">
      <alignment horizontal="center" vertical="center"/>
    </xf>
    <xf numFmtId="0" fontId="15" fillId="5" borderId="1" xfId="11" applyFont="1" applyFill="1" applyBorder="1" applyAlignment="1">
      <alignment horizontal="center" vertical="center" wrapText="1"/>
    </xf>
    <xf numFmtId="0" fontId="10" fillId="0" borderId="1" xfId="12" applyFont="1" applyBorder="1" applyAlignment="1">
      <alignment horizontal="center" vertical="center"/>
    </xf>
    <xf numFmtId="2" fontId="8" fillId="0" borderId="1" xfId="12" applyNumberFormat="1" applyFont="1" applyBorder="1" applyAlignment="1">
      <alignment horizontal="center" vertical="center"/>
    </xf>
    <xf numFmtId="0" fontId="10" fillId="0" borderId="1" xfId="12" applyFont="1" applyBorder="1" applyAlignment="1">
      <alignment vertical="center"/>
    </xf>
    <xf numFmtId="0" fontId="15" fillId="5" borderId="1" xfId="11" quotePrefix="1" applyFont="1" applyFill="1" applyBorder="1" applyAlignment="1">
      <alignment horizontal="center" vertical="center" wrapText="1"/>
    </xf>
    <xf numFmtId="0" fontId="8" fillId="0" borderId="1" xfId="1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8" fillId="0" borderId="1" xfId="12" applyNumberFormat="1" applyFont="1" applyBorder="1" applyAlignment="1">
      <alignment horizontal="center" vertical="center" wrapText="1"/>
    </xf>
    <xf numFmtId="165" fontId="8" fillId="0" borderId="1" xfId="12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21" xfId="12" applyFont="1" applyBorder="1" applyAlignment="1">
      <alignment vertical="center"/>
    </xf>
    <xf numFmtId="0" fontId="8" fillId="0" borderId="21" xfId="12" applyFont="1" applyBorder="1" applyAlignment="1">
      <alignment horizontal="center" vertical="center"/>
    </xf>
    <xf numFmtId="0" fontId="8" fillId="0" borderId="21" xfId="12" applyFont="1" applyBorder="1" applyAlignment="1">
      <alignment horizontal="center" vertical="center" wrapText="1"/>
    </xf>
    <xf numFmtId="0" fontId="8" fillId="7" borderId="1" xfId="12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/>
    </xf>
    <xf numFmtId="0" fontId="8" fillId="3" borderId="0" xfId="0" applyFont="1" applyFill="1" applyAlignment="1">
      <alignment horizontal="left" wrapText="1"/>
    </xf>
    <xf numFmtId="0" fontId="8" fillId="3" borderId="0" xfId="0" applyFont="1" applyFill="1" applyAlignment="1">
      <alignment horizontal="left"/>
    </xf>
    <xf numFmtId="0" fontId="15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5" borderId="23" xfId="6" applyFont="1" applyFill="1" applyBorder="1" applyAlignment="1">
      <alignment horizontal="center" vertical="center"/>
    </xf>
    <xf numFmtId="0" fontId="15" fillId="5" borderId="24" xfId="6" applyFont="1" applyFill="1" applyBorder="1" applyAlignment="1">
      <alignment horizontal="center" vertical="center"/>
    </xf>
    <xf numFmtId="0" fontId="15" fillId="5" borderId="25" xfId="6" applyFont="1" applyFill="1" applyBorder="1" applyAlignment="1">
      <alignment horizontal="center" vertical="center"/>
    </xf>
    <xf numFmtId="0" fontId="8" fillId="0" borderId="26" xfId="6" applyFont="1" applyBorder="1" applyAlignment="1">
      <alignment horizontal="left" vertical="center"/>
    </xf>
    <xf numFmtId="0" fontId="8" fillId="0" borderId="27" xfId="6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3" fillId="0" borderId="3" xfId="6" applyFont="1" applyBorder="1" applyAlignment="1">
      <alignment horizontal="left" vertical="center" wrapText="1"/>
    </xf>
    <xf numFmtId="0" fontId="3" fillId="0" borderId="5" xfId="6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49" fontId="3" fillId="0" borderId="0" xfId="0" applyNumberFormat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71" fontId="3" fillId="0" borderId="1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1" fontId="4" fillId="0" borderId="4" xfId="0" applyNumberFormat="1" applyFont="1" applyBorder="1" applyAlignment="1">
      <alignment horizontal="center" vertical="center"/>
    </xf>
    <xf numFmtId="171" fontId="4" fillId="0" borderId="5" xfId="0" applyNumberFormat="1" applyFont="1" applyBorder="1" applyAlignment="1">
      <alignment horizontal="center" vertical="center"/>
    </xf>
    <xf numFmtId="0" fontId="15" fillId="5" borderId="28" xfId="6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15" fillId="7" borderId="0" xfId="6" applyFont="1" applyFill="1" applyAlignment="1">
      <alignment horizontal="center" vertical="center"/>
    </xf>
    <xf numFmtId="0" fontId="15" fillId="7" borderId="28" xfId="6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left"/>
    </xf>
    <xf numFmtId="171" fontId="3" fillId="0" borderId="1" xfId="5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4" fillId="2" borderId="8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4" fillId="2" borderId="8" xfId="0" applyFont="1" applyFill="1" applyBorder="1" applyAlignment="1">
      <alignment horizontal="left" wrapText="1"/>
    </xf>
    <xf numFmtId="0" fontId="4" fillId="2" borderId="9" xfId="0" applyFont="1" applyFill="1" applyBorder="1" applyAlignment="1">
      <alignment horizontal="left" wrapText="1"/>
    </xf>
    <xf numFmtId="0" fontId="4" fillId="2" borderId="10" xfId="0" applyFont="1" applyFill="1" applyBorder="1" applyAlignment="1">
      <alignment horizontal="left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4" fillId="0" borderId="0" xfId="0" applyFont="1" applyAlignment="1">
      <alignment horizontal="right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17" xfId="0" quotePrefix="1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11" xfId="6" applyFont="1" applyBorder="1" applyAlignment="1">
      <alignment horizontal="left" vertical="center" wrapText="1"/>
    </xf>
    <xf numFmtId="0" fontId="10" fillId="0" borderId="5" xfId="6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169" fontId="3" fillId="0" borderId="1" xfId="5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17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7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171" fontId="3" fillId="0" borderId="17" xfId="0" applyNumberFormat="1" applyFont="1" applyBorder="1" applyAlignment="1">
      <alignment horizontal="left" vertical="center" wrapText="1"/>
    </xf>
    <xf numFmtId="171" fontId="3" fillId="0" borderId="1" xfId="0" applyNumberFormat="1" applyFont="1" applyBorder="1" applyAlignment="1">
      <alignment horizontal="left" vertical="center" wrapText="1"/>
    </xf>
    <xf numFmtId="171" fontId="3" fillId="0" borderId="18" xfId="0" applyNumberFormat="1" applyFont="1" applyBorder="1" applyAlignment="1">
      <alignment horizontal="left" vertical="center" wrapText="1"/>
    </xf>
    <xf numFmtId="171" fontId="3" fillId="0" borderId="15" xfId="0" applyNumberFormat="1" applyFont="1" applyBorder="1" applyAlignment="1">
      <alignment horizontal="left" vertical="center" wrapText="1"/>
    </xf>
    <xf numFmtId="171" fontId="4" fillId="0" borderId="0" xfId="0" applyNumberFormat="1" applyFont="1" applyAlignment="1">
      <alignment horizontal="right" wrapText="1"/>
    </xf>
    <xf numFmtId="171" fontId="4" fillId="2" borderId="8" xfId="0" applyNumberFormat="1" applyFont="1" applyFill="1" applyBorder="1" applyAlignment="1">
      <alignment horizontal="left" wrapText="1"/>
    </xf>
    <xf numFmtId="171" fontId="4" fillId="2" borderId="9" xfId="0" applyNumberFormat="1" applyFont="1" applyFill="1" applyBorder="1" applyAlignment="1">
      <alignment horizontal="left" wrapText="1"/>
    </xf>
    <xf numFmtId="171" fontId="4" fillId="2" borderId="10" xfId="0" applyNumberFormat="1" applyFont="1" applyFill="1" applyBorder="1" applyAlignment="1">
      <alignment horizontal="left" wrapText="1"/>
    </xf>
    <xf numFmtId="171" fontId="4" fillId="0" borderId="0" xfId="0" applyNumberFormat="1" applyFont="1" applyAlignment="1">
      <alignment horizontal="center" wrapText="1"/>
    </xf>
    <xf numFmtId="0" fontId="10" fillId="0" borderId="3" xfId="6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wrapText="1"/>
    </xf>
    <xf numFmtId="0" fontId="4" fillId="2" borderId="30" xfId="0" applyFont="1" applyFill="1" applyBorder="1" applyAlignment="1">
      <alignment horizontal="left" wrapText="1"/>
    </xf>
    <xf numFmtId="0" fontId="4" fillId="2" borderId="31" xfId="0" applyFont="1" applyFill="1" applyBorder="1" applyAlignment="1">
      <alignment horizontal="left" wrapText="1"/>
    </xf>
    <xf numFmtId="0" fontId="3" fillId="0" borderId="3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169" fontId="2" fillId="0" borderId="1" xfId="5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6" fillId="0" borderId="0" xfId="0" applyFont="1" applyAlignment="1">
      <alignment horizontal="right" wrapText="1"/>
    </xf>
    <xf numFmtId="0" fontId="6" fillId="2" borderId="8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left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1" xfId="0" applyFont="1" applyBorder="1"/>
    <xf numFmtId="0" fontId="10" fillId="0" borderId="5" xfId="0" applyFont="1" applyBorder="1"/>
    <xf numFmtId="0" fontId="3" fillId="0" borderId="18" xfId="0" quotePrefix="1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1" xfId="6" applyFont="1" applyBorder="1" applyAlignment="1">
      <alignment horizontal="left"/>
    </xf>
    <xf numFmtId="0" fontId="10" fillId="0" borderId="5" xfId="6" applyFont="1" applyBorder="1" applyAlignment="1">
      <alignment horizontal="left"/>
    </xf>
    <xf numFmtId="0" fontId="10" fillId="0" borderId="13" xfId="6" applyFont="1" applyBorder="1" applyAlignment="1">
      <alignment horizontal="left"/>
    </xf>
    <xf numFmtId="0" fontId="10" fillId="0" borderId="14" xfId="6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/>
    </xf>
    <xf numFmtId="0" fontId="3" fillId="0" borderId="34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11" xfId="10" applyFont="1" applyBorder="1" applyAlignment="1">
      <alignment horizontal="left" vertical="center"/>
    </xf>
    <xf numFmtId="0" fontId="10" fillId="0" borderId="5" xfId="10" applyFont="1" applyBorder="1" applyAlignment="1">
      <alignment horizontal="left" vertical="center"/>
    </xf>
    <xf numFmtId="2" fontId="10" fillId="0" borderId="11" xfId="10" applyNumberFormat="1" applyFont="1" applyBorder="1" applyAlignment="1">
      <alignment horizontal="left" vertical="center" wrapText="1"/>
    </xf>
    <xf numFmtId="2" fontId="10" fillId="0" borderId="5" xfId="10" applyNumberFormat="1" applyFont="1" applyBorder="1" applyAlignment="1">
      <alignment horizontal="left" vertical="center"/>
    </xf>
    <xf numFmtId="0" fontId="10" fillId="0" borderId="3" xfId="6" applyFont="1" applyBorder="1" applyAlignment="1">
      <alignment horizontal="left"/>
    </xf>
    <xf numFmtId="0" fontId="10" fillId="0" borderId="11" xfId="6" applyFont="1" applyBorder="1" applyAlignment="1">
      <alignment horizontal="left" vertical="justify"/>
    </xf>
    <xf numFmtId="0" fontId="10" fillId="0" borderId="5" xfId="6" applyFont="1" applyBorder="1" applyAlignment="1">
      <alignment horizontal="left" vertical="justify"/>
    </xf>
    <xf numFmtId="2" fontId="10" fillId="0" borderId="11" xfId="10" applyNumberFormat="1" applyFont="1" applyBorder="1" applyAlignment="1">
      <alignment horizontal="left" vertical="center"/>
    </xf>
    <xf numFmtId="0" fontId="10" fillId="0" borderId="17" xfId="6" applyFont="1" applyBorder="1" applyAlignment="1">
      <alignment horizontal="left" vertical="center"/>
    </xf>
    <xf numFmtId="0" fontId="10" fillId="0" borderId="1" xfId="6" applyFont="1" applyBorder="1" applyAlignment="1">
      <alignment horizontal="left" vertical="center"/>
    </xf>
    <xf numFmtId="0" fontId="10" fillId="0" borderId="17" xfId="6" applyFont="1" applyBorder="1" applyAlignment="1">
      <alignment horizontal="left"/>
    </xf>
    <xf numFmtId="0" fontId="10" fillId="0" borderId="1" xfId="6" applyFont="1" applyBorder="1" applyAlignment="1">
      <alignment horizontal="left"/>
    </xf>
    <xf numFmtId="0" fontId="3" fillId="0" borderId="17" xfId="6" applyFont="1" applyBorder="1" applyAlignment="1">
      <alignment horizontal="left"/>
    </xf>
    <xf numFmtId="0" fontId="3" fillId="0" borderId="1" xfId="6" applyFont="1" applyBorder="1" applyAlignment="1">
      <alignment horizontal="left"/>
    </xf>
    <xf numFmtId="0" fontId="10" fillId="0" borderId="18" xfId="6" applyFont="1" applyBorder="1" applyAlignment="1">
      <alignment horizontal="left"/>
    </xf>
    <xf numFmtId="0" fontId="10" fillId="0" borderId="15" xfId="6" applyFont="1" applyBorder="1" applyAlignment="1">
      <alignment horizontal="left"/>
    </xf>
    <xf numFmtId="0" fontId="10" fillId="0" borderId="35" xfId="0" applyFont="1" applyBorder="1"/>
    <xf numFmtId="0" fontId="10" fillId="0" borderId="36" xfId="0" applyFont="1" applyBorder="1"/>
    <xf numFmtId="0" fontId="4" fillId="0" borderId="20" xfId="0" applyFont="1" applyBorder="1" applyAlignment="1">
      <alignment horizontal="center" wrapText="1"/>
    </xf>
    <xf numFmtId="0" fontId="3" fillId="0" borderId="1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49" fontId="4" fillId="0" borderId="1" xfId="0" applyNumberFormat="1" applyFont="1" applyBorder="1" applyAlignment="1">
      <alignment horizontal="left"/>
    </xf>
  </cellXfs>
  <cellStyles count="17">
    <cellStyle name="Millares" xfId="1" builtinId="3"/>
    <cellStyle name="Millares 4" xfId="7" xr:uid="{00000000-0005-0000-0000-000002000000}"/>
    <cellStyle name="Moneda" xfId="8" builtinId="4"/>
    <cellStyle name="Moneda [0]" xfId="5" builtinId="7"/>
    <cellStyle name="Moneda [0] 2" xfId="16" xr:uid="{0B74D80C-A9B0-4D10-85F6-DC58B374B4D5}"/>
    <cellStyle name="Moneda 10 2" xfId="14" xr:uid="{A295DC08-7378-4B29-A82F-BB5761A175AC}"/>
    <cellStyle name="Moneda 2" xfId="4" xr:uid="{00000000-0005-0000-0000-000005000000}"/>
    <cellStyle name="Normal" xfId="0" builtinId="0"/>
    <cellStyle name="Normal 14" xfId="9" xr:uid="{53FDAB72-8FE1-4AA4-A112-CECBCDB218DD}"/>
    <cellStyle name="Normal 2" xfId="6" xr:uid="{00000000-0005-0000-0000-000007000000}"/>
    <cellStyle name="Normal 2 10" xfId="13" xr:uid="{9ADF2344-5A7F-4A0A-8CFD-D48108403A94}"/>
    <cellStyle name="Normal 2 2 2" xfId="10" xr:uid="{B4CE63F9-9B5B-4A75-A8F2-9915F6F31F98}"/>
    <cellStyle name="Normal 2 5" xfId="12" xr:uid="{BA7F4319-4721-4CB0-93E8-9BD39D964B9A}"/>
    <cellStyle name="Normal 20" xfId="11" xr:uid="{5A90ACBB-D4F0-4D1A-A0E0-D0F1295AE0F1}"/>
    <cellStyle name="Normal 4" xfId="2" xr:uid="{00000000-0005-0000-0000-000008000000}"/>
    <cellStyle name="Normal 6" xfId="15" xr:uid="{95FFE983-CD02-44FC-9434-80A679C6D2E8}"/>
    <cellStyle name="Porcentaje" xfId="3" builtinId="5"/>
  </cellStyles>
  <dxfs count="4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externalLink" Target="externalLinks/externalLink4.xml"/><Relationship Id="rId128" Type="http://schemas.openxmlformats.org/officeDocument/2006/relationships/externalLink" Target="externalLinks/externalLink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externalLink" Target="externalLinks/externalLink5.xml"/><Relationship Id="rId129" Type="http://schemas.openxmlformats.org/officeDocument/2006/relationships/externalLink" Target="externalLinks/externalLink10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externalLink" Target="externalLinks/externalLink11.xml"/><Relationship Id="rId135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externalLink" Target="externalLinks/externalLink1.xml"/><Relationship Id="rId125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externalLink" Target="externalLinks/externalLink12.xml"/><Relationship Id="rId136" Type="http://schemas.microsoft.com/office/2017/10/relationships/person" Target="persons/person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externalLink" Target="externalLinks/externalLink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externalLink" Target="externalLinks/externalLink1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5.png"/><Relationship Id="rId5" Type="http://schemas.openxmlformats.org/officeDocument/2006/relationships/image" Target="../media/image6.png"/><Relationship Id="rId4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5.png"/><Relationship Id="rId5" Type="http://schemas.openxmlformats.org/officeDocument/2006/relationships/image" Target="../media/image6.png"/><Relationship Id="rId4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7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7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.png"/><Relationship Id="rId1" Type="http://schemas.openxmlformats.org/officeDocument/2006/relationships/image" Target="../media/image7.png"/><Relationship Id="rId4" Type="http://schemas.openxmlformats.org/officeDocument/2006/relationships/image" Target="../media/image2.png"/></Relationships>
</file>

<file path=xl/drawings/_rels/drawing9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.png"/><Relationship Id="rId1" Type="http://schemas.openxmlformats.org/officeDocument/2006/relationships/image" Target="../media/image7.png"/><Relationship Id="rId4" Type="http://schemas.openxmlformats.org/officeDocument/2006/relationships/image" Target="../media/image2.png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.png"/><Relationship Id="rId1" Type="http://schemas.openxmlformats.org/officeDocument/2006/relationships/image" Target="../media/image7.png"/><Relationship Id="rId4" Type="http://schemas.openxmlformats.org/officeDocument/2006/relationships/image" Target="../media/image2.png"/></Relationships>
</file>

<file path=xl/drawings/_rels/drawing9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7.png"/><Relationship Id="rId1" Type="http://schemas.openxmlformats.org/officeDocument/2006/relationships/image" Target="../media/image5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9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7.png"/><Relationship Id="rId1" Type="http://schemas.openxmlformats.org/officeDocument/2006/relationships/image" Target="../media/image5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9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1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5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1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183360</xdr:rowOff>
    </xdr:from>
    <xdr:to>
      <xdr:col>14</xdr:col>
      <xdr:colOff>174180</xdr:colOff>
      <xdr:row>0</xdr:row>
      <xdr:rowOff>933453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C84ED8F5-6800-411E-A0D2-F8E22C8F782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656" y="183360"/>
          <a:ext cx="2478880" cy="750093"/>
        </a:xfrm>
        <a:prstGeom prst="rect">
          <a:avLst/>
        </a:prstGeom>
        <a:ln/>
      </xdr:spPr>
    </xdr:pic>
    <xdr:clientData/>
  </xdr:twoCellAnchor>
  <xdr:twoCellAnchor editAs="oneCell">
    <xdr:from>
      <xdr:col>21</xdr:col>
      <xdr:colOff>107154</xdr:colOff>
      <xdr:row>0</xdr:row>
      <xdr:rowOff>130969</xdr:rowOff>
    </xdr:from>
    <xdr:to>
      <xdr:col>36</xdr:col>
      <xdr:colOff>205025</xdr:colOff>
      <xdr:row>0</xdr:row>
      <xdr:rowOff>895352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E25FC6EE-A1D9-4BD0-B64F-A0918D84239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58185" y="130969"/>
          <a:ext cx="3581401" cy="764383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1219200</xdr:colOff>
      <xdr:row>3</xdr:row>
      <xdr:rowOff>4766</xdr:rowOff>
    </xdr:from>
    <xdr:to>
      <xdr:col>2</xdr:col>
      <xdr:colOff>3674268</xdr:colOff>
      <xdr:row>6</xdr:row>
      <xdr:rowOff>107159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7DDBC13-C44F-436B-B2B1-F904E6AF86D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09800" y="633416"/>
          <a:ext cx="2455068" cy="750093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5053011</xdr:colOff>
      <xdr:row>2</xdr:row>
      <xdr:rowOff>161925</xdr:rowOff>
    </xdr:from>
    <xdr:to>
      <xdr:col>6</xdr:col>
      <xdr:colOff>614627</xdr:colOff>
      <xdr:row>6</xdr:row>
      <xdr:rowOff>69058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2A5BB567-7AC3-4348-9054-11C04B9E022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043611" y="581025"/>
          <a:ext cx="3545682" cy="764383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1219200</xdr:colOff>
      <xdr:row>3</xdr:row>
      <xdr:rowOff>4766</xdr:rowOff>
    </xdr:from>
    <xdr:to>
      <xdr:col>2</xdr:col>
      <xdr:colOff>3674268</xdr:colOff>
      <xdr:row>6</xdr:row>
      <xdr:rowOff>107159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54A22CF3-E6F4-4606-B883-4606DC47076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09800" y="614366"/>
          <a:ext cx="2455068" cy="750093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5053011</xdr:colOff>
      <xdr:row>2</xdr:row>
      <xdr:rowOff>161925</xdr:rowOff>
    </xdr:from>
    <xdr:to>
      <xdr:col>6</xdr:col>
      <xdr:colOff>614627</xdr:colOff>
      <xdr:row>6</xdr:row>
      <xdr:rowOff>69058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043D04C-A678-4AFE-A2E7-3B7812D62DC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043611" y="561975"/>
          <a:ext cx="3543566" cy="764383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493395</xdr:colOff>
      <xdr:row>1</xdr:row>
      <xdr:rowOff>426720</xdr:rowOff>
    </xdr:from>
    <xdr:ext cx="1501140" cy="571500"/>
    <xdr:pic>
      <xdr:nvPicPr>
        <xdr:cNvPr id="2" name="image2.png">
          <a:extLst>
            <a:ext uri="{FF2B5EF4-FFF2-40B4-BE49-F238E27FC236}">
              <a16:creationId xmlns:a16="http://schemas.microsoft.com/office/drawing/2014/main" id="{34F3CFD7-C160-4432-848D-FF21C322E45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446520" y="617220"/>
          <a:ext cx="1501140" cy="571500"/>
        </a:xfrm>
        <a:prstGeom prst="rect">
          <a:avLst/>
        </a:prstGeom>
        <a:ln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260033</xdr:colOff>
      <xdr:row>3</xdr:row>
      <xdr:rowOff>102870</xdr:rowOff>
    </xdr:from>
    <xdr:ext cx="1798320" cy="754380"/>
    <xdr:pic>
      <xdr:nvPicPr>
        <xdr:cNvPr id="2" name="image2.png">
          <a:extLst>
            <a:ext uri="{FF2B5EF4-FFF2-40B4-BE49-F238E27FC236}">
              <a16:creationId xmlns:a16="http://schemas.microsoft.com/office/drawing/2014/main" id="{BABC8454-E441-4BD9-95AC-10C346277DB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844939" y="817245"/>
          <a:ext cx="1798320" cy="754380"/>
        </a:xfrm>
        <a:prstGeom prst="rect">
          <a:avLst/>
        </a:prstGeom>
        <a:ln/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1595157</xdr:colOff>
      <xdr:row>5</xdr:row>
      <xdr:rowOff>212635</xdr:rowOff>
    </xdr:from>
    <xdr:to>
      <xdr:col>2</xdr:col>
      <xdr:colOff>4050225</xdr:colOff>
      <xdr:row>8</xdr:row>
      <xdr:rowOff>180620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202CE38C-C542-469A-842D-23A31A34E06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726951" y="1221164"/>
          <a:ext cx="2455068" cy="68516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650220</xdr:colOff>
      <xdr:row>5</xdr:row>
      <xdr:rowOff>160245</xdr:rowOff>
    </xdr:from>
    <xdr:to>
      <xdr:col>11</xdr:col>
      <xdr:colOff>195402</xdr:colOff>
      <xdr:row>8</xdr:row>
      <xdr:rowOff>132993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F60D8C9E-1831-449C-8DE1-F69FB1D0F77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96896" y="1168774"/>
          <a:ext cx="3545682" cy="689925"/>
        </a:xfrm>
        <a:prstGeom prst="rect">
          <a:avLst/>
        </a:prstGeom>
        <a:ln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479498</xdr:colOff>
      <xdr:row>1</xdr:row>
      <xdr:rowOff>59532</xdr:rowOff>
    </xdr:from>
    <xdr:to>
      <xdr:col>2</xdr:col>
      <xdr:colOff>786454</xdr:colOff>
      <xdr:row>3</xdr:row>
      <xdr:rowOff>16883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E1B0D19-FC6E-412F-9D91-84081791B1D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41498" y="250032"/>
          <a:ext cx="1804979" cy="355669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120577</xdr:colOff>
      <xdr:row>1</xdr:row>
      <xdr:rowOff>35717</xdr:rowOff>
    </xdr:from>
    <xdr:to>
      <xdr:col>5</xdr:col>
      <xdr:colOff>1122420</xdr:colOff>
      <xdr:row>3</xdr:row>
      <xdr:rowOff>21643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6CB08B1-7E6C-4528-A686-6FEF620B65E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67736" y="226217"/>
          <a:ext cx="2872207" cy="384244"/>
        </a:xfrm>
        <a:prstGeom prst="rect">
          <a:avLst/>
        </a:prstGeom>
        <a:ln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697707</xdr:colOff>
      <xdr:row>2</xdr:row>
      <xdr:rowOff>107157</xdr:rowOff>
    </xdr:from>
    <xdr:to>
      <xdr:col>2</xdr:col>
      <xdr:colOff>1295400</xdr:colOff>
      <xdr:row>4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A667C6AC-B6BC-4B66-9D1D-4C1242B877C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807243</xdr:colOff>
      <xdr:row>2</xdr:row>
      <xdr:rowOff>92866</xdr:rowOff>
    </xdr:from>
    <xdr:to>
      <xdr:col>5</xdr:col>
      <xdr:colOff>963093</xdr:colOff>
      <xdr:row>4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54399EEA-EE25-4E3B-B924-C6281378D3E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697707</xdr:colOff>
      <xdr:row>2</xdr:row>
      <xdr:rowOff>107157</xdr:rowOff>
    </xdr:from>
    <xdr:to>
      <xdr:col>2</xdr:col>
      <xdr:colOff>1295400</xdr:colOff>
      <xdr:row>4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4A76671D-2092-4854-89E1-D4F0CEE4CE1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1835943</xdr:colOff>
      <xdr:row>2</xdr:row>
      <xdr:rowOff>83341</xdr:rowOff>
    </xdr:from>
    <xdr:to>
      <xdr:col>4</xdr:col>
      <xdr:colOff>184424</xdr:colOff>
      <xdr:row>4</xdr:row>
      <xdr:rowOff>123824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A1886E9D-ADE9-4027-9D78-A482B311971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645693" y="4833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123266</xdr:colOff>
      <xdr:row>13</xdr:row>
      <xdr:rowOff>12450</xdr:rowOff>
    </xdr:from>
    <xdr:to>
      <xdr:col>13</xdr:col>
      <xdr:colOff>322695</xdr:colOff>
      <xdr:row>26</xdr:row>
      <xdr:rowOff>13177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6D66B9-5404-4520-B640-282F231BD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2972" y="2645832"/>
          <a:ext cx="4771429" cy="2667727"/>
        </a:xfrm>
        <a:prstGeom prst="rect">
          <a:avLst/>
        </a:prstGeom>
      </xdr:spPr>
    </xdr:pic>
    <xdr:clientData/>
  </xdr:twoCellAnchor>
  <xdr:twoCellAnchor>
    <xdr:from>
      <xdr:col>8</xdr:col>
      <xdr:colOff>254000</xdr:colOff>
      <xdr:row>22</xdr:row>
      <xdr:rowOff>74082</xdr:rowOff>
    </xdr:from>
    <xdr:to>
      <xdr:col>13</xdr:col>
      <xdr:colOff>391584</xdr:colOff>
      <xdr:row>23</xdr:row>
      <xdr:rowOff>21165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679524B0-E475-40B2-9556-12216C6EAC38}"/>
            </a:ext>
          </a:extLst>
        </xdr:cNvPr>
        <xdr:cNvSpPr/>
      </xdr:nvSpPr>
      <xdr:spPr>
        <a:xfrm>
          <a:off x="8074025" y="4522257"/>
          <a:ext cx="3947584" cy="147108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D744729-2AA3-40E5-8027-74B30061645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D3C8C00-92EC-479D-A2A0-E944EB701722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190501</xdr:colOff>
      <xdr:row>13</xdr:row>
      <xdr:rowOff>169333</xdr:rowOff>
    </xdr:from>
    <xdr:to>
      <xdr:col>13</xdr:col>
      <xdr:colOff>389930</xdr:colOff>
      <xdr:row>26</xdr:row>
      <xdr:rowOff>170060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15F8AE-2158-47BD-902F-9779D3388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49584" y="2868083"/>
          <a:ext cx="4771429" cy="2657143"/>
        </a:xfrm>
        <a:prstGeom prst="rect">
          <a:avLst/>
        </a:prstGeom>
      </xdr:spPr>
    </xdr:pic>
    <xdr:clientData/>
  </xdr:twoCellAnchor>
  <xdr:twoCellAnchor>
    <xdr:from>
      <xdr:col>8</xdr:col>
      <xdr:colOff>254000</xdr:colOff>
      <xdr:row>22</xdr:row>
      <xdr:rowOff>74082</xdr:rowOff>
    </xdr:from>
    <xdr:to>
      <xdr:col>13</xdr:col>
      <xdr:colOff>391584</xdr:colOff>
      <xdr:row>23</xdr:row>
      <xdr:rowOff>21165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1AC446D9-E769-4080-98C3-37372E7ADED3}"/>
            </a:ext>
          </a:extLst>
        </xdr:cNvPr>
        <xdr:cNvSpPr/>
      </xdr:nvSpPr>
      <xdr:spPr>
        <a:xfrm>
          <a:off x="8075083" y="4550832"/>
          <a:ext cx="3947584" cy="148166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30779D0D-5948-459F-817D-8A089E2CBB1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ED4A1091-B6EB-4272-8001-DCAE06AEEF2F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264583</xdr:colOff>
      <xdr:row>17</xdr:row>
      <xdr:rowOff>201083</xdr:rowOff>
    </xdr:from>
    <xdr:to>
      <xdr:col>13</xdr:col>
      <xdr:colOff>464012</xdr:colOff>
      <xdr:row>30</xdr:row>
      <xdr:rowOff>159476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16E87E5-12D0-45B8-AD61-B78641AB4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3666" y="3630083"/>
          <a:ext cx="4771429" cy="2657143"/>
        </a:xfrm>
        <a:prstGeom prst="rect">
          <a:avLst/>
        </a:prstGeom>
      </xdr:spPr>
    </xdr:pic>
    <xdr:clientData/>
  </xdr:twoCellAnchor>
  <xdr:twoCellAnchor>
    <xdr:from>
      <xdr:col>8</xdr:col>
      <xdr:colOff>306916</xdr:colOff>
      <xdr:row>24</xdr:row>
      <xdr:rowOff>148165</xdr:rowOff>
    </xdr:from>
    <xdr:to>
      <xdr:col>13</xdr:col>
      <xdr:colOff>444500</xdr:colOff>
      <xdr:row>25</xdr:row>
      <xdr:rowOff>95248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5FC3FACA-657C-4C79-BDD4-11749252DD77}"/>
            </a:ext>
          </a:extLst>
        </xdr:cNvPr>
        <xdr:cNvSpPr/>
      </xdr:nvSpPr>
      <xdr:spPr>
        <a:xfrm>
          <a:off x="8127999" y="5027082"/>
          <a:ext cx="3947584" cy="148166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60513AE4-EBC7-4D6B-B214-100E6606D39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9D6259D0-1FFC-4820-A183-F60405A61287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370417</xdr:colOff>
      <xdr:row>19</xdr:row>
      <xdr:rowOff>21166</xdr:rowOff>
    </xdr:from>
    <xdr:to>
      <xdr:col>14</xdr:col>
      <xdr:colOff>569846</xdr:colOff>
      <xdr:row>32</xdr:row>
      <xdr:rowOff>726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1D51CDC-3EBF-4D1C-AD3D-58193F6F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0" y="3884083"/>
          <a:ext cx="4771429" cy="2657143"/>
        </a:xfrm>
        <a:prstGeom prst="rect">
          <a:avLst/>
        </a:prstGeom>
      </xdr:spPr>
    </xdr:pic>
    <xdr:clientData/>
  </xdr:twoCellAnchor>
  <xdr:twoCellAnchor>
    <xdr:from>
      <xdr:col>9</xdr:col>
      <xdr:colOff>444500</xdr:colOff>
      <xdr:row>23</xdr:row>
      <xdr:rowOff>84665</xdr:rowOff>
    </xdr:from>
    <xdr:to>
      <xdr:col>14</xdr:col>
      <xdr:colOff>582084</xdr:colOff>
      <xdr:row>24</xdr:row>
      <xdr:rowOff>31748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56AE741A-E4E1-43D6-B892-A20F050DCF4D}"/>
            </a:ext>
          </a:extLst>
        </xdr:cNvPr>
        <xdr:cNvSpPr/>
      </xdr:nvSpPr>
      <xdr:spPr>
        <a:xfrm>
          <a:off x="9027583" y="4751915"/>
          <a:ext cx="3947584" cy="1587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74B9840A-6511-447D-8C37-54CFAD31096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64E6C787-0859-4863-9161-2559BC8BC736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11228E2F-5B47-4AA1-975E-19FDB1414DB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109FDCBA-406D-4341-916D-BC3E922B9EE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74083</xdr:colOff>
      <xdr:row>20</xdr:row>
      <xdr:rowOff>105834</xdr:rowOff>
    </xdr:from>
    <xdr:ext cx="2685714" cy="2047166"/>
    <xdr:pic>
      <xdr:nvPicPr>
        <xdr:cNvPr id="2" name="Imagen 1">
          <a:extLst>
            <a:ext uri="{FF2B5EF4-FFF2-40B4-BE49-F238E27FC236}">
              <a16:creationId xmlns:a16="http://schemas.microsoft.com/office/drawing/2014/main" id="{64D4DF7F-5362-45E4-A707-351E04A9E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2083" y="3915834"/>
          <a:ext cx="2685714" cy="2047166"/>
        </a:xfrm>
        <a:prstGeom prst="rect">
          <a:avLst/>
        </a:prstGeom>
      </xdr:spPr>
    </xdr:pic>
    <xdr:clientData/>
  </xdr:oneCellAnchor>
  <xdr:twoCellAnchor>
    <xdr:from>
      <xdr:col>9</xdr:col>
      <xdr:colOff>252488</xdr:colOff>
      <xdr:row>25</xdr:row>
      <xdr:rowOff>71059</xdr:rowOff>
    </xdr:from>
    <xdr:to>
      <xdr:col>12</xdr:col>
      <xdr:colOff>294821</xdr:colOff>
      <xdr:row>26</xdr:row>
      <xdr:rowOff>148166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E8BBFF9E-4B83-4781-B5C7-6AD795CC220F}"/>
            </a:ext>
          </a:extLst>
        </xdr:cNvPr>
        <xdr:cNvSpPr/>
      </xdr:nvSpPr>
      <xdr:spPr>
        <a:xfrm>
          <a:off x="7110488" y="4833559"/>
          <a:ext cx="2328333" cy="267607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0</xdr:col>
      <xdr:colOff>697707</xdr:colOff>
      <xdr:row>1</xdr:row>
      <xdr:rowOff>107157</xdr:rowOff>
    </xdr:from>
    <xdr:ext cx="1969293" cy="443932"/>
    <xdr:pic>
      <xdr:nvPicPr>
        <xdr:cNvPr id="4" name="image2.png">
          <a:extLst>
            <a:ext uri="{FF2B5EF4-FFF2-40B4-BE49-F238E27FC236}">
              <a16:creationId xmlns:a16="http://schemas.microsoft.com/office/drawing/2014/main" id="{FEE395A0-EFE9-4EE3-BF73-F7D746A2267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297657"/>
          <a:ext cx="1969293" cy="443932"/>
        </a:xfrm>
        <a:prstGeom prst="rect">
          <a:avLst/>
        </a:prstGeom>
        <a:ln/>
      </xdr:spPr>
    </xdr:pic>
    <xdr:clientData/>
  </xdr:oneCellAnchor>
  <xdr:oneCellAnchor>
    <xdr:from>
      <xdr:col>2</xdr:col>
      <xdr:colOff>807243</xdr:colOff>
      <xdr:row>1</xdr:row>
      <xdr:rowOff>92866</xdr:rowOff>
    </xdr:from>
    <xdr:ext cx="2873196" cy="448697"/>
    <xdr:pic>
      <xdr:nvPicPr>
        <xdr:cNvPr id="5" name="image3.png">
          <a:extLst>
            <a:ext uri="{FF2B5EF4-FFF2-40B4-BE49-F238E27FC236}">
              <a16:creationId xmlns:a16="http://schemas.microsoft.com/office/drawing/2014/main" id="{5FAEBCE1-6624-4B7C-86AE-1B25088DB165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283618" y="283366"/>
          <a:ext cx="2873196" cy="448697"/>
        </a:xfrm>
        <a:prstGeom prst="rect">
          <a:avLst/>
        </a:prstGeom>
        <a:ln/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74083</xdr:colOff>
      <xdr:row>20</xdr:row>
      <xdr:rowOff>105834</xdr:rowOff>
    </xdr:from>
    <xdr:to>
      <xdr:col>12</xdr:col>
      <xdr:colOff>473797</xdr:colOff>
      <xdr:row>30</xdr:row>
      <xdr:rowOff>111929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C4DE72-B9F8-1393-2E03-7794B7D3D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7166" y="4180417"/>
          <a:ext cx="2685714" cy="2038095"/>
        </a:xfrm>
        <a:prstGeom prst="rect">
          <a:avLst/>
        </a:prstGeom>
      </xdr:spPr>
    </xdr:pic>
    <xdr:clientData/>
  </xdr:twoCellAnchor>
  <xdr:twoCellAnchor>
    <xdr:from>
      <xdr:col>9</xdr:col>
      <xdr:colOff>306917</xdr:colOff>
      <xdr:row>26</xdr:row>
      <xdr:rowOff>179917</xdr:rowOff>
    </xdr:from>
    <xdr:to>
      <xdr:col>12</xdr:col>
      <xdr:colOff>349250</xdr:colOff>
      <xdr:row>28</xdr:row>
      <xdr:rowOff>52917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6B2F14DC-B2A7-D97A-C59F-9F75F671511D}"/>
            </a:ext>
          </a:extLst>
        </xdr:cNvPr>
        <xdr:cNvSpPr/>
      </xdr:nvSpPr>
      <xdr:spPr>
        <a:xfrm>
          <a:off x="8890000" y="5461000"/>
          <a:ext cx="2328333" cy="254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0E5B600B-38C4-4940-88BD-88D707D8078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CD5A3EEB-B6F2-4FB2-A6F4-08C1A9695DD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2E6E9C97-A160-4AAE-8D0B-07514B291FD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3FA17BFF-D387-4F9A-9EEB-03E1BA4EEFB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B312C4D8-623E-4FAB-BB91-2F029A0FC1E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77647EE-3166-443C-9D21-2F6730912EA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EF5178AC-7CCF-47BF-99E0-1722F43D89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B54FB724-6585-4F4F-81DD-69191E89FAB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1E78039-05AE-4973-A9F3-254503F64B6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756C068-D572-4874-8ADC-275E787B667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A5B341A5-9E1D-4F99-B8BE-57789CE94D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E11D020C-EBD9-4104-8D04-DCE78B8DD99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A0AEA98F-887D-4B4E-A2B6-BD71367DD25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44976FAE-C3F8-421F-B579-43D15A97621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D6848729-9F62-4BFF-92A2-5F116519E29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47F7A58F-D746-4052-A53B-13341934AA3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740833</xdr:colOff>
      <xdr:row>11</xdr:row>
      <xdr:rowOff>211666</xdr:rowOff>
    </xdr:from>
    <xdr:to>
      <xdr:col>13</xdr:col>
      <xdr:colOff>1535</xdr:colOff>
      <xdr:row>22</xdr:row>
      <xdr:rowOff>44177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7E2B714-5C06-4579-C3EE-C60DD6FA5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9916" y="2920999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698500</xdr:colOff>
      <xdr:row>18</xdr:row>
      <xdr:rowOff>31749</xdr:rowOff>
    </xdr:from>
    <xdr:to>
      <xdr:col>11</xdr:col>
      <xdr:colOff>380999</xdr:colOff>
      <xdr:row>18</xdr:row>
      <xdr:rowOff>158749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742C0178-07FD-4F09-A611-2AA1376C6FEA}"/>
            </a:ext>
          </a:extLst>
        </xdr:cNvPr>
        <xdr:cNvSpPr/>
      </xdr:nvSpPr>
      <xdr:spPr>
        <a:xfrm>
          <a:off x="8519583" y="4190999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719667</xdr:colOff>
      <xdr:row>16</xdr:row>
      <xdr:rowOff>105832</xdr:rowOff>
    </xdr:from>
    <xdr:to>
      <xdr:col>11</xdr:col>
      <xdr:colOff>402166</xdr:colOff>
      <xdr:row>17</xdr:row>
      <xdr:rowOff>21166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9E2EB504-6443-7771-DD8B-E173D62B5C84}"/>
            </a:ext>
          </a:extLst>
        </xdr:cNvPr>
        <xdr:cNvSpPr/>
      </xdr:nvSpPr>
      <xdr:spPr>
        <a:xfrm>
          <a:off x="8540750" y="3841749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123825</xdr:rowOff>
    </xdr:to>
    <xdr:pic>
      <xdr:nvPicPr>
        <xdr:cNvPr id="9" name="image2.png">
          <a:extLst>
            <a:ext uri="{FF2B5EF4-FFF2-40B4-BE49-F238E27FC236}">
              <a16:creationId xmlns:a16="http://schemas.microsoft.com/office/drawing/2014/main" id="{6CD426B3-0B29-43F6-9B36-35F728C56CD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114299</xdr:rowOff>
    </xdr:to>
    <xdr:pic>
      <xdr:nvPicPr>
        <xdr:cNvPr id="10" name="image3.png">
          <a:extLst>
            <a:ext uri="{FF2B5EF4-FFF2-40B4-BE49-F238E27FC236}">
              <a16:creationId xmlns:a16="http://schemas.microsoft.com/office/drawing/2014/main" id="{577DD3E7-DBEA-46BA-AB47-AA5C4E85DBB8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9</xdr:col>
      <xdr:colOff>63500</xdr:colOff>
      <xdr:row>27</xdr:row>
      <xdr:rowOff>137583</xdr:rowOff>
    </xdr:from>
    <xdr:to>
      <xdr:col>12</xdr:col>
      <xdr:colOff>113610</xdr:colOff>
      <xdr:row>38</xdr:row>
      <xdr:rowOff>126690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CA6CA78-E3DD-4541-AA3A-C6F8F98CD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46583" y="6011333"/>
          <a:ext cx="2452527" cy="234919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E6C4D829-330A-46C2-9129-08C3487C5C2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32B8B8B5-DB3B-41EC-A944-BC8621AA9BE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B7B42BF8-BA07-413C-A9B7-45ABCA4DF37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5DF3549-9D38-4240-8C92-D507B0F2E1B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001FD57-15B0-461C-BC84-089D33A2CDA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606E767-C50B-419E-B24C-8C75685F124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31750</xdr:rowOff>
    </xdr:from>
    <xdr:to>
      <xdr:col>13</xdr:col>
      <xdr:colOff>721202</xdr:colOff>
      <xdr:row>22</xdr:row>
      <xdr:rowOff>160596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E52D773-F06A-491F-821D-C3A955821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1083" y="2825750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751417</xdr:colOff>
      <xdr:row>17</xdr:row>
      <xdr:rowOff>105834</xdr:rowOff>
    </xdr:from>
    <xdr:to>
      <xdr:col>11</xdr:col>
      <xdr:colOff>433916</xdr:colOff>
      <xdr:row>18</xdr:row>
      <xdr:rowOff>52918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F6709A5A-8A02-4632-A3BE-EE1727B2614C}"/>
            </a:ext>
          </a:extLst>
        </xdr:cNvPr>
        <xdr:cNvSpPr/>
      </xdr:nvSpPr>
      <xdr:spPr>
        <a:xfrm>
          <a:off x="8572500" y="3894667"/>
          <a:ext cx="2084916" cy="158751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2AE4B82D-56A4-4B0F-B59B-BAC24CAA075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13CCCC56-3E0C-4C7E-B602-844E201262C8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9</xdr:col>
      <xdr:colOff>317500</xdr:colOff>
      <xdr:row>26</xdr:row>
      <xdr:rowOff>0</xdr:rowOff>
    </xdr:from>
    <xdr:to>
      <xdr:col>12</xdr:col>
      <xdr:colOff>370256</xdr:colOff>
      <xdr:row>37</xdr:row>
      <xdr:rowOff>112138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B71C0B8-993C-4348-84B7-108BE2614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00583" y="5799667"/>
          <a:ext cx="2455173" cy="233463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428626</xdr:colOff>
      <xdr:row>11</xdr:row>
      <xdr:rowOff>160074</xdr:rowOff>
    </xdr:from>
    <xdr:to>
      <xdr:col>13</xdr:col>
      <xdr:colOff>387828</xdr:colOff>
      <xdr:row>22</xdr:row>
      <xdr:rowOff>75930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7BD2B70-BCE7-4817-B6D9-1BF2CF493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9032" y="2731824"/>
          <a:ext cx="4650265" cy="2178043"/>
        </a:xfrm>
        <a:prstGeom prst="rect">
          <a:avLst/>
        </a:prstGeom>
      </xdr:spPr>
    </xdr:pic>
    <xdr:clientData/>
  </xdr:twoCellAnchor>
  <xdr:twoCellAnchor>
    <xdr:from>
      <xdr:col>8</xdr:col>
      <xdr:colOff>431272</xdr:colOff>
      <xdr:row>16</xdr:row>
      <xdr:rowOff>68794</xdr:rowOff>
    </xdr:from>
    <xdr:to>
      <xdr:col>11</xdr:col>
      <xdr:colOff>113771</xdr:colOff>
      <xdr:row>16</xdr:row>
      <xdr:rowOff>197116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1A0D8202-243C-4011-907E-01F6CB11F278}"/>
            </a:ext>
          </a:extLst>
        </xdr:cNvPr>
        <xdr:cNvSpPr/>
      </xdr:nvSpPr>
      <xdr:spPr>
        <a:xfrm>
          <a:off x="8253678" y="3652575"/>
          <a:ext cx="2087562" cy="128322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698860</xdr:colOff>
      <xdr:row>27</xdr:row>
      <xdr:rowOff>107157</xdr:rowOff>
    </xdr:from>
    <xdr:to>
      <xdr:col>14</xdr:col>
      <xdr:colOff>737950</xdr:colOff>
      <xdr:row>39</xdr:row>
      <xdr:rowOff>100155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9709319-8C07-43C6-8C2D-334CC62D8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45266" y="5941220"/>
          <a:ext cx="3206153" cy="2481405"/>
        </a:xfrm>
        <a:prstGeom prst="rect">
          <a:avLst/>
        </a:prstGeom>
      </xdr:spPr>
    </xdr:pic>
    <xdr:clientData/>
  </xdr:twoCellAnchor>
  <xdr:twoCellAnchor>
    <xdr:from>
      <xdr:col>11</xdr:col>
      <xdr:colOff>653853</xdr:colOff>
      <xdr:row>30</xdr:row>
      <xdr:rowOff>160661</xdr:rowOff>
    </xdr:from>
    <xdr:to>
      <xdr:col>14</xdr:col>
      <xdr:colOff>687917</xdr:colOff>
      <xdr:row>31</xdr:row>
      <xdr:rowOff>75407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DF732D32-CD11-4486-95A5-5DA5580969A1}"/>
            </a:ext>
          </a:extLst>
        </xdr:cNvPr>
        <xdr:cNvSpPr/>
      </xdr:nvSpPr>
      <xdr:spPr>
        <a:xfrm>
          <a:off x="10881322" y="6590036"/>
          <a:ext cx="2320064" cy="129059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865F074A-D37F-4DDF-9B1A-5F20690295C7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BD115E7B-F393-4F1F-807E-950499072476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333375</xdr:colOff>
      <xdr:row>27</xdr:row>
      <xdr:rowOff>83344</xdr:rowOff>
    </xdr:from>
    <xdr:to>
      <xdr:col>10</xdr:col>
      <xdr:colOff>505194</xdr:colOff>
      <xdr:row>38</xdr:row>
      <xdr:rowOff>153148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6890669-D24F-4582-80AA-0EB32CF97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93781" y="5917407"/>
          <a:ext cx="2457819" cy="234389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296334</xdr:colOff>
      <xdr:row>11</xdr:row>
      <xdr:rowOff>116416</xdr:rowOff>
    </xdr:from>
    <xdr:to>
      <xdr:col>13</xdr:col>
      <xdr:colOff>255536</xdr:colOff>
      <xdr:row>22</xdr:row>
      <xdr:rowOff>33595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5C7DBD-89AC-4A40-80EB-61BB95534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55417" y="2709333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275168</xdr:colOff>
      <xdr:row>16</xdr:row>
      <xdr:rowOff>21167</xdr:rowOff>
    </xdr:from>
    <xdr:to>
      <xdr:col>10</xdr:col>
      <xdr:colOff>836084</xdr:colOff>
      <xdr:row>17</xdr:row>
      <xdr:rowOff>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F9D19AC1-36B6-4DA1-8134-09A66C6AFB38}"/>
            </a:ext>
          </a:extLst>
        </xdr:cNvPr>
        <xdr:cNvSpPr/>
      </xdr:nvSpPr>
      <xdr:spPr>
        <a:xfrm>
          <a:off x="8096251" y="3619500"/>
          <a:ext cx="2084916" cy="179917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306917</xdr:colOff>
      <xdr:row>17</xdr:row>
      <xdr:rowOff>179917</xdr:rowOff>
    </xdr:from>
    <xdr:to>
      <xdr:col>10</xdr:col>
      <xdr:colOff>867833</xdr:colOff>
      <xdr:row>18</xdr:row>
      <xdr:rowOff>105834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73E2F722-73D8-4A97-A11E-7D5AFFD24940}"/>
            </a:ext>
          </a:extLst>
        </xdr:cNvPr>
        <xdr:cNvSpPr/>
      </xdr:nvSpPr>
      <xdr:spPr>
        <a:xfrm>
          <a:off x="8128000" y="3979334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7" name="image2.png">
          <a:extLst>
            <a:ext uri="{FF2B5EF4-FFF2-40B4-BE49-F238E27FC236}">
              <a16:creationId xmlns:a16="http://schemas.microsoft.com/office/drawing/2014/main" id="{4156476D-909E-45DD-B0B7-DBC0B3C0328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D456BBCC-D152-4E00-9E68-83AE2A730364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8</xdr:col>
      <xdr:colOff>328084</xdr:colOff>
      <xdr:row>28</xdr:row>
      <xdr:rowOff>126999</xdr:rowOff>
    </xdr:from>
    <xdr:to>
      <xdr:col>11</xdr:col>
      <xdr:colOff>383486</xdr:colOff>
      <xdr:row>39</xdr:row>
      <xdr:rowOff>184897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A877912-A1C8-4007-88B4-95EFD032A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49167" y="5958416"/>
          <a:ext cx="2457819" cy="2343898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423334</xdr:colOff>
      <xdr:row>11</xdr:row>
      <xdr:rowOff>95250</xdr:rowOff>
    </xdr:from>
    <xdr:to>
      <xdr:col>13</xdr:col>
      <xdr:colOff>382536</xdr:colOff>
      <xdr:row>22</xdr:row>
      <xdr:rowOff>23013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E703B9-1A34-47DA-9214-73FCC716A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2417" y="2688167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359835</xdr:colOff>
      <xdr:row>16</xdr:row>
      <xdr:rowOff>31752</xdr:rowOff>
    </xdr:from>
    <xdr:to>
      <xdr:col>11</xdr:col>
      <xdr:colOff>42334</xdr:colOff>
      <xdr:row>16</xdr:row>
      <xdr:rowOff>158752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CB842E6A-8E3F-4B80-855F-18CF5EDBFF15}"/>
            </a:ext>
          </a:extLst>
        </xdr:cNvPr>
        <xdr:cNvSpPr/>
      </xdr:nvSpPr>
      <xdr:spPr>
        <a:xfrm>
          <a:off x="8180918" y="3630085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412751</xdr:colOff>
      <xdr:row>17</xdr:row>
      <xdr:rowOff>148167</xdr:rowOff>
    </xdr:from>
    <xdr:to>
      <xdr:col>11</xdr:col>
      <xdr:colOff>95250</xdr:colOff>
      <xdr:row>18</xdr:row>
      <xdr:rowOff>74084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A93416DA-AE9C-4A68-93DA-20F56631DA91}"/>
            </a:ext>
          </a:extLst>
        </xdr:cNvPr>
        <xdr:cNvSpPr/>
      </xdr:nvSpPr>
      <xdr:spPr>
        <a:xfrm>
          <a:off x="8233834" y="3947584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7" name="image2.png">
          <a:extLst>
            <a:ext uri="{FF2B5EF4-FFF2-40B4-BE49-F238E27FC236}">
              <a16:creationId xmlns:a16="http://schemas.microsoft.com/office/drawing/2014/main" id="{199E5B7C-2AA4-4569-9816-1BC03E2934B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26A19A8C-479A-41D7-885D-6849BB646482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8</xdr:col>
      <xdr:colOff>571500</xdr:colOff>
      <xdr:row>26</xdr:row>
      <xdr:rowOff>158750</xdr:rowOff>
    </xdr:from>
    <xdr:to>
      <xdr:col>11</xdr:col>
      <xdr:colOff>626902</xdr:colOff>
      <xdr:row>38</xdr:row>
      <xdr:rowOff>57898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7CB3B47-D6F5-4FFD-B9DE-DE0944E3D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92583" y="5778500"/>
          <a:ext cx="2457819" cy="2343898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370417</xdr:colOff>
      <xdr:row>11</xdr:row>
      <xdr:rowOff>137583</xdr:rowOff>
    </xdr:from>
    <xdr:to>
      <xdr:col>13</xdr:col>
      <xdr:colOff>329619</xdr:colOff>
      <xdr:row>22</xdr:row>
      <xdr:rowOff>65346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39FD9E-99E2-4318-9EEE-081BAA859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500" y="2730500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370418</xdr:colOff>
      <xdr:row>16</xdr:row>
      <xdr:rowOff>169334</xdr:rowOff>
    </xdr:from>
    <xdr:to>
      <xdr:col>11</xdr:col>
      <xdr:colOff>52917</xdr:colOff>
      <xdr:row>17</xdr:row>
      <xdr:rowOff>190500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8EEE4307-0035-4764-94F9-216A2F05D704}"/>
            </a:ext>
          </a:extLst>
        </xdr:cNvPr>
        <xdr:cNvSpPr/>
      </xdr:nvSpPr>
      <xdr:spPr>
        <a:xfrm>
          <a:off x="8191501" y="3767667"/>
          <a:ext cx="2084916" cy="2222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8134D93B-0E92-4525-A4BD-AA303163E5B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75765999-AF4A-4F4D-B701-4CE7B9A41864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306917</xdr:colOff>
      <xdr:row>26</xdr:row>
      <xdr:rowOff>179917</xdr:rowOff>
    </xdr:from>
    <xdr:to>
      <xdr:col>10</xdr:col>
      <xdr:colOff>478736</xdr:colOff>
      <xdr:row>38</xdr:row>
      <xdr:rowOff>79065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55ADAFA-C512-49D1-84C3-2C1FED2EF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66000" y="5799667"/>
          <a:ext cx="2457819" cy="2343898"/>
        </a:xfrm>
        <a:prstGeom prst="rect">
          <a:avLst/>
        </a:prstGeom>
      </xdr:spPr>
    </xdr:pic>
    <xdr:clientData/>
  </xdr:twoCellAnchor>
  <xdr:twoCellAnchor editAs="oneCell">
    <xdr:from>
      <xdr:col>10</xdr:col>
      <xdr:colOff>656167</xdr:colOff>
      <xdr:row>26</xdr:row>
      <xdr:rowOff>158750</xdr:rowOff>
    </xdr:from>
    <xdr:to>
      <xdr:col>14</xdr:col>
      <xdr:colOff>697903</xdr:colOff>
      <xdr:row>38</xdr:row>
      <xdr:rowOff>195405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1C57F1-D136-401D-ACC4-1285CDAF9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01250" y="5778500"/>
          <a:ext cx="3206153" cy="2481405"/>
        </a:xfrm>
        <a:prstGeom prst="rect">
          <a:avLst/>
        </a:prstGeom>
      </xdr:spPr>
    </xdr:pic>
    <xdr:clientData/>
  </xdr:twoCellAnchor>
  <xdr:twoCellAnchor>
    <xdr:from>
      <xdr:col>11</xdr:col>
      <xdr:colOff>613806</xdr:colOff>
      <xdr:row>30</xdr:row>
      <xdr:rowOff>13817</xdr:rowOff>
    </xdr:from>
    <xdr:to>
      <xdr:col>14</xdr:col>
      <xdr:colOff>647870</xdr:colOff>
      <xdr:row>30</xdr:row>
      <xdr:rowOff>142875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FB52FE67-D0C0-45A5-AC56-10A9A21F59C4}"/>
            </a:ext>
          </a:extLst>
        </xdr:cNvPr>
        <xdr:cNvSpPr/>
      </xdr:nvSpPr>
      <xdr:spPr>
        <a:xfrm>
          <a:off x="10837306" y="6427317"/>
          <a:ext cx="2320064" cy="129058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402167</xdr:colOff>
      <xdr:row>11</xdr:row>
      <xdr:rowOff>95251</xdr:rowOff>
    </xdr:from>
    <xdr:to>
      <xdr:col>13</xdr:col>
      <xdr:colOff>361369</xdr:colOff>
      <xdr:row>22</xdr:row>
      <xdr:rowOff>23014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796759-F5C1-4A85-9323-6DAFA97AF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1250" y="2497668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402168</xdr:colOff>
      <xdr:row>15</xdr:row>
      <xdr:rowOff>190500</xdr:rowOff>
    </xdr:from>
    <xdr:to>
      <xdr:col>11</xdr:col>
      <xdr:colOff>84667</xdr:colOff>
      <xdr:row>17</xdr:row>
      <xdr:rowOff>21166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AF0F5F2B-E330-44DF-8963-94B4AAB13F6E}"/>
            </a:ext>
          </a:extLst>
        </xdr:cNvPr>
        <xdr:cNvSpPr/>
      </xdr:nvSpPr>
      <xdr:spPr>
        <a:xfrm>
          <a:off x="8223251" y="3397250"/>
          <a:ext cx="2084916" cy="232833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238563</xdr:colOff>
      <xdr:row>27</xdr:row>
      <xdr:rowOff>63500</xdr:rowOff>
    </xdr:from>
    <xdr:to>
      <xdr:col>14</xdr:col>
      <xdr:colOff>315940</xdr:colOff>
      <xdr:row>39</xdr:row>
      <xdr:rowOff>100155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54B0AC3-60D4-9D68-3450-635DC609F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83646" y="5693833"/>
          <a:ext cx="3241794" cy="2502572"/>
        </a:xfrm>
        <a:prstGeom prst="rect">
          <a:avLst/>
        </a:prstGeom>
      </xdr:spPr>
    </xdr:pic>
    <xdr:clientData/>
  </xdr:twoCellAnchor>
  <xdr:twoCellAnchor>
    <xdr:from>
      <xdr:col>10</xdr:col>
      <xdr:colOff>588761</xdr:colOff>
      <xdr:row>30</xdr:row>
      <xdr:rowOff>106507</xdr:rowOff>
    </xdr:from>
    <xdr:to>
      <xdr:col>14</xdr:col>
      <xdr:colOff>95250</xdr:colOff>
      <xdr:row>31</xdr:row>
      <xdr:rowOff>31750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4A881777-1D01-E01F-41B8-9AD8F26FECD0}"/>
            </a:ext>
          </a:extLst>
        </xdr:cNvPr>
        <xdr:cNvSpPr/>
      </xdr:nvSpPr>
      <xdr:spPr>
        <a:xfrm>
          <a:off x="9933844" y="6329507"/>
          <a:ext cx="2670906" cy="136910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019D1F0B-ABE8-4830-A90B-9D81E1B9A6BC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A11E666F-FAA5-4983-91BF-5D0F829DF882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656167</xdr:colOff>
      <xdr:row>28</xdr:row>
      <xdr:rowOff>10583</xdr:rowOff>
    </xdr:from>
    <xdr:to>
      <xdr:col>10</xdr:col>
      <xdr:colOff>65986</xdr:colOff>
      <xdr:row>39</xdr:row>
      <xdr:rowOff>79064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AB281B9-3964-4463-AD7A-839C2C742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53250" y="5831416"/>
          <a:ext cx="2457819" cy="2343898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11DAFC41-2755-418E-AA65-087C65CA1D5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E51826E6-F486-4D4F-B0CC-00E95B166AF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52916</xdr:colOff>
      <xdr:row>10</xdr:row>
      <xdr:rowOff>116416</xdr:rowOff>
    </xdr:from>
    <xdr:to>
      <xdr:col>13</xdr:col>
      <xdr:colOff>12118</xdr:colOff>
      <xdr:row>21</xdr:row>
      <xdr:rowOff>33595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15C79B-AC6F-4F85-9D56-EEF518482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11999" y="2116666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52917</xdr:colOff>
      <xdr:row>15</xdr:row>
      <xdr:rowOff>148166</xdr:rowOff>
    </xdr:from>
    <xdr:to>
      <xdr:col>10</xdr:col>
      <xdr:colOff>613833</xdr:colOff>
      <xdr:row>16</xdr:row>
      <xdr:rowOff>169333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321DBBBB-565D-4EA6-8C22-50961ADB2EF2}"/>
            </a:ext>
          </a:extLst>
        </xdr:cNvPr>
        <xdr:cNvSpPr/>
      </xdr:nvSpPr>
      <xdr:spPr>
        <a:xfrm>
          <a:off x="7874000" y="3153833"/>
          <a:ext cx="2084916" cy="2222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6800A15-D03F-494D-8E37-22419C3BF97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5F28D1B-ADED-4B8A-A115-159756DAA11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930ED84-7D77-4A96-AE78-B46125EDA4A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49FD3038-17E3-4A64-8F21-A8BFC6CF727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0EF7601-14BB-4054-8762-A1E40DA6A72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2CD75D10-C192-4CA7-9D47-7387C80EFE2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2D985E2-E1D4-4D51-B437-86C5C271E77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1996B6EB-1328-493B-9055-6C4DE248A91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C31F30C-3B53-434C-957C-302BD277EAA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B3253DA1-B5BC-4051-9909-A860F0C804D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90FD294-F3C7-4C27-BF03-2893348CD7A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FF208D4-6981-4577-848C-16696490531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3A95CFF5-C611-41E1-B250-1623DE5F9B5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FEC139D4-6C10-4B27-B21B-CDEABEA9695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2B1C56BB-6D9E-4D25-B701-E5208B19CA7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2F7B00F2-8AFA-4D30-B0CB-6E8CD90FD38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6F958DCB-1A4D-4A0D-80E6-ECF013AEE9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2959116-B728-4D26-B0D7-3E15DC91C8F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AE4378C3-A163-49DE-AC96-11C6DA58E73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FBBA7935-3009-44D3-B018-5E7FE8D50B3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30EF914-D31E-40F3-A822-7F221B7971F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715085F-D4A9-4A11-85D8-F1A6FB23367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123825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9013E6F5-3A63-48A9-A27F-39DE9BEAF1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114299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36F15F6-1903-43A1-9CAA-A65895FFBF4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4719C7D7-32A9-4FE5-ADF8-DB16C18AF8B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2356FE0A-2677-4983-9AD1-EDD4B3FE07E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4C638EF6-5B38-4105-808D-A7945FDEF81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82933F3C-8B39-4D2E-8B69-55E8CC7238A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257C4C6-A62C-4419-BDE8-E4E5703B32D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32CFFA9C-D557-4D80-9695-80FA38FE8AE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BD3E912D-7414-4070-9B2B-249E2CD3838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D31A912-1F46-40FB-945B-49014BE22BB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400BD27-BC96-45FE-94EF-3DB80F6A1C8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62D4343-2D4A-4F60-9602-4DF7E6AE5BD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44D5934E-1E5C-4EBF-BF49-DCBCC1A9498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6B90F4F8-6482-4009-8BC5-2B03C7343AA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A840B16-1929-49F9-9052-2E0D71511B0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D56E6F58-BD62-4A91-9F77-29053CA50B1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97E4AE52-34B1-4C8A-B5C4-2D85BFD15BD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B56B0CB9-1C34-4F17-9CC2-CA004B7A9F2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B7F0BA72-DF36-4053-92FD-3B2EAB1B45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771D8E8-3C7F-4906-AEFE-49A8814704A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C6301523-6A8F-45F2-B4B6-7E1CB37EC40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3F761B30-3DDB-4621-8053-6C07F677E69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33014ED4-C1C4-4F5C-B90B-F9D43FA8B7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D20DD54-8C89-41F0-A801-8AC865F8553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5378EDA7-5117-4FD6-9C10-21A4121B1E2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988385C-7B79-4F53-B3DA-46AD77A554D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4289D9EF-46C9-455C-96CA-B401A343F3E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DF4B78D9-09F6-4D51-A13D-D1CDF3B969A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ECBBFF7C-40C4-4556-B067-2973AFD4063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E224C712-872F-49DB-8548-A4461AB069D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1B3864F-0A9E-43DF-AA9F-4A69E1A109F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F81FBF77-6CC5-42B0-8ED3-A275C0DDE4A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683FE6F-43D3-43ED-A6A7-6FFD0570EB5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C411E2D2-FDBD-4175-921F-EB41C7F90D8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609C9D97-2472-4555-A16B-742D4DFB6D2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16BB3DA8-9C5A-44EA-8C49-A3C23AA57BC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D5090DC5-05FA-453E-BD08-7753E40E592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734052B0-1C6C-41CC-A352-D7144675577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14226E3A-6C0C-4B62-93C2-94C99DA1E2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CB86850-8B7D-4748-92FB-D81FD89DAB0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AE1E540E-4010-4F6D-9106-13B22D9AE9E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2A62D26-E57D-4BD5-BB77-666A0438064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E5CA1F8-0239-4720-BD61-8A665B3D265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5D75B147-15F9-48CB-9B4F-B60A63B0D20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5E435B4-B64F-40D9-B66A-DD9DC2F4C91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05B9AF63-5DDA-4BD2-B4CF-E67B721478C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296332</xdr:colOff>
      <xdr:row>11</xdr:row>
      <xdr:rowOff>63499</xdr:rowOff>
    </xdr:from>
    <xdr:to>
      <xdr:col>13</xdr:col>
      <xdr:colOff>255534</xdr:colOff>
      <xdr:row>21</xdr:row>
      <xdr:rowOff>181762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815B50-FEF2-4186-B1FD-1814D8BE6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55415" y="2275416"/>
          <a:ext cx="4647619" cy="2171429"/>
        </a:xfrm>
        <a:prstGeom prst="rect">
          <a:avLst/>
        </a:prstGeom>
      </xdr:spPr>
    </xdr:pic>
    <xdr:clientData/>
  </xdr:twoCellAnchor>
  <xdr:twoCellAnchor>
    <xdr:from>
      <xdr:col>8</xdr:col>
      <xdr:colOff>306916</xdr:colOff>
      <xdr:row>16</xdr:row>
      <xdr:rowOff>158750</xdr:rowOff>
    </xdr:from>
    <xdr:to>
      <xdr:col>10</xdr:col>
      <xdr:colOff>867832</xdr:colOff>
      <xdr:row>17</xdr:row>
      <xdr:rowOff>95249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229119BD-905B-47AB-A44F-75B9AC90C75D}"/>
            </a:ext>
          </a:extLst>
        </xdr:cNvPr>
        <xdr:cNvSpPr/>
      </xdr:nvSpPr>
      <xdr:spPr>
        <a:xfrm>
          <a:off x="8127999" y="3376083"/>
          <a:ext cx="2084916" cy="137583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285749</xdr:colOff>
      <xdr:row>15</xdr:row>
      <xdr:rowOff>190499</xdr:rowOff>
    </xdr:from>
    <xdr:to>
      <xdr:col>10</xdr:col>
      <xdr:colOff>846665</xdr:colOff>
      <xdr:row>16</xdr:row>
      <xdr:rowOff>116416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EADFAD72-5916-458C-95AC-12ED8ACC0B2D}"/>
            </a:ext>
          </a:extLst>
        </xdr:cNvPr>
        <xdr:cNvSpPr/>
      </xdr:nvSpPr>
      <xdr:spPr>
        <a:xfrm>
          <a:off x="8106832" y="3206749"/>
          <a:ext cx="2084916" cy="12700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7" name="image2.png">
          <a:extLst>
            <a:ext uri="{FF2B5EF4-FFF2-40B4-BE49-F238E27FC236}">
              <a16:creationId xmlns:a16="http://schemas.microsoft.com/office/drawing/2014/main" id="{B390AB55-C3B4-45DC-9271-5350F45CE6D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7B0F01B7-F136-4081-B648-DA3BEDA3EF7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5CEAC48-2B31-4BD0-BAEF-1F4E6C7CDEA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8D9A734D-8F93-41AD-AA45-F4BFC04D66A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7BCD24E-C0C8-4A5B-857E-782C4327056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456CC9AE-B939-4CD2-A9E7-05DFA3ED258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2BEBE8B1-921D-4EB9-88BA-ADE382E6073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45E5CFBB-8BBB-44EB-8EB7-73D745B8267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DF832206-194A-4602-919F-664162FF4B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ECD96A58-006A-416F-B9FB-4E21EBA4FCE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7D3C5062-AB2F-4765-81F6-4590D305B0C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52CFB063-CC52-436B-932D-BBAB22752BF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10583</xdr:colOff>
      <xdr:row>10</xdr:row>
      <xdr:rowOff>10583</xdr:rowOff>
    </xdr:from>
    <xdr:to>
      <xdr:col>12</xdr:col>
      <xdr:colOff>721579</xdr:colOff>
      <xdr:row>20</xdr:row>
      <xdr:rowOff>136970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1F70E7-E45E-4D76-A524-4E0EFC0B9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69666" y="2254250"/>
          <a:ext cx="4637413" cy="2168970"/>
        </a:xfrm>
        <a:prstGeom prst="rect">
          <a:avLst/>
        </a:prstGeom>
      </xdr:spPr>
    </xdr:pic>
    <xdr:clientData/>
  </xdr:twoCellAnchor>
  <xdr:twoCellAnchor>
    <xdr:from>
      <xdr:col>7</xdr:col>
      <xdr:colOff>170657</xdr:colOff>
      <xdr:row>14</xdr:row>
      <xdr:rowOff>27968</xdr:rowOff>
    </xdr:from>
    <xdr:to>
      <xdr:col>10</xdr:col>
      <xdr:colOff>430326</xdr:colOff>
      <xdr:row>15</xdr:row>
      <xdr:rowOff>53480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F10E4972-A783-427E-928B-7003B982F511}"/>
            </a:ext>
          </a:extLst>
        </xdr:cNvPr>
        <xdr:cNvSpPr/>
      </xdr:nvSpPr>
      <xdr:spPr>
        <a:xfrm>
          <a:off x="7229740" y="3086551"/>
          <a:ext cx="2545669" cy="226596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240771</xdr:colOff>
      <xdr:row>27</xdr:row>
      <xdr:rowOff>126053</xdr:rowOff>
    </xdr:from>
    <xdr:to>
      <xdr:col>12</xdr:col>
      <xdr:colOff>313672</xdr:colOff>
      <xdr:row>42</xdr:row>
      <xdr:rowOff>14352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3B11375-A305-446B-BF31-6175A599D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99854" y="5841053"/>
          <a:ext cx="3999318" cy="3095049"/>
        </a:xfrm>
        <a:prstGeom prst="rect">
          <a:avLst/>
        </a:prstGeom>
      </xdr:spPr>
    </xdr:pic>
    <xdr:clientData/>
  </xdr:twoCellAnchor>
  <xdr:twoCellAnchor>
    <xdr:from>
      <xdr:col>7</xdr:col>
      <xdr:colOff>588699</xdr:colOff>
      <xdr:row>31</xdr:row>
      <xdr:rowOff>140795</xdr:rowOff>
    </xdr:from>
    <xdr:to>
      <xdr:col>12</xdr:col>
      <xdr:colOff>49326</xdr:colOff>
      <xdr:row>32</xdr:row>
      <xdr:rowOff>103187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7A878097-A464-4926-AD0E-E4DCB97ADA87}"/>
            </a:ext>
          </a:extLst>
        </xdr:cNvPr>
        <xdr:cNvSpPr/>
      </xdr:nvSpPr>
      <xdr:spPr>
        <a:xfrm>
          <a:off x="7647782" y="6660128"/>
          <a:ext cx="3387044" cy="174059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12</xdr:col>
      <xdr:colOff>545420</xdr:colOff>
      <xdr:row>29</xdr:row>
      <xdr:rowOff>38175</xdr:rowOff>
    </xdr:from>
    <xdr:to>
      <xdr:col>15</xdr:col>
      <xdr:colOff>711947</xdr:colOff>
      <xdr:row>40</xdr:row>
      <xdr:rowOff>87379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9F83108-121C-4701-830F-64F1FAF46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30920" y="6144758"/>
          <a:ext cx="2452527" cy="2345788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1AF624A-7B58-4711-9B56-A3281C60CB0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011CA60-C4AC-4318-BE2A-B9B96DB3A54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63500</xdr:colOff>
      <xdr:row>9</xdr:row>
      <xdr:rowOff>254000</xdr:rowOff>
    </xdr:from>
    <xdr:to>
      <xdr:col>13</xdr:col>
      <xdr:colOff>128913</xdr:colOff>
      <xdr:row>20</xdr:row>
      <xdr:rowOff>9970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383B628-0451-46B9-A539-540B02678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22583" y="2063750"/>
          <a:ext cx="4637413" cy="2168970"/>
        </a:xfrm>
        <a:prstGeom prst="rect">
          <a:avLst/>
        </a:prstGeom>
      </xdr:spPr>
    </xdr:pic>
    <xdr:clientData/>
  </xdr:twoCellAnchor>
  <xdr:twoCellAnchor>
    <xdr:from>
      <xdr:col>7</xdr:col>
      <xdr:colOff>223574</xdr:colOff>
      <xdr:row>13</xdr:row>
      <xdr:rowOff>102051</xdr:rowOff>
    </xdr:from>
    <xdr:to>
      <xdr:col>10</xdr:col>
      <xdr:colOff>483243</xdr:colOff>
      <xdr:row>14</xdr:row>
      <xdr:rowOff>127564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D6501359-44C2-4A4C-98C0-F1C6DC700919}"/>
            </a:ext>
          </a:extLst>
        </xdr:cNvPr>
        <xdr:cNvSpPr/>
      </xdr:nvSpPr>
      <xdr:spPr>
        <a:xfrm>
          <a:off x="7282657" y="2896051"/>
          <a:ext cx="2545669" cy="226596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293688</xdr:colOff>
      <xdr:row>27</xdr:row>
      <xdr:rowOff>200136</xdr:rowOff>
    </xdr:from>
    <xdr:to>
      <xdr:col>12</xdr:col>
      <xdr:colOff>483006</xdr:colOff>
      <xdr:row>43</xdr:row>
      <xdr:rowOff>3768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478338C-DE2A-4945-BA8C-29511847B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52771" y="5650553"/>
          <a:ext cx="3999318" cy="3095049"/>
        </a:xfrm>
        <a:prstGeom prst="rect">
          <a:avLst/>
        </a:prstGeom>
      </xdr:spPr>
    </xdr:pic>
    <xdr:clientData/>
  </xdr:twoCellAnchor>
  <xdr:twoCellAnchor>
    <xdr:from>
      <xdr:col>7</xdr:col>
      <xdr:colOff>641616</xdr:colOff>
      <xdr:row>32</xdr:row>
      <xdr:rowOff>3211</xdr:rowOff>
    </xdr:from>
    <xdr:to>
      <xdr:col>12</xdr:col>
      <xdr:colOff>218660</xdr:colOff>
      <xdr:row>32</xdr:row>
      <xdr:rowOff>177270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ABBDC111-05A5-496B-A55D-AC6DAAACA412}"/>
            </a:ext>
          </a:extLst>
        </xdr:cNvPr>
        <xdr:cNvSpPr/>
      </xdr:nvSpPr>
      <xdr:spPr>
        <a:xfrm>
          <a:off x="7700699" y="6469628"/>
          <a:ext cx="3387044" cy="174059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12</xdr:col>
      <xdr:colOff>714754</xdr:colOff>
      <xdr:row>29</xdr:row>
      <xdr:rowOff>101675</xdr:rowOff>
    </xdr:from>
    <xdr:to>
      <xdr:col>16</xdr:col>
      <xdr:colOff>119281</xdr:colOff>
      <xdr:row>40</xdr:row>
      <xdr:rowOff>161463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C603861-3F2D-41CE-879A-16F85316B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83837" y="5954258"/>
          <a:ext cx="2452527" cy="2345788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28A62FC3-01E4-4F9F-9008-6A152419116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8A66E39-51F0-4F1B-BD3D-6F462DEB68B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687916</xdr:colOff>
      <xdr:row>10</xdr:row>
      <xdr:rowOff>42334</xdr:rowOff>
    </xdr:from>
    <xdr:to>
      <xdr:col>12</xdr:col>
      <xdr:colOff>753329</xdr:colOff>
      <xdr:row>20</xdr:row>
      <xdr:rowOff>168720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609691-72A9-4229-9CD6-1E396B930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84999" y="2053167"/>
          <a:ext cx="4637413" cy="2168970"/>
        </a:xfrm>
        <a:prstGeom prst="rect">
          <a:avLst/>
        </a:prstGeom>
      </xdr:spPr>
    </xdr:pic>
    <xdr:clientData/>
  </xdr:twoCellAnchor>
  <xdr:twoCellAnchor>
    <xdr:from>
      <xdr:col>7</xdr:col>
      <xdr:colOff>85990</xdr:colOff>
      <xdr:row>14</xdr:row>
      <xdr:rowOff>59718</xdr:rowOff>
    </xdr:from>
    <xdr:to>
      <xdr:col>10</xdr:col>
      <xdr:colOff>345659</xdr:colOff>
      <xdr:row>15</xdr:row>
      <xdr:rowOff>85231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895A037-DC20-49DC-B38D-CF94CD055DE9}"/>
            </a:ext>
          </a:extLst>
        </xdr:cNvPr>
        <xdr:cNvSpPr/>
      </xdr:nvSpPr>
      <xdr:spPr>
        <a:xfrm>
          <a:off x="7145073" y="2885468"/>
          <a:ext cx="2545669" cy="226596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156104</xdr:colOff>
      <xdr:row>28</xdr:row>
      <xdr:rowOff>189553</xdr:rowOff>
    </xdr:from>
    <xdr:to>
      <xdr:col>12</xdr:col>
      <xdr:colOff>345422</xdr:colOff>
      <xdr:row>43</xdr:row>
      <xdr:rowOff>194269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532AC29-3E8F-46E2-BA53-E8DEAA4E1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15187" y="5639970"/>
          <a:ext cx="3999318" cy="3095049"/>
        </a:xfrm>
        <a:prstGeom prst="rect">
          <a:avLst/>
        </a:prstGeom>
      </xdr:spPr>
    </xdr:pic>
    <xdr:clientData/>
  </xdr:twoCellAnchor>
  <xdr:twoCellAnchor>
    <xdr:from>
      <xdr:col>7</xdr:col>
      <xdr:colOff>504032</xdr:colOff>
      <xdr:row>32</xdr:row>
      <xdr:rowOff>193712</xdr:rowOff>
    </xdr:from>
    <xdr:to>
      <xdr:col>12</xdr:col>
      <xdr:colOff>81076</xdr:colOff>
      <xdr:row>33</xdr:row>
      <xdr:rowOff>156104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5D4AFB34-2391-478F-9164-8611558AC04D}"/>
            </a:ext>
          </a:extLst>
        </xdr:cNvPr>
        <xdr:cNvSpPr/>
      </xdr:nvSpPr>
      <xdr:spPr>
        <a:xfrm>
          <a:off x="7563115" y="6459045"/>
          <a:ext cx="3387044" cy="174059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12</xdr:col>
      <xdr:colOff>577170</xdr:colOff>
      <xdr:row>30</xdr:row>
      <xdr:rowOff>91092</xdr:rowOff>
    </xdr:from>
    <xdr:to>
      <xdr:col>15</xdr:col>
      <xdr:colOff>743697</xdr:colOff>
      <xdr:row>41</xdr:row>
      <xdr:rowOff>150880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8C1F4CD-21F4-4001-ADA2-E0C69B846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46253" y="5943675"/>
          <a:ext cx="2452527" cy="2345788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CF61CA42-AE60-4FAB-9CE4-8795783E0B3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5EF5C6FB-533C-4C16-A7AE-EA092E61BCE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E58C959-F6AF-4AC9-AE99-7968D9C1510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D66CB33B-67C0-4225-9A58-EFF74FAF81D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2DFA6A3-E280-4096-BAF4-9567FAC75FE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028D660C-08A4-4D13-ACC3-69DBA48E937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C1A86A6-1E8E-4F21-8916-F9E68F07FCB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788949EA-34CD-42BD-B97F-63612E3A289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9F470D16-B34B-4122-A588-9BF40D09EBD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1C1B11D7-2290-4B24-81DC-6BDEA728E38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2128987-9276-4AD2-A7AA-9C95E4ADE72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1DCEFCC1-CACD-48E0-96E1-86FAAFF7049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DBEAEEA5-849F-4389-B25A-A01EBB9A507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5578D52B-987E-4E47-8364-C275B490474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3B3CBD2C-3FC9-4560-98CB-6ACBC0B4CF7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8A99489-C848-435A-93B0-C5FF54A1C14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123825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8488799-3A8E-478A-94E9-AD18B8B2E86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114299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166C9324-2FB3-44CF-8FFC-4F7745BBCF1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3F695AD-2426-4091-AC5B-1B2561CD597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AC75EE8-2088-4978-9069-8B2041DA8DD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90E4C69-5C2E-4C93-BC6E-4982C2AD06D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BBC7A007-2676-4A87-984F-62B25442BB8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FDACAAF-6DD5-4816-B7BB-8986D279ADE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8A860F9-7FDC-45E5-BC12-25B0C9AFA40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152323</xdr:colOff>
      <xdr:row>9</xdr:row>
      <xdr:rowOff>189556</xdr:rowOff>
    </xdr:from>
    <xdr:to>
      <xdr:col>13</xdr:col>
      <xdr:colOff>304222</xdr:colOff>
      <xdr:row>22</xdr:row>
      <xdr:rowOff>197485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02E676-88A0-4C41-9034-98063F17E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4348" y="1932631"/>
          <a:ext cx="4009524" cy="3055929"/>
        </a:xfrm>
        <a:prstGeom prst="rect">
          <a:avLst/>
        </a:prstGeom>
      </xdr:spPr>
    </xdr:pic>
    <xdr:clientData/>
  </xdr:twoCellAnchor>
  <xdr:twoCellAnchor editAs="oneCell">
    <xdr:from>
      <xdr:col>10</xdr:col>
      <xdr:colOff>380999</xdr:colOff>
      <xdr:row>28</xdr:row>
      <xdr:rowOff>181408</xdr:rowOff>
    </xdr:from>
    <xdr:to>
      <xdr:col>12</xdr:col>
      <xdr:colOff>1190463</xdr:colOff>
      <xdr:row>40</xdr:row>
      <xdr:rowOff>28585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6B54AE-8395-41C6-975C-9A9281D01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25024" y="6153583"/>
          <a:ext cx="2447764" cy="2323677"/>
        </a:xfrm>
        <a:prstGeom prst="rect">
          <a:avLst/>
        </a:prstGeom>
      </xdr:spPr>
    </xdr:pic>
    <xdr:clientData/>
  </xdr:twoCellAnchor>
  <xdr:twoCellAnchor>
    <xdr:from>
      <xdr:col>9</xdr:col>
      <xdr:colOff>598714</xdr:colOff>
      <xdr:row>14</xdr:row>
      <xdr:rowOff>56129</xdr:rowOff>
    </xdr:from>
    <xdr:to>
      <xdr:col>13</xdr:col>
      <xdr:colOff>146277</xdr:colOff>
      <xdr:row>15</xdr:row>
      <xdr:rowOff>117361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6F05B814-873E-4D15-99D6-ACE913115298}"/>
            </a:ext>
          </a:extLst>
        </xdr:cNvPr>
        <xdr:cNvSpPr/>
      </xdr:nvSpPr>
      <xdr:spPr>
        <a:xfrm>
          <a:off x="9180739" y="3227954"/>
          <a:ext cx="3405188" cy="251732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589453</xdr:colOff>
      <xdr:row>12</xdr:row>
      <xdr:rowOff>111314</xdr:rowOff>
    </xdr:from>
    <xdr:to>
      <xdr:col>13</xdr:col>
      <xdr:colOff>137016</xdr:colOff>
      <xdr:row>13</xdr:row>
      <xdr:rowOff>158940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79577DA4-FCC2-4BBA-ABF9-14E6F9783045}"/>
            </a:ext>
          </a:extLst>
        </xdr:cNvPr>
        <xdr:cNvSpPr/>
      </xdr:nvSpPr>
      <xdr:spPr>
        <a:xfrm>
          <a:off x="9171478" y="2883089"/>
          <a:ext cx="3405188" cy="247651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A26D8A82-2E1C-4157-8060-C93F18984737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0D3E53C0-DDF4-472B-811D-A235733BEBEF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80124E4-3B3B-4021-AC89-1F7549979C2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4FCF3F0-4049-485C-AA24-46A2F77741D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9</xdr:row>
      <xdr:rowOff>130969</xdr:rowOff>
    </xdr:from>
    <xdr:to>
      <xdr:col>13</xdr:col>
      <xdr:colOff>223336</xdr:colOff>
      <xdr:row>22</xdr:row>
      <xdr:rowOff>172916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117CB-C576-4DFD-94E2-D215FA04F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2900" y="1874044"/>
          <a:ext cx="4004761" cy="3051847"/>
        </a:xfrm>
        <a:prstGeom prst="rect">
          <a:avLst/>
        </a:prstGeom>
      </xdr:spPr>
    </xdr:pic>
    <xdr:clientData/>
  </xdr:twoCellAnchor>
  <xdr:twoCellAnchor editAs="oneCell">
    <xdr:from>
      <xdr:col>9</xdr:col>
      <xdr:colOff>235479</xdr:colOff>
      <xdr:row>28</xdr:row>
      <xdr:rowOff>100711</xdr:rowOff>
    </xdr:from>
    <xdr:to>
      <xdr:col>12</xdr:col>
      <xdr:colOff>282943</xdr:colOff>
      <xdr:row>39</xdr:row>
      <xdr:rowOff>175807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EE5237-F9D7-48CA-801C-2CA9A5FC0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17504" y="6025261"/>
          <a:ext cx="2447764" cy="2332521"/>
        </a:xfrm>
        <a:prstGeom prst="rect">
          <a:avLst/>
        </a:prstGeom>
      </xdr:spPr>
    </xdr:pic>
    <xdr:clientData/>
  </xdr:twoCellAnchor>
  <xdr:twoCellAnchor>
    <xdr:from>
      <xdr:col>8</xdr:col>
      <xdr:colOff>521230</xdr:colOff>
      <xdr:row>14</xdr:row>
      <xdr:rowOff>74083</xdr:rowOff>
    </xdr:from>
    <xdr:to>
      <xdr:col>12</xdr:col>
      <xdr:colOff>759355</xdr:colOff>
      <xdr:row>15</xdr:row>
      <xdr:rowOff>133614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88B54EDE-CF3B-4DD7-AF11-21DB6B062274}"/>
            </a:ext>
          </a:extLst>
        </xdr:cNvPr>
        <xdr:cNvSpPr/>
      </xdr:nvSpPr>
      <xdr:spPr>
        <a:xfrm>
          <a:off x="8341255" y="3207808"/>
          <a:ext cx="3400425" cy="250031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511969</xdr:colOff>
      <xdr:row>12</xdr:row>
      <xdr:rowOff>59532</xdr:rowOff>
    </xdr:from>
    <xdr:to>
      <xdr:col>12</xdr:col>
      <xdr:colOff>750094</xdr:colOff>
      <xdr:row>13</xdr:row>
      <xdr:rowOff>107157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61EA3C1E-9866-4BA7-9CC6-4898AFEFB91A}"/>
            </a:ext>
          </a:extLst>
        </xdr:cNvPr>
        <xdr:cNvSpPr/>
      </xdr:nvSpPr>
      <xdr:spPr>
        <a:xfrm>
          <a:off x="8331994" y="2793207"/>
          <a:ext cx="3400425" cy="24765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44C61611-91CE-4568-A0EF-E2893BE58492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D866D16F-F2A3-4017-A9FA-DDF3513CDEC5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130969</xdr:colOff>
      <xdr:row>9</xdr:row>
      <xdr:rowOff>226218</xdr:rowOff>
    </xdr:from>
    <xdr:to>
      <xdr:col>13</xdr:col>
      <xdr:colOff>211430</xdr:colOff>
      <xdr:row>23</xdr:row>
      <xdr:rowOff>65759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D6202B-8553-4239-BF47-CCBDE2F50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0994" y="1969293"/>
          <a:ext cx="4004761" cy="3049466"/>
        </a:xfrm>
        <a:prstGeom prst="rect">
          <a:avLst/>
        </a:prstGeom>
      </xdr:spPr>
    </xdr:pic>
    <xdr:clientData/>
  </xdr:twoCellAnchor>
  <xdr:twoCellAnchor editAs="oneCell">
    <xdr:from>
      <xdr:col>9</xdr:col>
      <xdr:colOff>223573</xdr:colOff>
      <xdr:row>28</xdr:row>
      <xdr:rowOff>195960</xdr:rowOff>
    </xdr:from>
    <xdr:to>
      <xdr:col>12</xdr:col>
      <xdr:colOff>271037</xdr:colOff>
      <xdr:row>40</xdr:row>
      <xdr:rowOff>68650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C6849F-B739-4D51-A8F5-7D7C977FE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05598" y="6120510"/>
          <a:ext cx="2447764" cy="2330140"/>
        </a:xfrm>
        <a:prstGeom prst="rect">
          <a:avLst/>
        </a:prstGeom>
      </xdr:spPr>
    </xdr:pic>
    <xdr:clientData/>
  </xdr:twoCellAnchor>
  <xdr:twoCellAnchor>
    <xdr:from>
      <xdr:col>8</xdr:col>
      <xdr:colOff>509324</xdr:colOff>
      <xdr:row>14</xdr:row>
      <xdr:rowOff>169332</xdr:rowOff>
    </xdr:from>
    <xdr:to>
      <xdr:col>12</xdr:col>
      <xdr:colOff>747449</xdr:colOff>
      <xdr:row>16</xdr:row>
      <xdr:rowOff>26456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56A2BBE1-477D-45A8-92C1-7BC5DDC3217A}"/>
            </a:ext>
          </a:extLst>
        </xdr:cNvPr>
        <xdr:cNvSpPr/>
      </xdr:nvSpPr>
      <xdr:spPr>
        <a:xfrm>
          <a:off x="8329349" y="3303057"/>
          <a:ext cx="3400425" cy="247649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500063</xdr:colOff>
      <xdr:row>12</xdr:row>
      <xdr:rowOff>154781</xdr:rowOff>
    </xdr:from>
    <xdr:to>
      <xdr:col>12</xdr:col>
      <xdr:colOff>738188</xdr:colOff>
      <xdr:row>14</xdr:row>
      <xdr:rowOff>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3A458D93-3422-49E4-9715-95ABFE299828}"/>
            </a:ext>
          </a:extLst>
        </xdr:cNvPr>
        <xdr:cNvSpPr/>
      </xdr:nvSpPr>
      <xdr:spPr>
        <a:xfrm>
          <a:off x="8320088" y="2888456"/>
          <a:ext cx="3400425" cy="245269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5B582B76-1FF7-4F98-9D91-8611A154E69B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C255F5F7-CB9A-4A2F-AB38-9C0BDFDFC648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530489</xdr:colOff>
      <xdr:row>10</xdr:row>
      <xdr:rowOff>175950</xdr:rowOff>
    </xdr:from>
    <xdr:to>
      <xdr:col>13</xdr:col>
      <xdr:colOff>487045</xdr:colOff>
      <xdr:row>21</xdr:row>
      <xdr:rowOff>99742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33B2E4-3880-426D-9AB4-9F15DF89B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8514" y="2319075"/>
          <a:ext cx="4642856" cy="2152642"/>
        </a:xfrm>
        <a:prstGeom prst="rect">
          <a:avLst/>
        </a:prstGeom>
      </xdr:spPr>
    </xdr:pic>
    <xdr:clientData/>
  </xdr:twoCellAnchor>
  <xdr:twoCellAnchor>
    <xdr:from>
      <xdr:col>7</xdr:col>
      <xdr:colOff>690563</xdr:colOff>
      <xdr:row>15</xdr:row>
      <xdr:rowOff>1323</xdr:rowOff>
    </xdr:from>
    <xdr:to>
      <xdr:col>11</xdr:col>
      <xdr:colOff>79375</xdr:colOff>
      <xdr:row>16</xdr:row>
      <xdr:rowOff>23812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84BC9F13-1957-4BA2-83A7-FE55F567938D}"/>
            </a:ext>
          </a:extLst>
        </xdr:cNvPr>
        <xdr:cNvSpPr/>
      </xdr:nvSpPr>
      <xdr:spPr>
        <a:xfrm>
          <a:off x="7748588" y="3144573"/>
          <a:ext cx="2551112" cy="222514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760677</xdr:colOff>
      <xdr:row>28</xdr:row>
      <xdr:rowOff>129646</xdr:rowOff>
    </xdr:from>
    <xdr:to>
      <xdr:col>13</xdr:col>
      <xdr:colOff>79138</xdr:colOff>
      <xdr:row>43</xdr:row>
      <xdr:rowOff>40624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2470878-D0EE-423B-A3F3-A9D3341E9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8702" y="5873221"/>
          <a:ext cx="4004761" cy="3073278"/>
        </a:xfrm>
        <a:prstGeom prst="rect">
          <a:avLst/>
        </a:prstGeom>
      </xdr:spPr>
    </xdr:pic>
    <xdr:clientData/>
  </xdr:twoCellAnchor>
  <xdr:twoCellAnchor>
    <xdr:from>
      <xdr:col>8</xdr:col>
      <xdr:colOff>346605</xdr:colOff>
      <xdr:row>32</xdr:row>
      <xdr:rowOff>132293</xdr:rowOff>
    </xdr:from>
    <xdr:to>
      <xdr:col>12</xdr:col>
      <xdr:colOff>576792</xdr:colOff>
      <xdr:row>33</xdr:row>
      <xdr:rowOff>88637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E9CA1ED7-2BFB-4B5D-B743-1D3A9943B572}"/>
            </a:ext>
          </a:extLst>
        </xdr:cNvPr>
        <xdr:cNvSpPr/>
      </xdr:nvSpPr>
      <xdr:spPr>
        <a:xfrm>
          <a:off x="8166630" y="6685493"/>
          <a:ext cx="3392487" cy="175419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13</xdr:col>
      <xdr:colOff>310886</xdr:colOff>
      <xdr:row>30</xdr:row>
      <xdr:rowOff>25137</xdr:rowOff>
    </xdr:from>
    <xdr:to>
      <xdr:col>16</xdr:col>
      <xdr:colOff>477413</xdr:colOff>
      <xdr:row>40</xdr:row>
      <xdr:rowOff>302639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E1A9368-3716-4C5B-B9B4-3786FAF13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55211" y="6168762"/>
          <a:ext cx="2452527" cy="2334902"/>
        </a:xfrm>
        <a:prstGeom prst="rect">
          <a:avLst/>
        </a:prstGeom>
      </xdr:spPr>
    </xdr:pic>
    <xdr:clientData/>
  </xdr:twoCellAnchor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7" name="image2.png">
          <a:extLst>
            <a:ext uri="{FF2B5EF4-FFF2-40B4-BE49-F238E27FC236}">
              <a16:creationId xmlns:a16="http://schemas.microsoft.com/office/drawing/2014/main" id="{4796DC6E-4DD1-413A-8A11-E64A14FFB8DA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B2F14FC4-0942-4A5B-809C-EBBF9384A635}"/>
            </a:ext>
          </a:extLst>
        </xdr:cNvPr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261938</xdr:colOff>
      <xdr:row>12</xdr:row>
      <xdr:rowOff>0</xdr:rowOff>
    </xdr:from>
    <xdr:to>
      <xdr:col>13</xdr:col>
      <xdr:colOff>218494</xdr:colOff>
      <xdr:row>22</xdr:row>
      <xdr:rowOff>138105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8F3157-0D43-4621-8107-A3E5AC33E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9963" y="2733675"/>
          <a:ext cx="4642856" cy="2157405"/>
        </a:xfrm>
        <a:prstGeom prst="rect">
          <a:avLst/>
        </a:prstGeom>
      </xdr:spPr>
    </xdr:pic>
    <xdr:clientData/>
  </xdr:twoCellAnchor>
  <xdr:twoCellAnchor>
    <xdr:from>
      <xdr:col>7</xdr:col>
      <xdr:colOff>422012</xdr:colOff>
      <xdr:row>16</xdr:row>
      <xdr:rowOff>39686</xdr:rowOff>
    </xdr:from>
    <xdr:to>
      <xdr:col>10</xdr:col>
      <xdr:colOff>691887</xdr:colOff>
      <xdr:row>18</xdr:row>
      <xdr:rowOff>47625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1A241BE5-AFDA-43EC-8F9C-1D8B5B5811FD}"/>
            </a:ext>
          </a:extLst>
        </xdr:cNvPr>
        <xdr:cNvSpPr/>
      </xdr:nvSpPr>
      <xdr:spPr>
        <a:xfrm>
          <a:off x="7480037" y="3563936"/>
          <a:ext cx="2555875" cy="407989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492126</xdr:colOff>
      <xdr:row>29</xdr:row>
      <xdr:rowOff>168009</xdr:rowOff>
    </xdr:from>
    <xdr:to>
      <xdr:col>12</xdr:col>
      <xdr:colOff>572587</xdr:colOff>
      <xdr:row>44</xdr:row>
      <xdr:rowOff>78987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E905B4-C6C6-4449-91AD-4371EAECD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50151" y="6292584"/>
          <a:ext cx="4004761" cy="3073278"/>
        </a:xfrm>
        <a:prstGeom prst="rect">
          <a:avLst/>
        </a:prstGeom>
      </xdr:spPr>
    </xdr:pic>
    <xdr:clientData/>
  </xdr:twoCellAnchor>
  <xdr:twoCellAnchor>
    <xdr:from>
      <xdr:col>8</xdr:col>
      <xdr:colOff>78054</xdr:colOff>
      <xdr:row>33</xdr:row>
      <xdr:rowOff>158750</xdr:rowOff>
    </xdr:from>
    <xdr:to>
      <xdr:col>12</xdr:col>
      <xdr:colOff>308241</xdr:colOff>
      <xdr:row>34</xdr:row>
      <xdr:rowOff>127000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D1148092-C7C3-44C9-BAF2-81976E6904C4}"/>
            </a:ext>
          </a:extLst>
        </xdr:cNvPr>
        <xdr:cNvSpPr/>
      </xdr:nvSpPr>
      <xdr:spPr>
        <a:xfrm>
          <a:off x="7898079" y="7112000"/>
          <a:ext cx="3392487" cy="168275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13</xdr:col>
      <xdr:colOff>42335</xdr:colOff>
      <xdr:row>31</xdr:row>
      <xdr:rowOff>51594</xdr:rowOff>
    </xdr:from>
    <xdr:to>
      <xdr:col>16</xdr:col>
      <xdr:colOff>208862</xdr:colOff>
      <xdr:row>42</xdr:row>
      <xdr:rowOff>43346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AB9D0E6-670E-47A6-9BBF-3A4ADAEB8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86660" y="6585744"/>
          <a:ext cx="2452527" cy="2344427"/>
        </a:xfrm>
        <a:prstGeom prst="rect">
          <a:avLst/>
        </a:prstGeom>
      </xdr:spPr>
    </xdr:pic>
    <xdr:clientData/>
  </xdr:twoCellAnchor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34201</xdr:rowOff>
    </xdr:to>
    <xdr:pic>
      <xdr:nvPicPr>
        <xdr:cNvPr id="7" name="image2.png">
          <a:extLst>
            <a:ext uri="{FF2B5EF4-FFF2-40B4-BE49-F238E27FC236}">
              <a16:creationId xmlns:a16="http://schemas.microsoft.com/office/drawing/2014/main" id="{2E5B10BA-CE8D-4838-B700-7363D7713B65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678657" y="250032"/>
          <a:ext cx="1802381" cy="3556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38961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78836089-FB4D-4533-87B6-A9DFF4E6CF21}"/>
            </a:ext>
          </a:extLst>
        </xdr:cNvPr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3312318" y="226217"/>
          <a:ext cx="2880000" cy="384244"/>
        </a:xfrm>
        <a:prstGeom prst="rect">
          <a:avLst/>
        </a:prstGeom>
        <a:ln/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CB321A4B-7F95-43B1-BFF9-9D4B3D6200A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629EA93-9739-43AD-A99F-DCE1013FB6C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110401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15B727E-7AC9-40C9-A07F-2FFE12347B3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4318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115161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087AC40-1E8A-4EBD-B167-6E5D99C6F0A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460444"/>
        </a:xfrm>
        <a:prstGeom prst="rect">
          <a:avLst/>
        </a:prstGeom>
        <a:ln/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110401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81E9C097-695D-4ABC-B64B-4CD4A1E652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4318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115161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D0B7A3D-CF23-4BF4-8AF7-C32480369B5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460444"/>
        </a:xfrm>
        <a:prstGeom prst="rect">
          <a:avLst/>
        </a:prstGeom>
        <a:ln/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110401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1541C694-250F-431A-A4CB-A667B028339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4318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115161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65F1AB6-8BB8-4AD0-A31A-8B0884CD38A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460444"/>
        </a:xfrm>
        <a:prstGeom prst="rect">
          <a:avLst/>
        </a:prstGeom>
        <a:ln/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110401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BE4A02F9-A454-45DB-A81D-3DA52F91E2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4318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115161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805FDA0-A912-4967-AC1E-344A0CE7B12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460444"/>
        </a:xfrm>
        <a:prstGeom prst="rect">
          <a:avLst/>
        </a:prstGeom>
        <a:ln/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678657</xdr:colOff>
      <xdr:row>1</xdr:row>
      <xdr:rowOff>59532</xdr:rowOff>
    </xdr:from>
    <xdr:to>
      <xdr:col>2</xdr:col>
      <xdr:colOff>14063</xdr:colOff>
      <xdr:row>3</xdr:row>
      <xdr:rowOff>110401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946770E8-8742-492C-A318-315B350146D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8657" y="250032"/>
          <a:ext cx="1802381" cy="431869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845343</xdr:colOff>
      <xdr:row>1</xdr:row>
      <xdr:rowOff>35717</xdr:rowOff>
    </xdr:from>
    <xdr:to>
      <xdr:col>5</xdr:col>
      <xdr:colOff>820218</xdr:colOff>
      <xdr:row>3</xdr:row>
      <xdr:rowOff>115161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9730F5B-1D82-4100-AC49-FAC7D0A3BCC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312318" y="226217"/>
          <a:ext cx="2880000" cy="460444"/>
        </a:xfrm>
        <a:prstGeom prst="rect">
          <a:avLst/>
        </a:prstGeom>
        <a:ln/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5FCA36DD-0BE0-4D11-BABD-A4F64164898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EC172D4-FA07-4E61-AC13-B707D931C5D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10B279E3-56DC-48F4-B3DD-3170AD251CE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F5AD153-0226-403B-8D51-C7D52611DDE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DB5BB586-3B0C-4271-A23C-166D84B9B2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FC8E2FB-A1DE-48AA-A6B0-F0A8776D8B6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8C7476EE-6C23-43C1-B938-351E7A5CA71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26518FD-747E-4E2A-AD25-24E032B59B7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16376EF3-06F4-4C48-9301-DB47E44E98F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F6AC1F8-641A-455D-AF1D-A6756271D40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68AFA061-2BFA-402F-9FF8-22EFA6F303A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EE4D4CB-20B6-4187-8B08-D22DF93A1DB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6B5DAF30-6E2F-4F80-BBC5-129E188882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6FC4A07-0E08-4A75-AC8C-5E607283000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5082551-939B-471D-8140-4AEA71BBCD3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36DE7A8-0CC0-4B91-A33B-CCBD4591800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64E1353C-9CAD-48AE-B789-565A93C6DB1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C7B4F7C-7A81-457E-99AD-19B2EFC0A3D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C6A3E8E7-E5B9-4C13-8141-3D0A780D56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B457649-45F9-44F5-8648-7C02B5C77A8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9297CB-D526-460A-B4F3-C8E0C3FFA41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7BD335E-D475-4295-AF9D-9F4DF01CF8F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4D74015-89BF-4FCD-9BBD-3B3765F5B4A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FF4D545-1186-4A69-B684-B3D79074DC8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10583</xdr:colOff>
      <xdr:row>10</xdr:row>
      <xdr:rowOff>10583</xdr:rowOff>
    </xdr:from>
    <xdr:to>
      <xdr:col>12</xdr:col>
      <xdr:colOff>721579</xdr:colOff>
      <xdr:row>20</xdr:row>
      <xdr:rowOff>136970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98B6A89-7618-4A71-9F9C-43E76D7F4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68608" y="2401358"/>
          <a:ext cx="4635296" cy="2155212"/>
        </a:xfrm>
        <a:prstGeom prst="rect">
          <a:avLst/>
        </a:prstGeom>
      </xdr:spPr>
    </xdr:pic>
    <xdr:clientData/>
  </xdr:twoCellAnchor>
  <xdr:twoCellAnchor>
    <xdr:from>
      <xdr:col>7</xdr:col>
      <xdr:colOff>181241</xdr:colOff>
      <xdr:row>15</xdr:row>
      <xdr:rowOff>38550</xdr:rowOff>
    </xdr:from>
    <xdr:to>
      <xdr:col>10</xdr:col>
      <xdr:colOff>440910</xdr:colOff>
      <xdr:row>16</xdr:row>
      <xdr:rowOff>64063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F5110771-6813-4857-B7A0-22D6DE2E0592}"/>
            </a:ext>
          </a:extLst>
        </xdr:cNvPr>
        <xdr:cNvSpPr/>
      </xdr:nvSpPr>
      <xdr:spPr>
        <a:xfrm>
          <a:off x="7239266" y="3438975"/>
          <a:ext cx="2545669" cy="225538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7</xdr:col>
      <xdr:colOff>240771</xdr:colOff>
      <xdr:row>27</xdr:row>
      <xdr:rowOff>126053</xdr:rowOff>
    </xdr:from>
    <xdr:to>
      <xdr:col>12</xdr:col>
      <xdr:colOff>313672</xdr:colOff>
      <xdr:row>42</xdr:row>
      <xdr:rowOff>14352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BCE85E5-7BE6-459E-B042-21FE5FE51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98796" y="5964878"/>
          <a:ext cx="3997201" cy="3069649"/>
        </a:xfrm>
        <a:prstGeom prst="rect">
          <a:avLst/>
        </a:prstGeom>
      </xdr:spPr>
    </xdr:pic>
    <xdr:clientData/>
  </xdr:twoCellAnchor>
  <xdr:twoCellAnchor>
    <xdr:from>
      <xdr:col>7</xdr:col>
      <xdr:colOff>546366</xdr:colOff>
      <xdr:row>32</xdr:row>
      <xdr:rowOff>109044</xdr:rowOff>
    </xdr:from>
    <xdr:to>
      <xdr:col>12</xdr:col>
      <xdr:colOff>6993</xdr:colOff>
      <xdr:row>33</xdr:row>
      <xdr:rowOff>60853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78F1F4D7-E29E-4FCE-A037-B720975DF67B}"/>
            </a:ext>
          </a:extLst>
        </xdr:cNvPr>
        <xdr:cNvSpPr/>
      </xdr:nvSpPr>
      <xdr:spPr>
        <a:xfrm>
          <a:off x="7604391" y="6957519"/>
          <a:ext cx="3384927" cy="170884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12</xdr:col>
      <xdr:colOff>545420</xdr:colOff>
      <xdr:row>29</xdr:row>
      <xdr:rowOff>38175</xdr:rowOff>
    </xdr:from>
    <xdr:to>
      <xdr:col>15</xdr:col>
      <xdr:colOff>711947</xdr:colOff>
      <xdr:row>40</xdr:row>
      <xdr:rowOff>87379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935F547-A35A-4E2C-8833-3AD5D3E39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27745" y="6267525"/>
          <a:ext cx="2452527" cy="2325679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20ABB9FB-90BB-42E9-8945-26EDD1B2F66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064D0E1-EF92-4E82-829B-1540DC67EDF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370417</xdr:colOff>
      <xdr:row>11</xdr:row>
      <xdr:rowOff>137583</xdr:rowOff>
    </xdr:from>
    <xdr:to>
      <xdr:col>13</xdr:col>
      <xdr:colOff>329619</xdr:colOff>
      <xdr:row>22</xdr:row>
      <xdr:rowOff>65346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3BE900-19AC-4A55-B84A-9B02DDF1B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8442" y="2718858"/>
          <a:ext cx="4645502" cy="2156613"/>
        </a:xfrm>
        <a:prstGeom prst="rect">
          <a:avLst/>
        </a:prstGeom>
      </xdr:spPr>
    </xdr:pic>
    <xdr:clientData/>
  </xdr:twoCellAnchor>
  <xdr:twoCellAnchor>
    <xdr:from>
      <xdr:col>8</xdr:col>
      <xdr:colOff>370418</xdr:colOff>
      <xdr:row>16</xdr:row>
      <xdr:rowOff>169334</xdr:rowOff>
    </xdr:from>
    <xdr:to>
      <xdr:col>11</xdr:col>
      <xdr:colOff>52917</xdr:colOff>
      <xdr:row>17</xdr:row>
      <xdr:rowOff>190500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9D18CE0E-232C-4278-B568-43B7743D6C44}"/>
            </a:ext>
          </a:extLst>
        </xdr:cNvPr>
        <xdr:cNvSpPr/>
      </xdr:nvSpPr>
      <xdr:spPr>
        <a:xfrm>
          <a:off x="8190443" y="3750734"/>
          <a:ext cx="2082799" cy="221191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85CD76FD-33E8-40CA-9C42-9FACEFD35CF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3A31972-9088-4F66-B91A-6903A49EC697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306917</xdr:colOff>
      <xdr:row>26</xdr:row>
      <xdr:rowOff>179917</xdr:rowOff>
    </xdr:from>
    <xdr:to>
      <xdr:col>10</xdr:col>
      <xdr:colOff>478736</xdr:colOff>
      <xdr:row>38</xdr:row>
      <xdr:rowOff>79065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FF4A13A-022B-421A-A734-EB86C273D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64942" y="5771092"/>
          <a:ext cx="2457819" cy="2328023"/>
        </a:xfrm>
        <a:prstGeom prst="rect">
          <a:avLst/>
        </a:prstGeom>
      </xdr:spPr>
    </xdr:pic>
    <xdr:clientData/>
  </xdr:twoCellAnchor>
  <xdr:twoCellAnchor editAs="oneCell">
    <xdr:from>
      <xdr:col>10</xdr:col>
      <xdr:colOff>656167</xdr:colOff>
      <xdr:row>26</xdr:row>
      <xdr:rowOff>158750</xdr:rowOff>
    </xdr:from>
    <xdr:to>
      <xdr:col>14</xdr:col>
      <xdr:colOff>697903</xdr:colOff>
      <xdr:row>38</xdr:row>
      <xdr:rowOff>195405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A24D09E-51D9-48E1-9BB9-44E05E7F5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00192" y="5749925"/>
          <a:ext cx="3204036" cy="2465530"/>
        </a:xfrm>
        <a:prstGeom prst="rect">
          <a:avLst/>
        </a:prstGeom>
      </xdr:spPr>
    </xdr:pic>
    <xdr:clientData/>
  </xdr:twoCellAnchor>
  <xdr:twoCellAnchor>
    <xdr:from>
      <xdr:col>11</xdr:col>
      <xdr:colOff>613806</xdr:colOff>
      <xdr:row>30</xdr:row>
      <xdr:rowOff>13817</xdr:rowOff>
    </xdr:from>
    <xdr:to>
      <xdr:col>14</xdr:col>
      <xdr:colOff>647870</xdr:colOff>
      <xdr:row>30</xdr:row>
      <xdr:rowOff>142875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1C556335-8CFC-464F-ADC0-CF34D7FFD75A}"/>
            </a:ext>
          </a:extLst>
        </xdr:cNvPr>
        <xdr:cNvSpPr/>
      </xdr:nvSpPr>
      <xdr:spPr>
        <a:xfrm>
          <a:off x="10834131" y="6395567"/>
          <a:ext cx="2320064" cy="129058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CB8A3A74-C3EF-443F-942C-F87E381CB0D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2BF9485-70D9-4A19-BB4C-A0545B671A8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A459AF8B-0CA3-4AAE-BDC4-3290C8936EF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FBDAAE0-F26B-4FF4-80F2-EBCA8631A4C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EA18FC8-E47F-45E4-BDC8-37B58BB956D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ED7CC50-B3D8-4752-B65A-EE14ADE4978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CE9DB7A4-6415-449B-ACD9-CFA4905E9CD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4AD65C3-045C-4DA2-982E-06146C75C82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697707</xdr:colOff>
      <xdr:row>1</xdr:row>
      <xdr:rowOff>107157</xdr:rowOff>
    </xdr:from>
    <xdr:to>
      <xdr:col>2</xdr:col>
      <xdr:colOff>190500</xdr:colOff>
      <xdr:row>3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8C2F253B-F61F-4DBE-9F06-00CECB5D2F2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97707" y="307182"/>
          <a:ext cx="1959768" cy="435768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807243</xdr:colOff>
      <xdr:row>1</xdr:row>
      <xdr:rowOff>92866</xdr:rowOff>
    </xdr:from>
    <xdr:to>
      <xdr:col>5</xdr:col>
      <xdr:colOff>782118</xdr:colOff>
      <xdr:row>3</xdr:row>
      <xdr:rowOff>133349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59ADA5A-979E-4BF5-9DF3-4C5288837A3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74218" y="292891"/>
          <a:ext cx="2880000" cy="440533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adus01\SERVIDOR\Users\jhonatanmauricio\Downloads\F:\VILLA%20TAKOA\Presupuesto\APUS%20VILLA%20TAKO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ort01\servidor\Users\Ing.%20Oscar\Downloads\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adus01\SERVIDOR\Users\jmperez\Documents\TECNICA\DEPORTE%20Y%20RECREACION\02%20ESTANDARIZADO%20POLIDEPORTIVO\05%20HOJA%20CALCULO%20ESTANDARIZADO\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ort01\servidor\Users\jmperez\Documents\TECNICA\DEPORTE%20Y%20RECREACION\02%20ESTANDARIZADO%20POLIDEPORTIVO\Presupuesto_750%20_Baja_Suelo%20AB%20actualizado%202015%20con%20ICCP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esupuestos\BATERIA%20SANITARIA%20LAS%20MINAS%201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4.%202026/2.%20EDUCACION/4.%20I.E.N.S.C%20-%20SEDE%20ALTO%20LIBANO/PRESUPUESTO/PRESUPUESTO%20INF.%20EDUCATIVA_GIRO%20-%20ALTO%20LIBANO.xlsx" TargetMode="External"/><Relationship Id="rId2" Type="http://schemas.openxmlformats.org/officeDocument/2006/relationships/externalLinkPath" Target="file:///C:\Users\LENOVO\Documents\1.%20UNIDOS%20SI%20PODEMOS%202024\3.%20SUPERVISIONES\4.%202026\2.%20EDUCACION\4.%20I.E.N.S.C%20-%20SEDE%20ALTO%20LIBANO\PRESUPUESTO\PRESUPUESTO%20INF.%20EDUCATIVA_GIRO%20-%20ALTO%20LIBANO.xlsx" TargetMode="External"/><Relationship Id="rId1" Type="http://schemas.openxmlformats.org/officeDocument/2006/relationships/externalLinkPath" Target="/Users/LENOVO/Documents/1.%20UNIDOS%20SI%20PODEMOS%202024/3.%20SUPERVISIONES/4.%202026/2.%20EDUCACION/4.%20I.E.N.S.C%20-%20SEDE%20ALTO%20LIBANO/PRESUPUESTO/PRESUPUESTO%20INF.%20EDUCATIVA_GIRO%20-%20ALTO%20LIBANO.xlsx" TargetMode="External"/></Relationships>
</file>

<file path=xl/externalLinks/_rels/externalLink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3.%202025/3.%20SECTOR%20EDUCACION/2.%20GIRO%20DE%20RECURSOS%20-%20AULA%20NUEVA%20CONSTRUIDA/2.%20PRESUPUESTO/1.%20PRESUPUESTO%20AULA%20NUEVA%20CONSTRUIDA%20-%201%20OK.xlsx" TargetMode="External"/><Relationship Id="rId2" Type="http://schemas.openxmlformats.org/officeDocument/2006/relationships/externalLinkPath" Target="file:///C:\Users\LENOVO\Documents\1.%20UNIDOS%20SI%20PODEMOS%202024\3.%20SUPERVISIONES\3.%202025\3.%20SECTOR%20EDUCACION\2.%20GIRO%20DE%20RECURSOS%20-%20AULA%20NUEVA%20CONSTRUIDA\2.%20PRESUPUESTO\1.%20PRESUPUESTO%20AULA%20NUEVA%20CONSTRUIDA%20-%201%20OK.xlsx" TargetMode="External"/><Relationship Id="rId1" Type="http://schemas.openxmlformats.org/officeDocument/2006/relationships/externalLinkPath" Target="/Users/LENOVO/Documents/1.%20UNIDOS%20SI%20PODEMOS%202024/3.%20SUPERVISIONES/3.%202025/3.%20SECTOR%20EDUCACION/2.%20GIRO%20DE%20RECURSOS%20-%20AULA%20NUEVA%20CONSTRUIDA/2.%20PRESUPUESTO/1.%20PRESUPUESTO%20AULA%20NUEVA%20CONSTRUIDA%20-%201%20OK.xlsx" TargetMode="External"/></Relationships>
</file>

<file path=xl/externalLinks/_rels/externalLink9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4.%202026/2.%20EDUCACION/2.%20I.E.N.S.S%20-%20SEDE%20EL%20VEGON/PRESUPUESTO/PRESUPUESTO%20INF.%20EDUCATIVA_GIRO%20-%20EL%20VEGON.xlsx" TargetMode="External"/><Relationship Id="rId2" Type="http://schemas.openxmlformats.org/officeDocument/2006/relationships/externalLinkPath" Target="file:///C:\Users\LENOVO\Documents\1.%20UNIDOS%20SI%20PODEMOS%202024\3.%20SUPERVISIONES\4.%202026\2.%20EDUCACION\2.%20I.E.N.S.S%20-%20SEDE%20EL%20VEGON\PRESUPUESTO\PRESUPUESTO%20INF.%20EDUCATIVA_GIRO%20-%20EL%20VEGON.xlsx" TargetMode="External"/><Relationship Id="rId1" Type="http://schemas.openxmlformats.org/officeDocument/2006/relationships/externalLinkPath" Target="/Users/LENOVO/Documents/1.%20UNIDOS%20SI%20PODEMOS%202024/3.%20SUPERVISIONES/4.%202026/2.%20EDUCACION/2.%20I.E.N.S.S%20-%20SEDE%20EL%20VEGON/PRESUPUESTO/PRESUPUESTO%20INF.%20EDUCATIVA_GIRO%20-%20EL%20VEGON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SEC%20PLANEACION/Downloads/presupuesto%20ba&#241;os%20las%20minas,.xlsx" TargetMode="External"/><Relationship Id="rId1" Type="http://schemas.openxmlformats.org/officeDocument/2006/relationships/externalLinkPath" Target="/Users/SEC%20PLANEACION/Downloads/presupuesto%20ba&#241;os%20las%20minas,.xlsx" TargetMode="External"/></Relationships>
</file>

<file path=xl/externalLinks/_rels/externalLink1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3.%202025/3.%20SECTOR%20EDUCACION/GIRO%20DE%20RECURSOS%20-%20AULA%20NUEVA%20CONSTRUIDA/2.%20PRESUPUESTO/1.%20PRESUPUESTO%20AULA%20NUEVA%20CONSTRUIDA%20-%201%20OK.xlsx" TargetMode="External"/><Relationship Id="rId2" Type="http://schemas.openxmlformats.org/officeDocument/2006/relationships/externalLinkPath" Target="file:///C:\Users\LENOVO\Documents\1.%20UNIDOS%20SI%20PODEMOS%202024\3.%20SUPERVISIONES\3.%202025\3.%20SECTOR%20EDUCACION\GIRO%20DE%20RECURSOS%20-%20AULA%20NUEVA%20CONSTRUIDA\2.%20PRESUPUESTO\1.%20PRESUPUESTO%20AULA%20NUEVA%20CONSTRUIDA%20-%201%20OK.xlsx" TargetMode="External"/><Relationship Id="rId1" Type="http://schemas.openxmlformats.org/officeDocument/2006/relationships/externalLinkPath" Target="/Users/LENOVO/Documents/1.%20UNIDOS%20SI%20PODEMOS%202024/3.%20SUPERVISIONES/3.%202025/3.%20SECTOR%20EDUCACION/GIRO%20DE%20RECURSOS%20-%20AULA%20NUEVA%20CONSTRUIDA/2.%20PRESUPUESTO/1.%20PRESUPUESTO%20AULA%20NUEVA%20CONSTRUIDA%20-%201%20OK.xlsx" TargetMode="External"/></Relationships>
</file>

<file path=xl/externalLinks/_rels/externalLink1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3.%202025/3.%20SECTOR%20EDUCACION/CERRAMIENTO%20NO/2.%20PRESUPUESTO%20INFRAESTRUCTURA%20EDUCATIVA%20-%20NO.xlsx" TargetMode="External"/><Relationship Id="rId2" Type="http://schemas.openxmlformats.org/officeDocument/2006/relationships/externalLinkPath" Target="file:///C:\Users\LENOVO\Documents\1.%20UNIDOS%20SI%20PODEMOS%202024\3.%20SUPERVISIONES\3.%202025\3.%20SECTOR%20EDUCACION\CERRAMIENTO%20NO\2.%20PRESUPUESTO%20INFRAESTRUCTURA%20EDUCATIVA%20-%20NO.xlsx" TargetMode="External"/><Relationship Id="rId1" Type="http://schemas.openxmlformats.org/officeDocument/2006/relationships/externalLinkPath" Target="/Users/LENOVO/Documents/1.%20UNIDOS%20SI%20PODEMOS%202024/3.%20SUPERVISIONES/3.%202025/3.%20SECTOR%20EDUCACION/CERRAMIENTO%20NO/2.%20PRESUPUESTO%20INFRAESTRUCTURA%20EDUCATIVA%20-%20NO.xlsx" TargetMode="External"/></Relationships>
</file>

<file path=xl/externalLinks/_rels/externalLink1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cuments/1.%20UNIDOS%20SI%20PODEMOS%202024/3.%20SUPERVISIONES/3.%202025/3.%20SECTOR%20EDUCACION/4.%20CN%20CERRAMIENTO%20RECREO/4%20PRESUPUESTO/2.%20PRESUPUESTO%20INFRAESTRUCTURA%20EDUCATIVA.xlsx" TargetMode="External"/><Relationship Id="rId2" Type="http://schemas.openxmlformats.org/officeDocument/2006/relationships/externalLinkPath" Target="file:///C:\Users\LENOVO\Documents\1.%20UNIDOS%20SI%20PODEMOS%202024\3.%20SUPERVISIONES\3.%202025\3.%20SECTOR%20EDUCACION\4.%20CN%20CERRAMIENTO%20RECREO\4%20PRESUPUESTO\2.%20PRESUPUESTO%20INFRAESTRUCTURA%20EDUCATIVA.xlsx" TargetMode="External"/><Relationship Id="rId1" Type="http://schemas.openxmlformats.org/officeDocument/2006/relationships/externalLinkPath" Target="/Users/LENOVO/Documents/1.%20UNIDOS%20SI%20PODEMOS%202024/3.%20SUPERVISIONES/3.%202025/3.%20SECTOR%20EDUCACION/4.%20CN%20CERRAMIENTO%20RECREO/4%20PRESUPUESTO/2.%20PRESUPUESTO%20INFRAESTRUCTURA%20EDUCATI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  <sheetName val="A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 refreshError="1"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 OBRA. "/>
      <sheetName val="MEM. CANT. "/>
      <sheetName val="1,1,"/>
      <sheetName val="1,2"/>
      <sheetName val="2,1"/>
      <sheetName val="2,2"/>
      <sheetName val="2,3"/>
      <sheetName val="3,1"/>
      <sheetName val="3,2"/>
      <sheetName val="3,3"/>
      <sheetName val="3,4"/>
      <sheetName val="4,1"/>
      <sheetName val="5,1"/>
      <sheetName val="5,2"/>
      <sheetName val="6,1"/>
      <sheetName val="6,2"/>
      <sheetName val="7,1"/>
      <sheetName val="7,2"/>
      <sheetName val="8,1"/>
      <sheetName val="9,1"/>
      <sheetName val="CONCRETO 3000 PSI"/>
    </sheetNames>
    <sheetDataSet>
      <sheetData sheetId="0">
        <row r="10">
          <cell r="B10" t="str">
            <v>PRELIMINARES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.C. "/>
      <sheetName val="M.O"/>
      <sheetName val="EQ"/>
      <sheetName val="E.M."/>
      <sheetName val="MAT"/>
      <sheetName val="C. 1700 PSI"/>
      <sheetName val="C. 2000 PSI"/>
      <sheetName val="C. 2500 PSI"/>
      <sheetName val="C. 3000 PSI"/>
      <sheetName val="C. CICL"/>
      <sheetName val="M 1-4"/>
      <sheetName val="PRES "/>
      <sheetName val="A1,1"/>
      <sheetName val="A2,1"/>
      <sheetName val="A2,2"/>
      <sheetName val="A3,1"/>
      <sheetName val="A3,2"/>
      <sheetName val="A3,3"/>
      <sheetName val="A3,4"/>
      <sheetName val="A3,5"/>
      <sheetName val="A3,6"/>
      <sheetName val="A4,1"/>
    </sheetNames>
    <sheetDataSet>
      <sheetData sheetId="0"/>
      <sheetData sheetId="1">
        <row r="35">
          <cell r="F35">
            <v>108705.89571666667</v>
          </cell>
        </row>
        <row r="63">
          <cell r="B63" t="str">
            <v>MANO DE OBRA A (1 OF Y 1 AYUD)</v>
          </cell>
        </row>
        <row r="70">
          <cell r="F70">
            <v>38472</v>
          </cell>
        </row>
        <row r="90">
          <cell r="B90" t="str">
            <v>MANO DE OBRA PINTURA</v>
          </cell>
        </row>
        <row r="95">
          <cell r="F95">
            <v>15626.472509270832</v>
          </cell>
        </row>
      </sheetData>
      <sheetData sheetId="2">
        <row r="14">
          <cell r="F14">
            <v>3000</v>
          </cell>
        </row>
        <row r="19">
          <cell r="F19">
            <v>35000</v>
          </cell>
        </row>
        <row r="23">
          <cell r="F23">
            <v>80000</v>
          </cell>
        </row>
      </sheetData>
      <sheetData sheetId="3"/>
      <sheetData sheetId="4">
        <row r="46">
          <cell r="E46">
            <v>65250</v>
          </cell>
        </row>
        <row r="53">
          <cell r="E53">
            <v>52000</v>
          </cell>
        </row>
        <row r="76">
          <cell r="E76">
            <v>26750</v>
          </cell>
        </row>
        <row r="104">
          <cell r="E104">
            <v>55945</v>
          </cell>
        </row>
        <row r="125">
          <cell r="E125">
            <v>1150</v>
          </cell>
        </row>
        <row r="146">
          <cell r="E146">
            <v>26150</v>
          </cell>
        </row>
        <row r="150">
          <cell r="E150">
            <v>6000</v>
          </cell>
        </row>
      </sheetData>
      <sheetData sheetId="5"/>
      <sheetData sheetId="6"/>
      <sheetData sheetId="7"/>
      <sheetData sheetId="8"/>
      <sheetData sheetId="9"/>
      <sheetData sheetId="10">
        <row r="46">
          <cell r="F46">
            <v>413999</v>
          </cell>
        </row>
      </sheetData>
      <sheetData sheetId="11">
        <row r="14">
          <cell r="C14" t="str">
            <v>DEMOLICIONES Y DESMONTE DE ELEMENTOS</v>
          </cell>
        </row>
        <row r="15">
          <cell r="C15" t="str">
            <v xml:space="preserve">Desmonte de cubiertas (asbesto cemento) </v>
          </cell>
          <cell r="D15" t="str">
            <v>M2</v>
          </cell>
          <cell r="E15">
            <v>306.31</v>
          </cell>
        </row>
        <row r="17">
          <cell r="E17">
            <v>309.37</v>
          </cell>
        </row>
        <row r="18">
          <cell r="E18">
            <v>33.44</v>
          </cell>
        </row>
        <row r="19">
          <cell r="C19" t="str">
            <v>PINTURA GENERAL Y ACABADOS</v>
          </cell>
        </row>
        <row r="20">
          <cell r="C20" t="str">
            <v>Suministro y aplicación de pintura de Correa en perfil metálica .04x.08 mts Cal. 18. Existente (Incluye lijada de perfil)</v>
          </cell>
          <cell r="D20" t="str">
            <v>ML</v>
          </cell>
          <cell r="E20">
            <v>257.04000000000002</v>
          </cell>
        </row>
        <row r="21">
          <cell r="C21" t="str">
            <v>Suministro y aplicación de pintura de cerchal metálica existente. (Incluye lijada)</v>
          </cell>
          <cell r="D21" t="str">
            <v>ML</v>
          </cell>
          <cell r="E21">
            <v>25.53</v>
          </cell>
        </row>
        <row r="22">
          <cell r="C22" t="str">
            <v>Suministro y aplicación de pintura vinilo tipo1 tres manos sobre muros.</v>
          </cell>
          <cell r="D22" t="str">
            <v>M2</v>
          </cell>
          <cell r="E22">
            <v>695</v>
          </cell>
        </row>
        <row r="23">
          <cell r="C23" t="str">
            <v>Suministro y Aplicación de Esmalte sobre lámina llena.</v>
          </cell>
          <cell r="D23" t="str">
            <v>M2</v>
          </cell>
          <cell r="E23">
            <v>35.6</v>
          </cell>
        </row>
        <row r="24">
          <cell r="C24" t="str">
            <v>Suministro y Aplicación de Esmalte para marcos de puertas y Ventanas.</v>
          </cell>
          <cell r="D24" t="str">
            <v>UND</v>
          </cell>
          <cell r="E24">
            <v>25</v>
          </cell>
        </row>
        <row r="25">
          <cell r="C25" t="str">
            <v>Suministro y Aplicación de Esmalte para rejas.</v>
          </cell>
          <cell r="D25" t="str">
            <v>M2</v>
          </cell>
          <cell r="E25">
            <v>63.7</v>
          </cell>
        </row>
        <row r="26">
          <cell r="C26" t="str">
            <v>PAÑETES</v>
          </cell>
        </row>
        <row r="27">
          <cell r="C27" t="str">
            <v>Suministro y aplicación de Pañete muros  1:4 Incluye Filos, carteras y Dilataciones. (Incluye Estuco)</v>
          </cell>
          <cell r="D27" t="str">
            <v>M2</v>
          </cell>
          <cell r="E27">
            <v>43.38</v>
          </cell>
        </row>
      </sheetData>
      <sheetData sheetId="12"/>
      <sheetData sheetId="13">
        <row r="25">
          <cell r="E25">
            <v>1150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RON"/>
      <sheetName val="PRES "/>
      <sheetName val="M.C. "/>
      <sheetName val="M.O"/>
      <sheetName val="EQ"/>
      <sheetName val="MAT"/>
      <sheetName val="C. 1700 PSI"/>
      <sheetName val="C. 2000 PSI"/>
      <sheetName val="C. 2500 PSI"/>
      <sheetName val="C. 3000 PSI"/>
      <sheetName val="C. CICL"/>
      <sheetName val="M 1-4"/>
      <sheetName val="1,1"/>
      <sheetName val="1,2"/>
      <sheetName val="2,1"/>
      <sheetName val="2,2"/>
      <sheetName val="3,1"/>
      <sheetName val="3,2"/>
      <sheetName val="3,3"/>
      <sheetName val="3,4"/>
      <sheetName val="3,5"/>
      <sheetName val="4,1"/>
      <sheetName val="4,2"/>
      <sheetName val="4,3"/>
      <sheetName val="4,4"/>
      <sheetName val="4,5"/>
      <sheetName val="5,1"/>
      <sheetName val="5,2"/>
      <sheetName val="6,1"/>
      <sheetName val="6,2"/>
      <sheetName val="6,3"/>
      <sheetName val="6,4"/>
      <sheetName val="6,5"/>
      <sheetName val="6,6"/>
      <sheetName val="6,7"/>
      <sheetName val="6,8"/>
      <sheetName val="7,1"/>
      <sheetName val="8,1"/>
      <sheetName val="8,2"/>
      <sheetName val="8,3"/>
      <sheetName val="8,4"/>
      <sheetName val="9,1"/>
      <sheetName val="9,2"/>
      <sheetName val="9,3"/>
      <sheetName val="9,4"/>
      <sheetName val="10,1"/>
      <sheetName val="10,2"/>
      <sheetName val="10,3"/>
      <sheetName val="11,1"/>
      <sheetName val="11,2"/>
      <sheetName val="12,1"/>
      <sheetName val="12,2"/>
      <sheetName val="12,3"/>
      <sheetName val="13,1"/>
    </sheetNames>
    <sheetDataSet>
      <sheetData sheetId="0"/>
      <sheetData sheetId="1"/>
      <sheetData sheetId="2"/>
      <sheetData sheetId="3"/>
      <sheetData sheetId="4">
        <row r="14">
          <cell r="F14">
            <v>3000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.C. "/>
      <sheetName val="M.O"/>
      <sheetName val="EQ"/>
      <sheetName val="E.M."/>
      <sheetName val="MAT"/>
      <sheetName val="C. 1700 PSI"/>
      <sheetName val="C. 2000 PSI"/>
      <sheetName val="C. 2500 PSI"/>
      <sheetName val="C. 3000 PSI"/>
      <sheetName val="C. CICL"/>
      <sheetName val="M 1-3"/>
      <sheetName val="M 1-4"/>
      <sheetName val="PRES "/>
      <sheetName val="A1,1"/>
      <sheetName val="A2,1"/>
      <sheetName val="A2,2"/>
      <sheetName val="A2,3"/>
      <sheetName val="A2,4"/>
      <sheetName val="A2,5"/>
      <sheetName val="A2,6"/>
      <sheetName val="A3,1"/>
      <sheetName val="B1,1"/>
      <sheetName val="B1,2"/>
      <sheetName val="B2,1"/>
      <sheetName val="B3,1"/>
      <sheetName val="B4,1"/>
      <sheetName val="B4,2"/>
    </sheetNames>
    <sheetDataSet>
      <sheetData sheetId="0"/>
      <sheetData sheetId="1">
        <row r="81">
          <cell r="B81" t="str">
            <v>MANO DE OBRA CARPINTERIA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6">
          <cell r="C16" t="str">
            <v xml:space="preserve">CUBIERTA Y   ESTRUCTURA DE CUBIERTA </v>
          </cell>
        </row>
        <row r="19">
          <cell r="C19" t="str">
            <v>Suministro e instalación de Cercha Metálica tubo rectangular .04x.08 mts. 18 superior y tubo rectangular .04x.10 mts cal. 18 inferior, celosía en Tubo rectangular .04x.08 cal. 18".  Incluye pintura.</v>
          </cell>
          <cell r="D19" t="str">
            <v>ML</v>
          </cell>
          <cell r="E19">
            <v>20.2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</sheetNames>
    <sheetDataSet>
      <sheetData sheetId="0" refreshError="1"/>
      <sheetData sheetId="1" refreshError="1">
        <row r="8">
          <cell r="B8" t="str">
            <v>UNIDAD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RON"/>
      <sheetName val="PRES "/>
      <sheetName val="M.C. "/>
      <sheetName val="M.O"/>
      <sheetName val="EQ"/>
      <sheetName val="MAT"/>
      <sheetName val="C. 1700 PSI"/>
      <sheetName val="C. 2000 PSI"/>
      <sheetName val="C. 2500 PSI"/>
      <sheetName val="C. 3000 PSI"/>
      <sheetName val="C. CICL"/>
      <sheetName val="M 1-4"/>
      <sheetName val="1,1"/>
      <sheetName val="1,2"/>
      <sheetName val="2,1"/>
      <sheetName val="2,2"/>
      <sheetName val="3,1"/>
      <sheetName val="3,2"/>
      <sheetName val="3,3"/>
      <sheetName val="3,4"/>
      <sheetName val="3,5"/>
      <sheetName val="4,1"/>
      <sheetName val="4,2"/>
      <sheetName val="4,3"/>
      <sheetName val="4,4"/>
      <sheetName val="4,5"/>
      <sheetName val="5,1"/>
      <sheetName val="5,2"/>
      <sheetName val="6,1"/>
      <sheetName val="6,2"/>
      <sheetName val="6,3"/>
      <sheetName val="6,4"/>
      <sheetName val="6,5"/>
      <sheetName val="6,6"/>
      <sheetName val="6,7"/>
      <sheetName val="6,8"/>
      <sheetName val="7,1"/>
      <sheetName val="8,1"/>
      <sheetName val="8,2"/>
      <sheetName val="8,3"/>
      <sheetName val="8,4"/>
      <sheetName val="9,1"/>
      <sheetName val="9,2"/>
      <sheetName val="9,3"/>
      <sheetName val="9,4"/>
      <sheetName val="10,1"/>
      <sheetName val="10,2"/>
      <sheetName val="10,3"/>
      <sheetName val="11,1"/>
      <sheetName val="11,2"/>
      <sheetName val="12,1"/>
      <sheetName val="12,2"/>
      <sheetName val="12,3"/>
      <sheetName val="13,1"/>
    </sheetNames>
    <sheetDataSet>
      <sheetData sheetId="0"/>
      <sheetData sheetId="1">
        <row r="18">
          <cell r="C18" t="str">
            <v>CIMIENTOS</v>
          </cell>
        </row>
        <row r="20">
          <cell r="C20" t="str">
            <v>Cimentación tipo zapatas en concreto de 3000 P.S.I (1,00*1,00*0,40 m).</v>
          </cell>
          <cell r="D20" t="str">
            <v>M3</v>
          </cell>
        </row>
        <row r="21">
          <cell r="C21" t="str">
            <v>Viga de cimentacion en concreto de 3000 P.S.I.(0,30*0,30m), incluye acero de refuerzo de 60000 P.S.I (4Ø5/8" refuerzo y E=Ø3/8" c/d. 0,10 m).</v>
          </cell>
          <cell r="D21" t="str">
            <v>ML</v>
          </cell>
        </row>
        <row r="22">
          <cell r="C22" t="str">
            <v>Acero de refuerzo de 60000 PSI,  para zapatas y nudos en arranque de coumnas (incluye refuezo figurado y armado).</v>
          </cell>
          <cell r="D22" t="str">
            <v>KG</v>
          </cell>
        </row>
        <row r="24">
          <cell r="C24" t="str">
            <v>ESTRUCTURA</v>
          </cell>
        </row>
        <row r="26">
          <cell r="C26" t="str">
            <v>Columna en concreto de 3000 PSI (0.30x0.30m),  incluye acero de refuerzo de 60000 P.S.I (4Ø5/8" refuerzo y E=Ø3/8" c/d. 0,10 m).</v>
          </cell>
          <cell r="D26" t="str">
            <v>ML</v>
          </cell>
        </row>
        <row r="27">
          <cell r="C27" t="str">
            <v>Columna en concreto de 3000 PSI (0.30x0.30 m),  incluye acero de refuerzo de 60000 P.S.I (4Ø5/8" y 2Ø1/2" refuerzo y E=Ø3/8" c/d. 0,10 m).</v>
          </cell>
          <cell r="D27" t="str">
            <v>ML</v>
          </cell>
        </row>
        <row r="28">
          <cell r="C28" t="str">
            <v>Viga culata 0.20x0.10 m, incl. Acero (2- 3/8, E-1/4" c/d. 0,10 m).</v>
          </cell>
          <cell r="D28" t="str">
            <v>ML</v>
          </cell>
        </row>
        <row r="29">
          <cell r="C29" t="str">
            <v>Columneta 0,20x0,20 m, en concreto de 3000 psi,  incluye acero de refuerzo de 60000 P.S.I (4Ø1/2" y 2Ø3/8" refuerzo y E=Ø3/8" c/d. 0,10 m).</v>
          </cell>
          <cell r="D29" t="str">
            <v>ML</v>
          </cell>
        </row>
        <row r="44">
          <cell r="C44" t="str">
            <v>CUBIERTA  Y   ESTRUCTURA DE CUBIERTA</v>
          </cell>
        </row>
        <row r="46">
          <cell r="C46" t="str">
            <v>Suministro e instalación de Caballete termoacustic, incluye tornillos autoperforantes.</v>
          </cell>
          <cell r="D46" t="str">
            <v>ML</v>
          </cell>
        </row>
        <row r="47">
          <cell r="C47" t="str">
            <v xml:space="preserve">Suministro e instalación de Cercha Metalica 2&gt;2"x1/8" superior y 2&gt;1 1/2x3/16 inferior, celosia en &lt;1 1/4X1/8" y varilla 1/2". </v>
          </cell>
          <cell r="D47" t="str">
            <v>ML</v>
          </cell>
        </row>
        <row r="54">
          <cell r="C54" t="str">
            <v>CARPINTERÍA METÁLICA</v>
          </cell>
        </row>
        <row r="55">
          <cell r="C55" t="str">
            <v xml:space="preserve">Suministro e instalación ventana en tubo cuadrado de 1" cal. 20, incluye anticorrosivo + pintura y todo lo necesario para su correcto funcionamiento. </v>
          </cell>
          <cell r="D55" t="str">
            <v>M2</v>
          </cell>
        </row>
        <row r="56">
          <cell r="C56" t="str">
            <v>Suministro e instalación de Luceta en lamina C. R. cal. 20 y tubo cuadrado de 1" cal. 20. Incluye anticorrosivo y pintura.</v>
          </cell>
          <cell r="D56" t="str">
            <v>M2</v>
          </cell>
        </row>
        <row r="57">
          <cell r="C57" t="str">
            <v>Suministro e instalación de Marco y puerta metálicos lamina C. R. cal. 20, de 1,00x2.00 m. Incluye anticorrosivo y pintura.</v>
          </cell>
          <cell r="D57" t="str">
            <v>UND</v>
          </cell>
        </row>
        <row r="61">
          <cell r="C61" t="str">
            <v>ESTERIORES</v>
          </cell>
        </row>
        <row r="64">
          <cell r="C64" t="str">
            <v>Cuneta a.ll. en concreto de 3.000 PSI, Tipo V, a=0.50 m.</v>
          </cell>
          <cell r="D64" t="str">
            <v>ML</v>
          </cell>
        </row>
      </sheetData>
      <sheetData sheetId="2"/>
      <sheetData sheetId="3">
        <row r="63">
          <cell r="B63" t="str">
            <v>MANO DE OBRA A (1 OF Y 1 AYUD)</v>
          </cell>
        </row>
        <row r="81">
          <cell r="B81" t="str">
            <v>MANO DE OBRA CARPINTERIA</v>
          </cell>
        </row>
      </sheetData>
      <sheetData sheetId="4">
        <row r="14">
          <cell r="F14">
            <v>3000</v>
          </cell>
        </row>
        <row r="19">
          <cell r="F19">
            <v>35000</v>
          </cell>
        </row>
        <row r="20">
          <cell r="F20">
            <v>50000</v>
          </cell>
        </row>
        <row r="21">
          <cell r="F21">
            <v>50000</v>
          </cell>
        </row>
      </sheetData>
      <sheetData sheetId="5">
        <row r="16">
          <cell r="E16">
            <v>726.66666666666663</v>
          </cell>
        </row>
        <row r="25">
          <cell r="E25">
            <v>678482</v>
          </cell>
        </row>
        <row r="33">
          <cell r="E33">
            <v>5000</v>
          </cell>
        </row>
        <row r="38">
          <cell r="E38">
            <v>8500</v>
          </cell>
        </row>
        <row r="39">
          <cell r="E39">
            <v>6242.2222222222217</v>
          </cell>
        </row>
        <row r="40">
          <cell r="E40">
            <v>19330</v>
          </cell>
        </row>
        <row r="41">
          <cell r="E41">
            <v>16231.166666666666</v>
          </cell>
        </row>
        <row r="42">
          <cell r="E42">
            <v>64700</v>
          </cell>
        </row>
        <row r="43">
          <cell r="E43">
            <v>2600</v>
          </cell>
        </row>
        <row r="56">
          <cell r="E56">
            <v>40200</v>
          </cell>
        </row>
        <row r="61">
          <cell r="E61">
            <v>33416.666666666664</v>
          </cell>
        </row>
        <row r="62">
          <cell r="E62">
            <v>85000</v>
          </cell>
        </row>
        <row r="64">
          <cell r="E64">
            <v>56238</v>
          </cell>
        </row>
        <row r="67">
          <cell r="E67">
            <v>109982.66666666667</v>
          </cell>
        </row>
        <row r="77">
          <cell r="E77">
            <v>23000</v>
          </cell>
        </row>
        <row r="78">
          <cell r="E78">
            <v>22250</v>
          </cell>
        </row>
        <row r="86">
          <cell r="E86">
            <v>5562.2222222222226</v>
          </cell>
        </row>
        <row r="88">
          <cell r="E88">
            <v>4535.416666666667</v>
          </cell>
        </row>
        <row r="89">
          <cell r="E89">
            <v>1500</v>
          </cell>
        </row>
        <row r="90">
          <cell r="E90">
            <v>2708.333333333333</v>
          </cell>
        </row>
        <row r="91">
          <cell r="E91">
            <v>6950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RON"/>
      <sheetName val="PRES "/>
      <sheetName val="M.C. "/>
      <sheetName val="M.O"/>
      <sheetName val="EQ"/>
      <sheetName val="MAT"/>
      <sheetName val="C. 1700 PSI"/>
      <sheetName val="C. 2000 PSI"/>
      <sheetName val="C. 2500 PSI"/>
      <sheetName val="C. 3000 PSI"/>
      <sheetName val="C. CICL"/>
      <sheetName val="M 1-4"/>
      <sheetName val="A1,1-B1,1-C1,1"/>
      <sheetName val="A1,2-B1,2"/>
      <sheetName val="A2,1-B2,1-C2,2"/>
      <sheetName val="A2,2-C2,1"/>
      <sheetName val="A3,1-C3,1"/>
      <sheetName val="A3,2"/>
      <sheetName val="A3,3"/>
      <sheetName val="A3,4 "/>
      <sheetName val="A3,5"/>
      <sheetName val="A3,6"/>
      <sheetName val="A4,1 -B4,1"/>
      <sheetName val="A4,2"/>
      <sheetName val="A4,3"/>
      <sheetName val="A5,1"/>
      <sheetName val="A5,2"/>
      <sheetName val="A5,3"/>
      <sheetName val="A5,4"/>
      <sheetName val="A5,5"/>
      <sheetName val="A6,1"/>
      <sheetName val="A6,2"/>
      <sheetName val="A6,3"/>
      <sheetName val="A6,4-B6,2"/>
      <sheetName val="A6,5"/>
      <sheetName val="A6,6"/>
      <sheetName val="A6,7"/>
      <sheetName val="A6,8-B6,4"/>
      <sheetName val="A6,9-B6,5"/>
      <sheetName val="A7,1-B7,1"/>
      <sheetName val="A7,2-B7,2"/>
      <sheetName val="A7,3-B7,3"/>
      <sheetName val="A7,4-B7,4"/>
      <sheetName val="A7,5-B7,5"/>
      <sheetName val="A7,6-B7,6"/>
      <sheetName val="A7,7-B7,7"/>
      <sheetName val="A7,8-B7,8"/>
      <sheetName val="A7,9"/>
      <sheetName val="A7,10-B7,9"/>
      <sheetName val="A8,1-B9,1"/>
      <sheetName val="A9,1"/>
      <sheetName val="A9,2"/>
      <sheetName val="A9,3"/>
      <sheetName val="A10,1"/>
      <sheetName val="A10,2-B10,2"/>
      <sheetName val="A10,3-B10,3"/>
      <sheetName val="A10,4-B10,4"/>
      <sheetName val="A11,1"/>
      <sheetName val="A11,2"/>
      <sheetName val="A11,3"/>
      <sheetName val="A12,1"/>
      <sheetName val="A12,2-B12,1"/>
      <sheetName val="A13,1"/>
      <sheetName val="A13,2"/>
      <sheetName val="A13,3"/>
      <sheetName val="A14,1-B14,1"/>
      <sheetName val="B3,1"/>
      <sheetName val="B5,1"/>
      <sheetName val="B5,2"/>
      <sheetName val="B5,3"/>
      <sheetName val="B5,4"/>
      <sheetName val="B6,1"/>
      <sheetName val="B6,3"/>
      <sheetName val="B7,11"/>
      <sheetName val="B8,1"/>
      <sheetName val="B8,2"/>
      <sheetName val="B10,1"/>
      <sheetName val="B10,5"/>
      <sheetName val="B11,1,"/>
      <sheetName val="B11,2,"/>
      <sheetName val="B13,1"/>
      <sheetName val="C1,2"/>
      <sheetName val="C3,2"/>
      <sheetName val="20X20"/>
      <sheetName val="LAD. VISTA"/>
    </sheetNames>
    <sheetDataSet>
      <sheetData sheetId="0"/>
      <sheetData sheetId="1">
        <row r="26">
          <cell r="C26" t="str">
            <v>MAMPOSTERIA</v>
          </cell>
        </row>
        <row r="27">
          <cell r="C27" t="str">
            <v>Construccion de Muro en Bloque de arcilla #5 (12x20x30cm) Incluye mortero de pega y bloque.</v>
          </cell>
          <cell r="D27" t="str">
            <v>M2</v>
          </cell>
        </row>
        <row r="30">
          <cell r="C30" t="str">
            <v>ESTRUCTURA</v>
          </cell>
        </row>
        <row r="33">
          <cell r="D33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RON"/>
      <sheetName val="PRES "/>
      <sheetName val="M.C. "/>
      <sheetName val="M.O"/>
      <sheetName val="EQ"/>
      <sheetName val="MAT"/>
      <sheetName val="C. 1700 PSI"/>
      <sheetName val="C. 2000 PSI"/>
      <sheetName val="C. 2500 PSI"/>
      <sheetName val="C. 3000 PSI"/>
      <sheetName val="C. CICL"/>
      <sheetName val="M 1-4"/>
      <sheetName val="C1,1"/>
      <sheetName val="C2,1"/>
      <sheetName val="C2,2"/>
      <sheetName val="C3,1"/>
      <sheetName val="C3,2"/>
      <sheetName val="C3,3"/>
      <sheetName val="C3,4"/>
      <sheetName val="20X20"/>
      <sheetName val="LAD. VISTA"/>
      <sheetName val="A4,3"/>
      <sheetName val="A5,3"/>
    </sheetNames>
    <sheetDataSet>
      <sheetData sheetId="0"/>
      <sheetData sheetId="1"/>
      <sheetData sheetId="2"/>
      <sheetData sheetId="3"/>
      <sheetData sheetId="4">
        <row r="14">
          <cell r="F14">
            <v>3000</v>
          </cell>
        </row>
      </sheetData>
      <sheetData sheetId="5">
        <row r="145">
          <cell r="E145">
            <v>1700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8C94-32B7-464F-B065-93B1F8566D4A}">
  <sheetPr codeName="Hoja5">
    <tabColor rgb="FFFF0000"/>
    <pageSetUpPr fitToPage="1"/>
  </sheetPr>
  <dimension ref="A1:BN274"/>
  <sheetViews>
    <sheetView view="pageBreakPreview" topLeftCell="C1" zoomScale="60" zoomScaleNormal="70" workbookViewId="0">
      <pane ySplit="6" topLeftCell="A22" activePane="bottomLeft" state="frozen"/>
      <selection activeCell="A51" sqref="A51:B51"/>
      <selection pane="bottomLeft" activeCell="BN22" sqref="BN22"/>
    </sheetView>
  </sheetViews>
  <sheetFormatPr baseColWidth="10" defaultColWidth="11.44140625" defaultRowHeight="15.6" x14ac:dyDescent="0.3"/>
  <cols>
    <col min="1" max="1" width="10.6640625" style="368" customWidth="1"/>
    <col min="2" max="2" width="73.33203125" style="130" customWidth="1"/>
    <col min="3" max="3" width="9.109375" style="368" customWidth="1"/>
    <col min="4" max="4" width="11.33203125" style="368" customWidth="1"/>
    <col min="5" max="61" width="3.44140625" style="1" customWidth="1"/>
    <col min="62" max="65" width="20.33203125" style="1" customWidth="1"/>
    <col min="66" max="16384" width="11.44140625" style="1"/>
  </cols>
  <sheetData>
    <row r="1" spans="1:65" ht="75" customHeight="1" x14ac:dyDescent="0.3">
      <c r="A1" s="751"/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52"/>
      <c r="X1" s="752"/>
      <c r="Y1" s="752"/>
      <c r="Z1" s="752"/>
      <c r="AA1" s="752"/>
      <c r="AB1" s="752"/>
      <c r="AC1" s="752"/>
      <c r="AD1" s="752"/>
      <c r="AE1" s="752"/>
      <c r="AF1" s="752"/>
      <c r="AG1" s="752"/>
      <c r="AH1" s="752"/>
      <c r="AI1" s="752"/>
      <c r="AJ1" s="752"/>
      <c r="AK1" s="752"/>
      <c r="AL1" s="752"/>
      <c r="AM1" s="752"/>
      <c r="AN1" s="752"/>
      <c r="AO1" s="752"/>
      <c r="AP1" s="752"/>
      <c r="AQ1" s="752"/>
      <c r="AR1" s="752"/>
      <c r="AS1" s="752"/>
      <c r="AT1" s="752"/>
      <c r="AU1" s="752"/>
      <c r="AV1" s="752"/>
      <c r="AW1" s="752"/>
      <c r="AX1" s="752"/>
      <c r="AY1" s="752"/>
      <c r="AZ1" s="752"/>
      <c r="BA1" s="752"/>
      <c r="BB1" s="752"/>
      <c r="BC1" s="752"/>
      <c r="BD1" s="752"/>
      <c r="BE1" s="752"/>
      <c r="BF1" s="752"/>
      <c r="BG1" s="752"/>
      <c r="BH1" s="752"/>
      <c r="BI1" s="752"/>
      <c r="BJ1" s="752"/>
      <c r="BK1" s="752"/>
      <c r="BL1" s="752"/>
      <c r="BM1" s="753"/>
    </row>
    <row r="2" spans="1:65" ht="51" customHeight="1" x14ac:dyDescent="0.3">
      <c r="A2" s="748" t="s">
        <v>1302</v>
      </c>
      <c r="B2" s="749"/>
      <c r="C2" s="749"/>
      <c r="D2" s="749"/>
      <c r="E2" s="749"/>
      <c r="F2" s="749"/>
      <c r="G2" s="749"/>
      <c r="H2" s="749"/>
      <c r="I2" s="749"/>
      <c r="J2" s="749"/>
      <c r="K2" s="749"/>
      <c r="L2" s="749"/>
      <c r="M2" s="749"/>
      <c r="N2" s="749"/>
      <c r="O2" s="749"/>
      <c r="P2" s="749"/>
      <c r="Q2" s="749"/>
      <c r="R2" s="749"/>
      <c r="S2" s="749"/>
      <c r="T2" s="749"/>
      <c r="U2" s="749"/>
      <c r="V2" s="749"/>
      <c r="W2" s="749"/>
      <c r="X2" s="749"/>
      <c r="Y2" s="749"/>
      <c r="Z2" s="749"/>
      <c r="AA2" s="749"/>
      <c r="AB2" s="749"/>
      <c r="AC2" s="749"/>
      <c r="AD2" s="749"/>
      <c r="AE2" s="749"/>
      <c r="AF2" s="749"/>
      <c r="AG2" s="749"/>
      <c r="AH2" s="749"/>
      <c r="AI2" s="749"/>
      <c r="AJ2" s="749"/>
      <c r="AK2" s="749"/>
      <c r="AL2" s="749"/>
      <c r="AM2" s="749"/>
      <c r="AN2" s="749"/>
      <c r="AO2" s="749"/>
      <c r="AP2" s="749"/>
      <c r="AQ2" s="749"/>
      <c r="AR2" s="749"/>
      <c r="AS2" s="749"/>
      <c r="AT2" s="749"/>
      <c r="AU2" s="749"/>
      <c r="AV2" s="749"/>
      <c r="AW2" s="749"/>
      <c r="AX2" s="749"/>
      <c r="AY2" s="749"/>
      <c r="AZ2" s="749"/>
      <c r="BA2" s="749"/>
      <c r="BB2" s="749"/>
      <c r="BC2" s="749"/>
      <c r="BD2" s="749"/>
      <c r="BE2" s="749"/>
      <c r="BF2" s="749"/>
      <c r="BG2" s="749"/>
      <c r="BH2" s="749"/>
      <c r="BI2" s="749"/>
      <c r="BJ2" s="749"/>
      <c r="BK2" s="749"/>
      <c r="BL2" s="749"/>
      <c r="BM2" s="750"/>
    </row>
    <row r="3" spans="1:65" ht="8.25" customHeight="1" x14ac:dyDescent="0.3">
      <c r="A3" s="769"/>
      <c r="B3" s="760"/>
      <c r="C3" s="760"/>
      <c r="D3" s="760"/>
      <c r="E3" s="760"/>
      <c r="F3" s="760"/>
      <c r="G3" s="760"/>
      <c r="H3" s="760"/>
      <c r="I3" s="760"/>
      <c r="J3" s="760"/>
      <c r="K3" s="760"/>
      <c r="L3" s="760"/>
      <c r="M3" s="760"/>
      <c r="N3" s="760"/>
      <c r="O3" s="760"/>
      <c r="P3" s="760"/>
      <c r="Q3" s="760"/>
      <c r="R3" s="760"/>
      <c r="S3" s="760"/>
      <c r="T3" s="760"/>
      <c r="U3" s="760"/>
      <c r="V3" s="760"/>
      <c r="W3" s="760"/>
      <c r="X3" s="760"/>
      <c r="Y3" s="760"/>
      <c r="Z3" s="760"/>
      <c r="AA3" s="760"/>
      <c r="AB3" s="760"/>
      <c r="AC3" s="760"/>
      <c r="AD3" s="760"/>
      <c r="AE3" s="760"/>
      <c r="AF3" s="760"/>
      <c r="AG3" s="760"/>
      <c r="AH3" s="760"/>
      <c r="AI3" s="760"/>
      <c r="AJ3" s="760"/>
      <c r="AK3" s="760"/>
      <c r="AL3" s="760"/>
      <c r="AM3" s="760"/>
      <c r="AN3" s="760"/>
      <c r="AO3" s="760"/>
      <c r="AP3" s="760"/>
      <c r="AQ3" s="760"/>
      <c r="AR3" s="760"/>
      <c r="AS3" s="760"/>
      <c r="AT3" s="760"/>
      <c r="AU3" s="760"/>
      <c r="AV3" s="760"/>
      <c r="AW3" s="760"/>
      <c r="AX3" s="760"/>
      <c r="AY3" s="760"/>
      <c r="AZ3" s="760"/>
      <c r="BA3" s="760"/>
      <c r="BB3" s="760"/>
      <c r="BC3" s="760"/>
      <c r="BD3" s="760"/>
      <c r="BE3" s="760"/>
      <c r="BF3" s="760"/>
      <c r="BG3" s="760"/>
      <c r="BH3" s="760"/>
      <c r="BI3" s="760"/>
      <c r="BJ3" s="759"/>
      <c r="BK3" s="760"/>
      <c r="BL3" s="760"/>
      <c r="BM3" s="761"/>
    </row>
    <row r="4" spans="1:65" ht="18" customHeight="1" x14ac:dyDescent="0.35">
      <c r="A4" s="745" t="s">
        <v>140</v>
      </c>
      <c r="B4" s="746"/>
      <c r="C4" s="746"/>
      <c r="D4" s="746"/>
      <c r="E4" s="746"/>
      <c r="F4" s="746"/>
      <c r="G4" s="746"/>
      <c r="H4" s="746"/>
      <c r="I4" s="746"/>
      <c r="J4" s="746"/>
      <c r="K4" s="746"/>
      <c r="L4" s="746"/>
      <c r="M4" s="746"/>
      <c r="N4" s="746"/>
      <c r="O4" s="746"/>
      <c r="P4" s="746"/>
      <c r="Q4" s="746"/>
      <c r="R4" s="746"/>
      <c r="S4" s="746"/>
      <c r="T4" s="746"/>
      <c r="U4" s="746"/>
      <c r="V4" s="746"/>
      <c r="W4" s="746"/>
      <c r="X4" s="746"/>
      <c r="Y4" s="746"/>
      <c r="Z4" s="746"/>
      <c r="AA4" s="746"/>
      <c r="AB4" s="746"/>
      <c r="AC4" s="746"/>
      <c r="AD4" s="746"/>
      <c r="AE4" s="746"/>
      <c r="AF4" s="746"/>
      <c r="AG4" s="746"/>
      <c r="AH4" s="746"/>
      <c r="AI4" s="746"/>
      <c r="AJ4" s="746"/>
      <c r="AK4" s="746"/>
      <c r="AL4" s="746"/>
      <c r="AM4" s="746"/>
      <c r="AN4" s="746"/>
      <c r="AO4" s="746"/>
      <c r="AP4" s="746"/>
      <c r="AQ4" s="746"/>
      <c r="AR4" s="746"/>
      <c r="AS4" s="746"/>
      <c r="AT4" s="746"/>
      <c r="AU4" s="746"/>
      <c r="AV4" s="746"/>
      <c r="AW4" s="746"/>
      <c r="AX4" s="746"/>
      <c r="AY4" s="746"/>
      <c r="AZ4" s="746"/>
      <c r="BA4" s="746"/>
      <c r="BB4" s="746"/>
      <c r="BC4" s="746"/>
      <c r="BD4" s="746"/>
      <c r="BE4" s="746"/>
      <c r="BF4" s="746"/>
      <c r="BG4" s="746"/>
      <c r="BH4" s="746"/>
      <c r="BI4" s="746"/>
      <c r="BJ4" s="746"/>
      <c r="BK4" s="746"/>
      <c r="BL4" s="746"/>
      <c r="BM4" s="747"/>
    </row>
    <row r="5" spans="1:65" x14ac:dyDescent="0.3">
      <c r="A5" s="762" t="s">
        <v>48</v>
      </c>
      <c r="B5" s="763"/>
      <c r="C5" s="380"/>
      <c r="D5" s="380"/>
      <c r="E5" s="764" t="s">
        <v>836</v>
      </c>
      <c r="F5" s="765"/>
      <c r="G5" s="765"/>
      <c r="H5" s="765"/>
      <c r="I5" s="765"/>
      <c r="J5" s="765"/>
      <c r="K5" s="765"/>
      <c r="L5" s="765"/>
      <c r="M5" s="765"/>
      <c r="N5" s="765"/>
      <c r="O5" s="765"/>
      <c r="P5" s="765"/>
      <c r="Q5" s="765"/>
      <c r="R5" s="765"/>
      <c r="S5" s="765"/>
      <c r="T5" s="765"/>
      <c r="U5" s="765"/>
      <c r="V5" s="765"/>
      <c r="W5" s="765"/>
      <c r="X5" s="765"/>
      <c r="Y5" s="765"/>
      <c r="Z5" s="765"/>
      <c r="AA5" s="765"/>
      <c r="AB5" s="765"/>
      <c r="AC5" s="765"/>
      <c r="AD5" s="765"/>
      <c r="AE5" s="765"/>
      <c r="AF5" s="765"/>
      <c r="AG5" s="766"/>
      <c r="AH5" s="756" t="s">
        <v>141</v>
      </c>
      <c r="AI5" s="757"/>
      <c r="AJ5" s="757"/>
      <c r="AK5" s="757"/>
      <c r="AL5" s="757"/>
      <c r="AM5" s="757"/>
      <c r="AN5" s="757"/>
      <c r="AO5" s="757"/>
      <c r="AP5" s="757"/>
      <c r="AQ5" s="757"/>
      <c r="AR5" s="757"/>
      <c r="AS5" s="757"/>
      <c r="AT5" s="757"/>
      <c r="AU5" s="757"/>
      <c r="AV5" s="757"/>
      <c r="AW5" s="757"/>
      <c r="AX5" s="757"/>
      <c r="AY5" s="757"/>
      <c r="AZ5" s="757"/>
      <c r="BA5" s="757"/>
      <c r="BB5" s="757"/>
      <c r="BC5" s="757"/>
      <c r="BD5" s="757"/>
      <c r="BE5" s="757"/>
      <c r="BF5" s="757"/>
      <c r="BG5" s="757"/>
      <c r="BH5" s="757"/>
      <c r="BI5" s="757"/>
      <c r="BJ5" s="756" t="s">
        <v>841</v>
      </c>
      <c r="BK5" s="757"/>
      <c r="BL5" s="757"/>
      <c r="BM5" s="758"/>
    </row>
    <row r="6" spans="1:65" x14ac:dyDescent="0.3">
      <c r="A6" s="666" t="s">
        <v>0</v>
      </c>
      <c r="B6" s="467" t="s">
        <v>142</v>
      </c>
      <c r="C6" s="380" t="s">
        <v>21</v>
      </c>
      <c r="D6" s="380" t="s">
        <v>47</v>
      </c>
      <c r="E6" s="767" t="s">
        <v>143</v>
      </c>
      <c r="F6" s="768"/>
      <c r="G6" s="768"/>
      <c r="H6" s="768"/>
      <c r="I6" s="768"/>
      <c r="J6" s="768"/>
      <c r="K6" s="768"/>
      <c r="L6" s="767" t="s">
        <v>144</v>
      </c>
      <c r="M6" s="768"/>
      <c r="N6" s="768"/>
      <c r="O6" s="768"/>
      <c r="P6" s="768"/>
      <c r="Q6" s="768"/>
      <c r="R6" s="768"/>
      <c r="S6" s="767" t="s">
        <v>145</v>
      </c>
      <c r="T6" s="768"/>
      <c r="U6" s="768"/>
      <c r="V6" s="768"/>
      <c r="W6" s="768"/>
      <c r="X6" s="768"/>
      <c r="Y6" s="768"/>
      <c r="Z6" s="768"/>
      <c r="AA6" s="767" t="s">
        <v>146</v>
      </c>
      <c r="AB6" s="768"/>
      <c r="AC6" s="768"/>
      <c r="AD6" s="768"/>
      <c r="AE6" s="768"/>
      <c r="AF6" s="768"/>
      <c r="AG6" s="768"/>
      <c r="AH6" s="767" t="s">
        <v>147</v>
      </c>
      <c r="AI6" s="768"/>
      <c r="AJ6" s="768"/>
      <c r="AK6" s="768"/>
      <c r="AL6" s="768"/>
      <c r="AM6" s="768"/>
      <c r="AN6" s="768"/>
      <c r="AO6" s="767" t="s">
        <v>148</v>
      </c>
      <c r="AP6" s="768"/>
      <c r="AQ6" s="768"/>
      <c r="AR6" s="768"/>
      <c r="AS6" s="768"/>
      <c r="AT6" s="768"/>
      <c r="AU6" s="768"/>
      <c r="AV6" s="767" t="s">
        <v>149</v>
      </c>
      <c r="AW6" s="768"/>
      <c r="AX6" s="768"/>
      <c r="AY6" s="768"/>
      <c r="AZ6" s="768"/>
      <c r="BA6" s="768"/>
      <c r="BB6" s="768"/>
      <c r="BC6" s="734" t="s">
        <v>835</v>
      </c>
      <c r="BD6" s="734"/>
      <c r="BE6" s="734"/>
      <c r="BF6" s="734"/>
      <c r="BG6" s="734"/>
      <c r="BH6" s="734"/>
      <c r="BI6" s="734"/>
      <c r="BJ6" s="378" t="s">
        <v>837</v>
      </c>
      <c r="BK6" s="378" t="s">
        <v>838</v>
      </c>
      <c r="BL6" s="378" t="s">
        <v>839</v>
      </c>
      <c r="BM6" s="379" t="s">
        <v>840</v>
      </c>
    </row>
    <row r="7" spans="1:65" ht="23.25" customHeight="1" x14ac:dyDescent="0.3">
      <c r="A7" s="369" t="s">
        <v>135</v>
      </c>
      <c r="B7" s="686" t="s">
        <v>204</v>
      </c>
      <c r="C7" s="698"/>
      <c r="D7" s="698"/>
      <c r="E7" s="664"/>
      <c r="F7" s="664"/>
      <c r="G7" s="664"/>
      <c r="H7" s="664"/>
      <c r="I7" s="664"/>
      <c r="J7" s="664"/>
      <c r="K7" s="664"/>
      <c r="L7" s="664"/>
      <c r="M7" s="664"/>
      <c r="N7" s="664"/>
      <c r="O7" s="664"/>
      <c r="P7" s="664"/>
      <c r="Q7" s="664"/>
      <c r="R7" s="664"/>
      <c r="S7" s="664"/>
      <c r="T7" s="664"/>
      <c r="U7" s="664"/>
      <c r="V7" s="664"/>
      <c r="W7" s="664"/>
      <c r="X7" s="664"/>
      <c r="Y7" s="664"/>
      <c r="Z7" s="664"/>
      <c r="AA7" s="664"/>
      <c r="AB7" s="664"/>
      <c r="AC7" s="664"/>
      <c r="AD7" s="664"/>
      <c r="AE7" s="664"/>
      <c r="AF7" s="664"/>
      <c r="AG7" s="664"/>
      <c r="AH7" s="664"/>
      <c r="AI7" s="664"/>
      <c r="AJ7" s="664"/>
      <c r="AK7" s="664"/>
      <c r="AL7" s="664"/>
      <c r="AM7" s="664"/>
      <c r="AN7" s="664"/>
      <c r="AO7" s="664"/>
      <c r="AP7" s="664"/>
      <c r="AQ7" s="664"/>
      <c r="AR7" s="664"/>
      <c r="AS7" s="664"/>
      <c r="AT7" s="664"/>
      <c r="AU7" s="664"/>
      <c r="AV7" s="664"/>
      <c r="AW7" s="664"/>
      <c r="AX7" s="664"/>
      <c r="AY7" s="664"/>
      <c r="AZ7" s="664"/>
      <c r="BA7" s="664"/>
      <c r="BB7" s="664"/>
      <c r="BC7" s="664"/>
      <c r="BD7" s="664"/>
      <c r="BE7" s="664"/>
      <c r="BF7" s="664"/>
      <c r="BG7" s="664"/>
      <c r="BH7" s="664"/>
      <c r="BI7" s="664"/>
      <c r="BJ7" s="664"/>
      <c r="BK7" s="664"/>
      <c r="BL7" s="664"/>
      <c r="BM7" s="685"/>
    </row>
    <row r="8" spans="1:65" x14ac:dyDescent="0.3">
      <c r="A8" s="673" t="str">
        <f>'PRESUPUESTO OFICIAL (Entidad)'!B13</f>
        <v>A1</v>
      </c>
      <c r="B8" s="674" t="str">
        <f>'PRESUPUESTO OFICIAL (Entidad)'!C13</f>
        <v>PRELIMINARES Y DEMOLICIONES - DESMONTE DE ELEMENTOS</v>
      </c>
      <c r="C8" s="673"/>
      <c r="D8" s="673"/>
      <c r="E8" s="740"/>
      <c r="F8" s="740"/>
      <c r="G8" s="740"/>
      <c r="H8" s="740"/>
      <c r="I8" s="740"/>
      <c r="J8" s="740"/>
      <c r="K8" s="740"/>
      <c r="L8" s="740"/>
      <c r="M8" s="740"/>
      <c r="N8" s="740"/>
      <c r="O8" s="740"/>
      <c r="P8" s="740"/>
      <c r="Q8" s="740"/>
      <c r="R8" s="740"/>
      <c r="S8" s="740"/>
      <c r="T8" s="740"/>
      <c r="U8" s="740"/>
      <c r="V8" s="740"/>
      <c r="W8" s="740"/>
      <c r="X8" s="740"/>
      <c r="Y8" s="740"/>
      <c r="Z8" s="740"/>
      <c r="AA8" s="740"/>
      <c r="AB8" s="740"/>
      <c r="AC8" s="740"/>
      <c r="AD8" s="740"/>
      <c r="AE8" s="740"/>
      <c r="AF8" s="740"/>
      <c r="AG8" s="740"/>
      <c r="AH8" s="740"/>
      <c r="AI8" s="740"/>
      <c r="AJ8" s="740"/>
      <c r="AK8" s="740"/>
      <c r="AL8" s="740"/>
      <c r="AM8" s="740"/>
      <c r="AN8" s="740"/>
      <c r="AO8" s="740"/>
      <c r="AP8" s="740"/>
      <c r="AQ8" s="740"/>
      <c r="AR8" s="740"/>
      <c r="AS8" s="740"/>
      <c r="AT8" s="740"/>
      <c r="AU8" s="740"/>
      <c r="AV8" s="740"/>
      <c r="AW8" s="740"/>
      <c r="AX8" s="740"/>
      <c r="AY8" s="740"/>
      <c r="AZ8" s="740"/>
      <c r="BA8" s="740"/>
      <c r="BB8" s="740"/>
      <c r="BC8" s="740"/>
      <c r="BD8" s="740"/>
      <c r="BE8" s="740"/>
      <c r="BF8" s="740"/>
      <c r="BG8" s="740"/>
      <c r="BH8" s="740"/>
      <c r="BI8" s="740"/>
      <c r="BJ8" s="675"/>
      <c r="BK8" s="676"/>
      <c r="BL8" s="676"/>
      <c r="BM8" s="676"/>
    </row>
    <row r="9" spans="1:65" x14ac:dyDescent="0.3">
      <c r="A9" s="469" t="str">
        <f>'PRESUPUESTO OFICIAL (Entidad)'!B14</f>
        <v>A1,1</v>
      </c>
      <c r="B9" s="470" t="str">
        <f>'PRESUPUESTO OFICIAL (Entidad)'!C14</f>
        <v>Localización y Replanteo manual.</v>
      </c>
      <c r="C9" s="469" t="str">
        <f>'PRESUPUESTO OFICIAL (Entidad)'!D14</f>
        <v>M2</v>
      </c>
      <c r="D9" s="469">
        <f>'PRESUPUESTO OFICIAL (Entidad)'!E14</f>
        <v>65.83</v>
      </c>
      <c r="E9" s="739"/>
      <c r="F9" s="739"/>
      <c r="G9" s="739"/>
      <c r="H9" s="739"/>
      <c r="I9" s="739"/>
      <c r="J9" s="739"/>
      <c r="K9" s="739"/>
      <c r="L9" s="730"/>
      <c r="M9" s="730"/>
      <c r="N9" s="730"/>
      <c r="O9" s="730"/>
      <c r="P9" s="730"/>
      <c r="Q9" s="730"/>
      <c r="R9" s="730"/>
      <c r="S9" s="730"/>
      <c r="T9" s="730"/>
      <c r="U9" s="730"/>
      <c r="V9" s="730"/>
      <c r="W9" s="730"/>
      <c r="X9" s="730"/>
      <c r="Y9" s="730"/>
      <c r="Z9" s="730"/>
      <c r="AA9" s="730"/>
      <c r="AB9" s="730"/>
      <c r="AC9" s="730"/>
      <c r="AD9" s="730"/>
      <c r="AE9" s="730"/>
      <c r="AF9" s="730"/>
      <c r="AG9" s="730"/>
      <c r="AH9" s="730"/>
      <c r="AI9" s="730"/>
      <c r="AJ9" s="730"/>
      <c r="AK9" s="730"/>
      <c r="AL9" s="730"/>
      <c r="AM9" s="730"/>
      <c r="AN9" s="730"/>
      <c r="AO9" s="730"/>
      <c r="AP9" s="730"/>
      <c r="AQ9" s="730"/>
      <c r="AR9" s="730"/>
      <c r="AS9" s="730"/>
      <c r="AT9" s="730"/>
      <c r="AU9" s="730"/>
      <c r="AV9" s="730"/>
      <c r="AW9" s="730"/>
      <c r="AX9" s="730"/>
      <c r="AY9" s="730"/>
      <c r="AZ9" s="730"/>
      <c r="BA9" s="730"/>
      <c r="BB9" s="730"/>
      <c r="BC9" s="730"/>
      <c r="BD9" s="730"/>
      <c r="BE9" s="730"/>
      <c r="BF9" s="730"/>
      <c r="BG9" s="730"/>
      <c r="BH9" s="730"/>
      <c r="BI9" s="730"/>
      <c r="BJ9" s="4"/>
      <c r="BK9" s="52"/>
      <c r="BL9" s="52"/>
      <c r="BM9" s="52"/>
    </row>
    <row r="10" spans="1:65" x14ac:dyDescent="0.3">
      <c r="A10" s="469" t="str">
        <f>'PRESUPUESTO OFICIAL (Entidad)'!B15</f>
        <v>A1,2</v>
      </c>
      <c r="B10" s="470" t="str">
        <f>'PRESUPUESTO OFICIAL (Entidad)'!C15</f>
        <v>Demolición mecánica de concreto ciclópeo</v>
      </c>
      <c r="C10" s="469" t="str">
        <f>'PRESUPUESTO OFICIAL (Entidad)'!D15</f>
        <v>M3</v>
      </c>
      <c r="D10" s="469">
        <f>'PRESUPUESTO OFICIAL (Entidad)'!E15</f>
        <v>3.53</v>
      </c>
      <c r="E10" s="739"/>
      <c r="F10" s="739"/>
      <c r="G10" s="739"/>
      <c r="H10" s="739"/>
      <c r="I10" s="739"/>
      <c r="J10" s="739"/>
      <c r="K10" s="739"/>
      <c r="L10" s="730"/>
      <c r="M10" s="730"/>
      <c r="N10" s="730"/>
      <c r="O10" s="730"/>
      <c r="P10" s="730"/>
      <c r="Q10" s="730"/>
      <c r="R10" s="730"/>
      <c r="S10" s="730"/>
      <c r="T10" s="730"/>
      <c r="U10" s="730"/>
      <c r="V10" s="730"/>
      <c r="W10" s="730"/>
      <c r="X10" s="730"/>
      <c r="Y10" s="730"/>
      <c r="Z10" s="730"/>
      <c r="AA10" s="730"/>
      <c r="AB10" s="730"/>
      <c r="AC10" s="730"/>
      <c r="AD10" s="730"/>
      <c r="AE10" s="730"/>
      <c r="AF10" s="730"/>
      <c r="AG10" s="730"/>
      <c r="AH10" s="730"/>
      <c r="AI10" s="730"/>
      <c r="AJ10" s="730"/>
      <c r="AK10" s="730"/>
      <c r="AL10" s="730"/>
      <c r="AM10" s="730"/>
      <c r="AN10" s="730"/>
      <c r="AO10" s="730"/>
      <c r="AP10" s="730"/>
      <c r="AQ10" s="730"/>
      <c r="AR10" s="730"/>
      <c r="AS10" s="730"/>
      <c r="AT10" s="730"/>
      <c r="AU10" s="730"/>
      <c r="AV10" s="730"/>
      <c r="AW10" s="730"/>
      <c r="AX10" s="730"/>
      <c r="AY10" s="730"/>
      <c r="AZ10" s="730"/>
      <c r="BA10" s="730"/>
      <c r="BB10" s="730"/>
      <c r="BC10" s="730"/>
      <c r="BD10" s="730"/>
      <c r="BE10" s="730"/>
      <c r="BF10" s="730"/>
      <c r="BG10" s="730"/>
      <c r="BH10" s="730"/>
      <c r="BI10" s="730"/>
      <c r="BJ10" s="4"/>
      <c r="BK10" s="52"/>
      <c r="BL10" s="52"/>
      <c r="BM10" s="52"/>
    </row>
    <row r="11" spans="1:65" s="677" customFormat="1" x14ac:dyDescent="0.3">
      <c r="A11" s="673" t="str">
        <f>'PRESUPUESTO OFICIAL (Entidad)'!B16</f>
        <v>A2</v>
      </c>
      <c r="B11" s="674" t="str">
        <f>'PRESUPUESTO OFICIAL (Entidad)'!C16</f>
        <v>MOVIMIENTO DE TIERRA</v>
      </c>
      <c r="C11" s="673"/>
      <c r="D11" s="673"/>
      <c r="E11" s="740"/>
      <c r="F11" s="740"/>
      <c r="G11" s="740"/>
      <c r="H11" s="740"/>
      <c r="I11" s="740"/>
      <c r="J11" s="740"/>
      <c r="K11" s="740"/>
      <c r="L11" s="740"/>
      <c r="M11" s="740"/>
      <c r="N11" s="740"/>
      <c r="O11" s="740"/>
      <c r="P11" s="740"/>
      <c r="Q11" s="740"/>
      <c r="R11" s="740"/>
      <c r="S11" s="740"/>
      <c r="T11" s="740"/>
      <c r="U11" s="740"/>
      <c r="V11" s="740"/>
      <c r="W11" s="740"/>
      <c r="X11" s="740"/>
      <c r="Y11" s="740"/>
      <c r="Z11" s="740"/>
      <c r="AA11" s="740"/>
      <c r="AB11" s="740"/>
      <c r="AC11" s="740"/>
      <c r="AD11" s="740"/>
      <c r="AE11" s="740"/>
      <c r="AF11" s="740"/>
      <c r="AG11" s="740"/>
      <c r="AH11" s="740"/>
      <c r="AI11" s="740"/>
      <c r="AJ11" s="740"/>
      <c r="AK11" s="740"/>
      <c r="AL11" s="740"/>
      <c r="AM11" s="740"/>
      <c r="AN11" s="740"/>
      <c r="AO11" s="740"/>
      <c r="AP11" s="740"/>
      <c r="AQ11" s="740"/>
      <c r="AR11" s="740"/>
      <c r="AS11" s="740"/>
      <c r="AT11" s="740"/>
      <c r="AU11" s="740"/>
      <c r="AV11" s="740"/>
      <c r="AW11" s="740"/>
      <c r="AX11" s="740"/>
      <c r="AY11" s="740"/>
      <c r="AZ11" s="740"/>
      <c r="BA11" s="740"/>
      <c r="BB11" s="740"/>
      <c r="BC11" s="740"/>
      <c r="BD11" s="740"/>
      <c r="BE11" s="740"/>
      <c r="BF11" s="740"/>
      <c r="BG11" s="740"/>
      <c r="BH11" s="740"/>
      <c r="BI11" s="740"/>
      <c r="BJ11" s="675"/>
      <c r="BK11" s="676"/>
      <c r="BL11" s="676"/>
      <c r="BM11" s="676"/>
    </row>
    <row r="12" spans="1:65" x14ac:dyDescent="0.3">
      <c r="A12" s="469" t="str">
        <f>'PRESUPUESTO OFICIAL (Entidad)'!B17</f>
        <v>A2,1</v>
      </c>
      <c r="B12" s="470" t="str">
        <f>'PRESUPUESTO OFICIAL (Entidad)'!C17</f>
        <v xml:space="preserve">Excavacion manual. Incluye retiro del material. </v>
      </c>
      <c r="C12" s="469" t="str">
        <f>'PRESUPUESTO OFICIAL (Entidad)'!D17</f>
        <v>M3</v>
      </c>
      <c r="D12" s="469">
        <f>'PRESUPUESTO OFICIAL (Entidad)'!E17</f>
        <v>15.61</v>
      </c>
      <c r="E12" s="739"/>
      <c r="F12" s="739"/>
      <c r="G12" s="739"/>
      <c r="H12" s="739"/>
      <c r="I12" s="739"/>
      <c r="J12" s="739"/>
      <c r="K12" s="739"/>
      <c r="L12" s="730"/>
      <c r="M12" s="730"/>
      <c r="N12" s="730"/>
      <c r="O12" s="730"/>
      <c r="P12" s="730"/>
      <c r="Q12" s="730"/>
      <c r="R12" s="730"/>
      <c r="S12" s="730"/>
      <c r="T12" s="730"/>
      <c r="U12" s="730"/>
      <c r="V12" s="730"/>
      <c r="W12" s="730"/>
      <c r="X12" s="730"/>
      <c r="Y12" s="730"/>
      <c r="Z12" s="730"/>
      <c r="AA12" s="730"/>
      <c r="AB12" s="730"/>
      <c r="AC12" s="730"/>
      <c r="AD12" s="730"/>
      <c r="AE12" s="730"/>
      <c r="AF12" s="730"/>
      <c r="AG12" s="730"/>
      <c r="AH12" s="730"/>
      <c r="AI12" s="730"/>
      <c r="AJ12" s="730"/>
      <c r="AK12" s="730"/>
      <c r="AL12" s="730"/>
      <c r="AM12" s="730"/>
      <c r="AN12" s="730"/>
      <c r="AO12" s="730"/>
      <c r="AP12" s="730"/>
      <c r="AQ12" s="730"/>
      <c r="AR12" s="730"/>
      <c r="AS12" s="730"/>
      <c r="AT12" s="730"/>
      <c r="AU12" s="730"/>
      <c r="AV12" s="742"/>
      <c r="AW12" s="742"/>
      <c r="AX12" s="742"/>
      <c r="AY12" s="742"/>
      <c r="AZ12" s="742"/>
      <c r="BA12" s="742"/>
      <c r="BB12" s="742"/>
      <c r="BC12" s="730"/>
      <c r="BD12" s="730"/>
      <c r="BE12" s="730"/>
      <c r="BF12" s="730"/>
      <c r="BG12" s="730"/>
      <c r="BH12" s="730"/>
      <c r="BI12" s="730"/>
      <c r="BJ12" s="62"/>
      <c r="BK12" s="52"/>
      <c r="BL12" s="52"/>
      <c r="BM12" s="52"/>
    </row>
    <row r="13" spans="1:65" x14ac:dyDescent="0.3">
      <c r="A13" s="469" t="str">
        <f>'PRESUPUESTO OFICIAL (Entidad)'!B18</f>
        <v>A2,2</v>
      </c>
      <c r="B13" s="470" t="str">
        <f>'PRESUPUESTO OFICIAL (Entidad)'!C18</f>
        <v>Relleno en recebo compactado mecánicamente.</v>
      </c>
      <c r="C13" s="469" t="str">
        <f>'PRESUPUESTO OFICIAL (Entidad)'!D18</f>
        <v>M3</v>
      </c>
      <c r="D13" s="469">
        <f>'PRESUPUESTO OFICIAL (Entidad)'!E18</f>
        <v>15.09</v>
      </c>
      <c r="E13" s="739"/>
      <c r="F13" s="739"/>
      <c r="G13" s="739"/>
      <c r="H13" s="739"/>
      <c r="I13" s="739"/>
      <c r="J13" s="739"/>
      <c r="K13" s="739"/>
      <c r="L13" s="739"/>
      <c r="M13" s="739"/>
      <c r="N13" s="739"/>
      <c r="O13" s="739"/>
      <c r="P13" s="739"/>
      <c r="Q13" s="739"/>
      <c r="R13" s="739"/>
      <c r="S13" s="730"/>
      <c r="T13" s="730"/>
      <c r="U13" s="730"/>
      <c r="V13" s="730"/>
      <c r="W13" s="730"/>
      <c r="X13" s="730"/>
      <c r="Y13" s="730"/>
      <c r="Z13" s="730"/>
      <c r="AA13" s="730"/>
      <c r="AB13" s="730"/>
      <c r="AC13" s="730"/>
      <c r="AD13" s="730"/>
      <c r="AE13" s="730"/>
      <c r="AF13" s="730"/>
      <c r="AG13" s="730"/>
      <c r="AH13" s="730"/>
      <c r="AI13" s="730"/>
      <c r="AJ13" s="730"/>
      <c r="AK13" s="730"/>
      <c r="AL13" s="730"/>
      <c r="AM13" s="730"/>
      <c r="AN13" s="730"/>
      <c r="AO13" s="730"/>
      <c r="AP13" s="730"/>
      <c r="AQ13" s="730"/>
      <c r="AR13" s="730"/>
      <c r="AS13" s="730"/>
      <c r="AT13" s="730"/>
      <c r="AU13" s="730"/>
      <c r="AV13" s="730"/>
      <c r="AW13" s="730"/>
      <c r="AX13" s="730"/>
      <c r="AY13" s="730"/>
      <c r="AZ13" s="730"/>
      <c r="BA13" s="730"/>
      <c r="BB13" s="730"/>
      <c r="BC13" s="730"/>
      <c r="BD13" s="730"/>
      <c r="BE13" s="730"/>
      <c r="BF13" s="730"/>
      <c r="BG13" s="730"/>
      <c r="BH13" s="730"/>
      <c r="BI13" s="730"/>
      <c r="BJ13" s="62"/>
      <c r="BK13" s="52"/>
      <c r="BL13" s="52"/>
      <c r="BM13" s="52"/>
    </row>
    <row r="14" spans="1:65" s="677" customFormat="1" x14ac:dyDescent="0.3">
      <c r="A14" s="673" t="str">
        <f>'PRESUPUESTO OFICIAL (Entidad)'!B19</f>
        <v>A3</v>
      </c>
      <c r="B14" s="674" t="str">
        <f>'PRESUPUESTO OFICIAL (Entidad)'!C19</f>
        <v>CIMIENTOS</v>
      </c>
      <c r="C14" s="673"/>
      <c r="D14" s="673"/>
      <c r="E14" s="770"/>
      <c r="F14" s="770"/>
      <c r="G14" s="770"/>
      <c r="H14" s="770"/>
      <c r="I14" s="770"/>
      <c r="J14" s="770"/>
      <c r="K14" s="770"/>
      <c r="L14" s="740"/>
      <c r="M14" s="740"/>
      <c r="N14" s="740"/>
      <c r="O14" s="740"/>
      <c r="P14" s="740"/>
      <c r="Q14" s="740"/>
      <c r="R14" s="740"/>
      <c r="S14" s="740"/>
      <c r="T14" s="740"/>
      <c r="U14" s="740"/>
      <c r="V14" s="740"/>
      <c r="W14" s="740"/>
      <c r="X14" s="740"/>
      <c r="Y14" s="740"/>
      <c r="Z14" s="740"/>
      <c r="AA14" s="740"/>
      <c r="AB14" s="740"/>
      <c r="AC14" s="740"/>
      <c r="AD14" s="740"/>
      <c r="AE14" s="740"/>
      <c r="AF14" s="740"/>
      <c r="AG14" s="740"/>
      <c r="AH14" s="740"/>
      <c r="AI14" s="740"/>
      <c r="AJ14" s="740"/>
      <c r="AK14" s="740"/>
      <c r="AL14" s="740"/>
      <c r="AM14" s="740"/>
      <c r="AN14" s="740"/>
      <c r="AO14" s="740"/>
      <c r="AP14" s="740"/>
      <c r="AQ14" s="740"/>
      <c r="AR14" s="740"/>
      <c r="AS14" s="740"/>
      <c r="AT14" s="740"/>
      <c r="AU14" s="740"/>
      <c r="AV14" s="740"/>
      <c r="AW14" s="740"/>
      <c r="AX14" s="740"/>
      <c r="AY14" s="740"/>
      <c r="AZ14" s="740"/>
      <c r="BA14" s="740"/>
      <c r="BB14" s="740"/>
      <c r="BC14" s="740"/>
      <c r="BD14" s="740"/>
      <c r="BE14" s="740"/>
      <c r="BF14" s="740"/>
      <c r="BG14" s="740"/>
      <c r="BH14" s="740"/>
      <c r="BI14" s="740"/>
      <c r="BJ14" s="678"/>
      <c r="BK14" s="676"/>
      <c r="BL14" s="676"/>
      <c r="BM14" s="676"/>
    </row>
    <row r="15" spans="1:65" ht="31.2" x14ac:dyDescent="0.3">
      <c r="A15" s="469" t="str">
        <f>'PRESUPUESTO OFICIAL (Entidad)'!B20</f>
        <v>A3,1</v>
      </c>
      <c r="B15" s="470" t="str">
        <f>'PRESUPUESTO OFICIAL (Entidad)'!C20</f>
        <v>Concreto Ciclópeo (40% en piedra media zonga y 60% concreto 2500 PSI de 0,30*0,40 m).</v>
      </c>
      <c r="C15" s="469" t="str">
        <f>'PRESUPUESTO OFICIAL (Entidad)'!D20</f>
        <v>M3</v>
      </c>
      <c r="D15" s="469">
        <f>'PRESUPUESTO OFICIAL (Entidad)'!E20</f>
        <v>3.07</v>
      </c>
      <c r="E15" s="742"/>
      <c r="F15" s="742"/>
      <c r="G15" s="742"/>
      <c r="H15" s="742"/>
      <c r="I15" s="742"/>
      <c r="J15" s="742"/>
      <c r="K15" s="742"/>
      <c r="L15" s="739"/>
      <c r="M15" s="739"/>
      <c r="N15" s="739"/>
      <c r="O15" s="739"/>
      <c r="P15" s="739"/>
      <c r="Q15" s="739"/>
      <c r="R15" s="739"/>
      <c r="S15" s="730"/>
      <c r="T15" s="730"/>
      <c r="U15" s="730"/>
      <c r="V15" s="730"/>
      <c r="W15" s="730"/>
      <c r="X15" s="730"/>
      <c r="Y15" s="730"/>
      <c r="Z15" s="730"/>
      <c r="AA15" s="730"/>
      <c r="AB15" s="730"/>
      <c r="AC15" s="730"/>
      <c r="AD15" s="730"/>
      <c r="AE15" s="730"/>
      <c r="AF15" s="730"/>
      <c r="AG15" s="730"/>
      <c r="AH15" s="730"/>
      <c r="AI15" s="730"/>
      <c r="AJ15" s="730"/>
      <c r="AK15" s="730"/>
      <c r="AL15" s="730"/>
      <c r="AM15" s="730"/>
      <c r="AN15" s="730"/>
      <c r="AO15" s="730"/>
      <c r="AP15" s="730"/>
      <c r="AQ15" s="730"/>
      <c r="AR15" s="730"/>
      <c r="AS15" s="730"/>
      <c r="AT15" s="730"/>
      <c r="AU15" s="730"/>
      <c r="AV15" s="730"/>
      <c r="AW15" s="730"/>
      <c r="AX15" s="730"/>
      <c r="AY15" s="730"/>
      <c r="AZ15" s="730"/>
      <c r="BA15" s="730"/>
      <c r="BB15" s="730"/>
      <c r="BC15" s="730"/>
      <c r="BD15" s="730"/>
      <c r="BE15" s="730"/>
      <c r="BF15" s="730"/>
      <c r="BG15" s="730"/>
      <c r="BH15" s="730"/>
      <c r="BI15" s="730"/>
      <c r="BJ15" s="248"/>
      <c r="BK15" s="63"/>
      <c r="BL15" s="52"/>
      <c r="BM15" s="52"/>
    </row>
    <row r="16" spans="1:65" x14ac:dyDescent="0.3">
      <c r="A16" s="469" t="str">
        <f>'PRESUPUESTO OFICIAL (Entidad)'!B21</f>
        <v>A3,2</v>
      </c>
      <c r="B16" s="470" t="str">
        <f>'PRESUPUESTO OFICIAL (Entidad)'!C21</f>
        <v>Cimentación tipo zapatas en concreto de 3000 P.S.I (0,70*0,70*0,30mts).</v>
      </c>
      <c r="C16" s="469" t="str">
        <f>'PRESUPUESTO OFICIAL (Entidad)'!D21</f>
        <v>M3</v>
      </c>
      <c r="D16" s="469">
        <f>'PRESUPUESTO OFICIAL (Entidad)'!E21</f>
        <v>0.74</v>
      </c>
      <c r="E16" s="730"/>
      <c r="F16" s="730"/>
      <c r="G16" s="730"/>
      <c r="H16" s="730"/>
      <c r="I16" s="730"/>
      <c r="J16" s="730"/>
      <c r="K16" s="730"/>
      <c r="L16" s="739"/>
      <c r="M16" s="739"/>
      <c r="N16" s="739"/>
      <c r="O16" s="739"/>
      <c r="P16" s="739"/>
      <c r="Q16" s="739"/>
      <c r="R16" s="739"/>
      <c r="S16" s="739"/>
      <c r="T16" s="739"/>
      <c r="U16" s="739"/>
      <c r="V16" s="739"/>
      <c r="W16" s="739"/>
      <c r="X16" s="739"/>
      <c r="Y16" s="739"/>
      <c r="Z16" s="739"/>
      <c r="AA16" s="730"/>
      <c r="AB16" s="730"/>
      <c r="AC16" s="730"/>
      <c r="AD16" s="730"/>
      <c r="AE16" s="730"/>
      <c r="AF16" s="730"/>
      <c r="AG16" s="730"/>
      <c r="AH16" s="730"/>
      <c r="AI16" s="730"/>
      <c r="AJ16" s="730"/>
      <c r="AK16" s="730"/>
      <c r="AL16" s="730"/>
      <c r="AM16" s="730"/>
      <c r="AN16" s="730"/>
      <c r="AO16" s="730"/>
      <c r="AP16" s="730"/>
      <c r="AQ16" s="730"/>
      <c r="AR16" s="730"/>
      <c r="AS16" s="730"/>
      <c r="AT16" s="730"/>
      <c r="AU16" s="730"/>
      <c r="AV16" s="730"/>
      <c r="AW16" s="730"/>
      <c r="AX16" s="730"/>
      <c r="AY16" s="730"/>
      <c r="AZ16" s="730"/>
      <c r="BA16" s="730"/>
      <c r="BB16" s="730"/>
      <c r="BC16" s="730"/>
      <c r="BD16" s="730"/>
      <c r="BE16" s="730"/>
      <c r="BF16" s="730"/>
      <c r="BG16" s="730"/>
      <c r="BH16" s="730"/>
      <c r="BI16" s="730"/>
      <c r="BJ16" s="248"/>
      <c r="BK16" s="62"/>
      <c r="BL16" s="52"/>
      <c r="BM16" s="52"/>
    </row>
    <row r="17" spans="1:66" x14ac:dyDescent="0.3">
      <c r="A17" s="469" t="str">
        <f>'PRESUPUESTO OFICIAL (Entidad)'!B22</f>
        <v>A3,3</v>
      </c>
      <c r="B17" s="470" t="str">
        <f>'PRESUPUESTO OFICIAL (Entidad)'!C22</f>
        <v>Cimentación tipo zapatas en concreto de 3000 P.S.I (1,00*1,00*0,30mts).</v>
      </c>
      <c r="C17" s="469" t="str">
        <f>'PRESUPUESTO OFICIAL (Entidad)'!D22</f>
        <v>M3</v>
      </c>
      <c r="D17" s="469">
        <f>'PRESUPUESTO OFICIAL (Entidad)'!E22</f>
        <v>0.3</v>
      </c>
      <c r="E17" s="730"/>
      <c r="F17" s="730"/>
      <c r="G17" s="730"/>
      <c r="H17" s="730"/>
      <c r="I17" s="730"/>
      <c r="J17" s="730"/>
      <c r="K17" s="730"/>
      <c r="L17" s="739"/>
      <c r="M17" s="739"/>
      <c r="N17" s="739"/>
      <c r="O17" s="739"/>
      <c r="P17" s="739"/>
      <c r="Q17" s="739"/>
      <c r="R17" s="739"/>
      <c r="S17" s="739"/>
      <c r="T17" s="739"/>
      <c r="U17" s="739"/>
      <c r="V17" s="739"/>
      <c r="W17" s="739"/>
      <c r="X17" s="739"/>
      <c r="Y17" s="739"/>
      <c r="Z17" s="739"/>
      <c r="AA17" s="730"/>
      <c r="AB17" s="730"/>
      <c r="AC17" s="730"/>
      <c r="AD17" s="730"/>
      <c r="AE17" s="730"/>
      <c r="AF17" s="730"/>
      <c r="AG17" s="730"/>
      <c r="AH17" s="730"/>
      <c r="AI17" s="730"/>
      <c r="AJ17" s="730"/>
      <c r="AK17" s="730"/>
      <c r="AL17" s="730"/>
      <c r="AM17" s="730"/>
      <c r="AN17" s="730"/>
      <c r="AO17" s="730"/>
      <c r="AP17" s="730"/>
      <c r="AQ17" s="730"/>
      <c r="AR17" s="730"/>
      <c r="AS17" s="730"/>
      <c r="AT17" s="730"/>
      <c r="AU17" s="730"/>
      <c r="AV17" s="730"/>
      <c r="AW17" s="730"/>
      <c r="AX17" s="730"/>
      <c r="AY17" s="730"/>
      <c r="AZ17" s="730"/>
      <c r="BA17" s="730"/>
      <c r="BB17" s="730"/>
      <c r="BC17" s="730"/>
      <c r="BD17" s="730"/>
      <c r="BE17" s="730"/>
      <c r="BF17" s="730"/>
      <c r="BG17" s="730"/>
      <c r="BH17" s="730"/>
      <c r="BI17" s="730"/>
      <c r="BJ17" s="248"/>
      <c r="BK17" s="62"/>
      <c r="BL17" s="52"/>
      <c r="BM17" s="52"/>
    </row>
    <row r="18" spans="1:66" ht="31.2" x14ac:dyDescent="0.3">
      <c r="A18" s="469" t="str">
        <f>'PRESUPUESTO OFICIAL (Entidad)'!B23</f>
        <v>A3,4</v>
      </c>
      <c r="B18" s="470" t="str">
        <f>'PRESUPUESTO OFICIAL (Entidad)'!C23</f>
        <v>Viga de cimentación en concreto de 3000 PSI (0,30*0,30mts). Incluye acero de refuerzo de 60000 PSI (4Ø5/8" refuerzo y E=Ø3/8" c./d. 0,10 mts).</v>
      </c>
      <c r="C18" s="469" t="str">
        <f>'PRESUPUESTO OFICIAL (Entidad)'!D23</f>
        <v>ML</v>
      </c>
      <c r="D18" s="469">
        <f>'PRESUPUESTO OFICIAL (Entidad)'!E23</f>
        <v>39.15</v>
      </c>
      <c r="E18" s="730"/>
      <c r="F18" s="730"/>
      <c r="G18" s="730"/>
      <c r="H18" s="730"/>
      <c r="I18" s="730"/>
      <c r="J18" s="730"/>
      <c r="K18" s="730"/>
      <c r="L18" s="739"/>
      <c r="M18" s="739"/>
      <c r="N18" s="739"/>
      <c r="O18" s="739"/>
      <c r="P18" s="739"/>
      <c r="Q18" s="739"/>
      <c r="R18" s="739"/>
      <c r="S18" s="739"/>
      <c r="T18" s="739"/>
      <c r="U18" s="739"/>
      <c r="V18" s="739"/>
      <c r="W18" s="739"/>
      <c r="X18" s="739"/>
      <c r="Y18" s="739"/>
      <c r="Z18" s="739"/>
      <c r="AA18" s="730"/>
      <c r="AB18" s="730"/>
      <c r="AC18" s="730"/>
      <c r="AD18" s="730"/>
      <c r="AE18" s="730"/>
      <c r="AF18" s="730"/>
      <c r="AG18" s="730"/>
      <c r="AH18" s="730"/>
      <c r="AI18" s="730"/>
      <c r="AJ18" s="730"/>
      <c r="AK18" s="730"/>
      <c r="AL18" s="730"/>
      <c r="AM18" s="730"/>
      <c r="AN18" s="730"/>
      <c r="AO18" s="730"/>
      <c r="AP18" s="730"/>
      <c r="AQ18" s="730"/>
      <c r="AR18" s="730"/>
      <c r="AS18" s="730"/>
      <c r="AT18" s="730"/>
      <c r="AU18" s="730"/>
      <c r="AV18" s="730"/>
      <c r="AW18" s="730"/>
      <c r="AX18" s="730"/>
      <c r="AY18" s="730"/>
      <c r="AZ18" s="730"/>
      <c r="BA18" s="730"/>
      <c r="BB18" s="730"/>
      <c r="BC18" s="730"/>
      <c r="BD18" s="730"/>
      <c r="BE18" s="730"/>
      <c r="BF18" s="730"/>
      <c r="BG18" s="730"/>
      <c r="BH18" s="730"/>
      <c r="BI18" s="730"/>
      <c r="BJ18" s="248"/>
      <c r="BK18" s="62"/>
      <c r="BL18" s="52"/>
      <c r="BM18" s="52"/>
    </row>
    <row r="19" spans="1:66" x14ac:dyDescent="0.3">
      <c r="A19" s="469" t="str">
        <f>'PRESUPUESTO OFICIAL (Entidad)'!B24</f>
        <v>A3,5</v>
      </c>
      <c r="B19" s="470" t="str">
        <f>'PRESUPUESTO OFICIAL (Entidad)'!C24</f>
        <v>Cimentación tipo solado de limpieza concreto 1700 psi e=0,05 m.</v>
      </c>
      <c r="C19" s="469" t="str">
        <f>'PRESUPUESTO OFICIAL (Entidad)'!D24</f>
        <v>M2</v>
      </c>
      <c r="D19" s="469">
        <f>'PRESUPUESTO OFICIAL (Entidad)'!E24</f>
        <v>3.45</v>
      </c>
      <c r="E19" s="730"/>
      <c r="F19" s="730"/>
      <c r="G19" s="730"/>
      <c r="H19" s="730"/>
      <c r="I19" s="730"/>
      <c r="J19" s="730"/>
      <c r="K19" s="730"/>
      <c r="L19" s="739"/>
      <c r="M19" s="739"/>
      <c r="N19" s="739"/>
      <c r="O19" s="739"/>
      <c r="P19" s="739"/>
      <c r="Q19" s="739"/>
      <c r="R19" s="739"/>
      <c r="S19" s="739"/>
      <c r="T19" s="739"/>
      <c r="U19" s="739"/>
      <c r="V19" s="739"/>
      <c r="W19" s="739"/>
      <c r="X19" s="739"/>
      <c r="Y19" s="739"/>
      <c r="Z19" s="739"/>
      <c r="AA19" s="730"/>
      <c r="AB19" s="730"/>
      <c r="AC19" s="730"/>
      <c r="AD19" s="730"/>
      <c r="AE19" s="730"/>
      <c r="AF19" s="730"/>
      <c r="AG19" s="730"/>
      <c r="AH19" s="730"/>
      <c r="AI19" s="730"/>
      <c r="AJ19" s="730"/>
      <c r="AK19" s="730"/>
      <c r="AL19" s="730"/>
      <c r="AM19" s="730"/>
      <c r="AN19" s="730"/>
      <c r="AO19" s="730"/>
      <c r="AP19" s="730"/>
      <c r="AQ19" s="730"/>
      <c r="AR19" s="730"/>
      <c r="AS19" s="730"/>
      <c r="AT19" s="730"/>
      <c r="AU19" s="730"/>
      <c r="AV19" s="730"/>
      <c r="AW19" s="730"/>
      <c r="AX19" s="730"/>
      <c r="AY19" s="730"/>
      <c r="AZ19" s="730"/>
      <c r="BA19" s="730"/>
      <c r="BB19" s="730"/>
      <c r="BC19" s="730"/>
      <c r="BD19" s="730"/>
      <c r="BE19" s="730"/>
      <c r="BF19" s="730"/>
      <c r="BG19" s="730"/>
      <c r="BH19" s="730"/>
      <c r="BI19" s="730"/>
      <c r="BJ19" s="248"/>
      <c r="BK19" s="62"/>
      <c r="BL19" s="52"/>
      <c r="BM19" s="52"/>
    </row>
    <row r="20" spans="1:66" x14ac:dyDescent="0.3">
      <c r="A20" s="469" t="str">
        <f>'PRESUPUESTO OFICIAL (Entidad)'!B25</f>
        <v>A3,6</v>
      </c>
      <c r="B20" s="470" t="str">
        <f>'PRESUPUESTO OFICIAL (Entidad)'!C25</f>
        <v>Acero de refuerzo 600000 PSI, para zapata (incluye amarre y figurado).</v>
      </c>
      <c r="C20" s="469" t="str">
        <f>'PRESUPUESTO OFICIAL (Entidad)'!D25</f>
        <v>KG</v>
      </c>
      <c r="D20" s="469">
        <f>'PRESUPUESTO OFICIAL (Entidad)'!E25</f>
        <v>86.74</v>
      </c>
      <c r="E20" s="730"/>
      <c r="F20" s="730"/>
      <c r="G20" s="730"/>
      <c r="H20" s="730"/>
      <c r="I20" s="730"/>
      <c r="J20" s="730"/>
      <c r="K20" s="730"/>
      <c r="L20" s="739"/>
      <c r="M20" s="739"/>
      <c r="N20" s="739"/>
      <c r="O20" s="739"/>
      <c r="P20" s="739"/>
      <c r="Q20" s="739"/>
      <c r="R20" s="739"/>
      <c r="S20" s="739"/>
      <c r="T20" s="739"/>
      <c r="U20" s="739"/>
      <c r="V20" s="739"/>
      <c r="W20" s="739"/>
      <c r="X20" s="739"/>
      <c r="Y20" s="739"/>
      <c r="Z20" s="739"/>
      <c r="AA20" s="730"/>
      <c r="AB20" s="730"/>
      <c r="AC20" s="730"/>
      <c r="AD20" s="730"/>
      <c r="AE20" s="730"/>
      <c r="AF20" s="730"/>
      <c r="AG20" s="730"/>
      <c r="AH20" s="730"/>
      <c r="AI20" s="730"/>
      <c r="AJ20" s="730"/>
      <c r="AK20" s="730"/>
      <c r="AL20" s="730"/>
      <c r="AM20" s="730"/>
      <c r="AN20" s="730"/>
      <c r="AO20" s="730"/>
      <c r="AP20" s="730"/>
      <c r="AQ20" s="730"/>
      <c r="AR20" s="730"/>
      <c r="AS20" s="730"/>
      <c r="AT20" s="730"/>
      <c r="AU20" s="730"/>
      <c r="AV20" s="730"/>
      <c r="AW20" s="730"/>
      <c r="AX20" s="730"/>
      <c r="AY20" s="730"/>
      <c r="AZ20" s="730"/>
      <c r="BA20" s="730"/>
      <c r="BB20" s="730"/>
      <c r="BC20" s="730"/>
      <c r="BD20" s="730"/>
      <c r="BE20" s="730"/>
      <c r="BF20" s="730"/>
      <c r="BG20" s="730"/>
      <c r="BH20" s="730"/>
      <c r="BI20" s="730"/>
      <c r="BJ20" s="248"/>
      <c r="BK20" s="62"/>
      <c r="BL20" s="52"/>
      <c r="BM20" s="52"/>
    </row>
    <row r="21" spans="1:66" s="677" customFormat="1" x14ac:dyDescent="0.3">
      <c r="A21" s="673" t="str">
        <f>'PRESUPUESTO OFICIAL (Entidad)'!B26</f>
        <v>A4</v>
      </c>
      <c r="B21" s="674" t="str">
        <f>'PRESUPUESTO OFICIAL (Entidad)'!C26</f>
        <v>MAMPOSTERIA</v>
      </c>
      <c r="C21" s="673"/>
      <c r="D21" s="673"/>
      <c r="E21" s="740"/>
      <c r="F21" s="740"/>
      <c r="G21" s="740"/>
      <c r="H21" s="740"/>
      <c r="I21" s="740"/>
      <c r="J21" s="740"/>
      <c r="K21" s="740"/>
      <c r="L21" s="740"/>
      <c r="M21" s="740"/>
      <c r="N21" s="740"/>
      <c r="O21" s="740"/>
      <c r="P21" s="740"/>
      <c r="Q21" s="740"/>
      <c r="R21" s="740"/>
      <c r="S21" s="740"/>
      <c r="T21" s="740"/>
      <c r="U21" s="740"/>
      <c r="V21" s="740"/>
      <c r="W21" s="740"/>
      <c r="X21" s="740"/>
      <c r="Y21" s="740"/>
      <c r="Z21" s="740"/>
      <c r="AA21" s="740"/>
      <c r="AB21" s="740"/>
      <c r="AC21" s="740"/>
      <c r="AD21" s="740"/>
      <c r="AE21" s="740"/>
      <c r="AF21" s="740"/>
      <c r="AG21" s="740"/>
      <c r="AH21" s="740"/>
      <c r="AI21" s="740"/>
      <c r="AJ21" s="740"/>
      <c r="AK21" s="740"/>
      <c r="AL21" s="740"/>
      <c r="AM21" s="740"/>
      <c r="AN21" s="740"/>
      <c r="AO21" s="740"/>
      <c r="AP21" s="740"/>
      <c r="AQ21" s="740"/>
      <c r="AR21" s="740"/>
      <c r="AS21" s="740"/>
      <c r="AT21" s="740"/>
      <c r="AU21" s="740"/>
      <c r="AV21" s="740"/>
      <c r="AW21" s="740"/>
      <c r="AX21" s="740"/>
      <c r="AY21" s="740"/>
      <c r="AZ21" s="740"/>
      <c r="BA21" s="740"/>
      <c r="BB21" s="740"/>
      <c r="BC21" s="740"/>
      <c r="BD21" s="740"/>
      <c r="BE21" s="740"/>
      <c r="BF21" s="740"/>
      <c r="BG21" s="740"/>
      <c r="BH21" s="740"/>
      <c r="BI21" s="740"/>
      <c r="BJ21" s="678"/>
      <c r="BK21" s="675"/>
      <c r="BL21" s="676"/>
      <c r="BM21" s="676"/>
    </row>
    <row r="22" spans="1:66" ht="31.2" x14ac:dyDescent="0.3">
      <c r="A22" s="469" t="str">
        <f>'PRESUPUESTO OFICIAL (Entidad)'!B27</f>
        <v>A4,1</v>
      </c>
      <c r="B22" s="470" t="str">
        <f>'PRESUPUESTO OFICIAL (Entidad)'!C27</f>
        <v>Construccion de Muro en Bloque de arcilla #5 (12x20x30cm) Incluye mortero de pega y bloque.</v>
      </c>
      <c r="C22" s="469" t="str">
        <f>'PRESUPUESTO OFICIAL (Entidad)'!D27</f>
        <v>M2</v>
      </c>
      <c r="D22" s="469">
        <f>'PRESUPUESTO OFICIAL (Entidad)'!E27</f>
        <v>82.89</v>
      </c>
      <c r="E22" s="730"/>
      <c r="F22" s="730"/>
      <c r="G22" s="730"/>
      <c r="H22" s="730"/>
      <c r="I22" s="730"/>
      <c r="J22" s="730"/>
      <c r="K22" s="730"/>
      <c r="L22" s="730"/>
      <c r="M22" s="730"/>
      <c r="N22" s="730"/>
      <c r="O22" s="730"/>
      <c r="P22" s="730"/>
      <c r="Q22" s="730"/>
      <c r="R22" s="730"/>
      <c r="S22" s="739"/>
      <c r="T22" s="739"/>
      <c r="U22" s="739"/>
      <c r="V22" s="739"/>
      <c r="W22" s="739"/>
      <c r="X22" s="739"/>
      <c r="Y22" s="739"/>
      <c r="Z22" s="739"/>
      <c r="AA22" s="730"/>
      <c r="AB22" s="730"/>
      <c r="AC22" s="730"/>
      <c r="AD22" s="730"/>
      <c r="AE22" s="730"/>
      <c r="AF22" s="730"/>
      <c r="AG22" s="730"/>
      <c r="AH22" s="730"/>
      <c r="AI22" s="730"/>
      <c r="AJ22" s="730"/>
      <c r="AK22" s="730"/>
      <c r="AL22" s="730"/>
      <c r="AM22" s="730"/>
      <c r="AN22" s="730"/>
      <c r="AO22" s="730"/>
      <c r="AP22" s="730"/>
      <c r="AQ22" s="730"/>
      <c r="AR22" s="730"/>
      <c r="AS22" s="730"/>
      <c r="AT22" s="730"/>
      <c r="AU22" s="730"/>
      <c r="AV22" s="730"/>
      <c r="AW22" s="730"/>
      <c r="AX22" s="730"/>
      <c r="AY22" s="730"/>
      <c r="AZ22" s="730"/>
      <c r="BA22" s="730"/>
      <c r="BB22" s="730"/>
      <c r="BC22" s="730"/>
      <c r="BD22" s="730"/>
      <c r="BE22" s="730"/>
      <c r="BF22" s="730"/>
      <c r="BG22" s="730"/>
      <c r="BH22" s="730"/>
      <c r="BI22" s="730"/>
      <c r="BJ22" s="248"/>
      <c r="BK22" s="62"/>
      <c r="BL22" s="52"/>
      <c r="BM22" s="52"/>
      <c r="BN22" s="1" t="s">
        <v>654</v>
      </c>
    </row>
    <row r="23" spans="1:66" ht="31.2" x14ac:dyDescent="0.3">
      <c r="A23" s="469" t="str">
        <f>'PRESUPUESTO OFICIAL (Entidad)'!B28</f>
        <v>A4,2</v>
      </c>
      <c r="B23" s="470" t="str">
        <f>'PRESUPUESTO OFICIAL (Entidad)'!C28</f>
        <v>Construccion de Mesón en concreto 3000 psi, a=0,60, e=0.10 enchapado, inc. Acero (1Ø1/2"c.015 ambos sentidos).</v>
      </c>
      <c r="C23" s="469" t="str">
        <f>'PRESUPUESTO OFICIAL (Entidad)'!D28</f>
        <v>ML</v>
      </c>
      <c r="D23" s="469">
        <f>'PRESUPUESTO OFICIAL (Entidad)'!E28</f>
        <v>7.85</v>
      </c>
      <c r="E23" s="730"/>
      <c r="F23" s="730"/>
      <c r="G23" s="730"/>
      <c r="H23" s="730"/>
      <c r="I23" s="730"/>
      <c r="J23" s="730"/>
      <c r="K23" s="730"/>
      <c r="L23" s="730"/>
      <c r="M23" s="730"/>
      <c r="N23" s="730"/>
      <c r="O23" s="730"/>
      <c r="P23" s="730"/>
      <c r="Q23" s="730"/>
      <c r="R23" s="730"/>
      <c r="S23" s="730"/>
      <c r="T23" s="730"/>
      <c r="U23" s="730"/>
      <c r="V23" s="730"/>
      <c r="W23" s="730"/>
      <c r="X23" s="730"/>
      <c r="Y23" s="730"/>
      <c r="Z23" s="730"/>
      <c r="AA23" s="730"/>
      <c r="AB23" s="730"/>
      <c r="AC23" s="730"/>
      <c r="AD23" s="730"/>
      <c r="AE23" s="730"/>
      <c r="AF23" s="730"/>
      <c r="AG23" s="730"/>
      <c r="AH23" s="730"/>
      <c r="AI23" s="730"/>
      <c r="AJ23" s="730"/>
      <c r="AK23" s="730"/>
      <c r="AL23" s="730"/>
      <c r="AM23" s="730"/>
      <c r="AN23" s="730"/>
      <c r="AO23" s="739"/>
      <c r="AP23" s="739"/>
      <c r="AQ23" s="739"/>
      <c r="AR23" s="739"/>
      <c r="AS23" s="739"/>
      <c r="AT23" s="739"/>
      <c r="AU23" s="739"/>
      <c r="AV23" s="730"/>
      <c r="AW23" s="730"/>
      <c r="AX23" s="730"/>
      <c r="AY23" s="730"/>
      <c r="AZ23" s="730"/>
      <c r="BA23" s="730"/>
      <c r="BB23" s="730"/>
      <c r="BC23" s="730"/>
      <c r="BD23" s="730"/>
      <c r="BE23" s="730"/>
      <c r="BF23" s="730"/>
      <c r="BG23" s="730"/>
      <c r="BH23" s="730"/>
      <c r="BI23" s="730"/>
      <c r="BJ23" s="52"/>
      <c r="BK23" s="52"/>
      <c r="BL23" s="52"/>
      <c r="BM23" s="52"/>
    </row>
    <row r="24" spans="1:66" ht="31.2" x14ac:dyDescent="0.3">
      <c r="A24" s="469" t="str">
        <f>'PRESUPUESTO OFICIAL (Entidad)'!B29</f>
        <v>A4,3</v>
      </c>
      <c r="B24" s="470" t="str">
        <f>'PRESUPUESTO OFICIAL (Entidad)'!C29</f>
        <v>Construccion de Alfajía en Concreto 3000 PSI, E= 0.15X0.25 MTS – Incluye: Acero de refuerzo de 60000 PSI (2Ø3/8" refuerzo y E=Ø1/4" c. 0,35 m).</v>
      </c>
      <c r="C24" s="469" t="str">
        <f>'PRESUPUESTO OFICIAL (Entidad)'!D29</f>
        <v>ML</v>
      </c>
      <c r="D24" s="469">
        <f>'PRESUPUESTO OFICIAL (Entidad)'!E29</f>
        <v>5.9</v>
      </c>
      <c r="E24" s="730"/>
      <c r="F24" s="730"/>
      <c r="G24" s="730"/>
      <c r="H24" s="730"/>
      <c r="I24" s="730"/>
      <c r="J24" s="730"/>
      <c r="K24" s="730"/>
      <c r="L24" s="730"/>
      <c r="M24" s="730"/>
      <c r="N24" s="730"/>
      <c r="O24" s="730"/>
      <c r="P24" s="730"/>
      <c r="Q24" s="730"/>
      <c r="R24" s="730"/>
      <c r="S24" s="730"/>
      <c r="T24" s="730"/>
      <c r="U24" s="730"/>
      <c r="V24" s="730"/>
      <c r="W24" s="730"/>
      <c r="X24" s="730"/>
      <c r="Y24" s="730"/>
      <c r="Z24" s="730"/>
      <c r="AA24" s="730"/>
      <c r="AB24" s="730"/>
      <c r="AC24" s="730"/>
      <c r="AD24" s="730"/>
      <c r="AE24" s="730"/>
      <c r="AF24" s="730"/>
      <c r="AG24" s="730"/>
      <c r="AH24" s="730"/>
      <c r="AI24" s="730"/>
      <c r="AJ24" s="730"/>
      <c r="AK24" s="730"/>
      <c r="AL24" s="730"/>
      <c r="AM24" s="730"/>
      <c r="AN24" s="730"/>
      <c r="AO24" s="739"/>
      <c r="AP24" s="739"/>
      <c r="AQ24" s="739"/>
      <c r="AR24" s="739"/>
      <c r="AS24" s="739"/>
      <c r="AT24" s="739"/>
      <c r="AU24" s="739"/>
      <c r="AV24" s="730"/>
      <c r="AW24" s="730"/>
      <c r="AX24" s="730"/>
      <c r="AY24" s="730"/>
      <c r="AZ24" s="730"/>
      <c r="BA24" s="730"/>
      <c r="BB24" s="730"/>
      <c r="BC24" s="730"/>
      <c r="BD24" s="730"/>
      <c r="BE24" s="730"/>
      <c r="BF24" s="730"/>
      <c r="BG24" s="730"/>
      <c r="BH24" s="730"/>
      <c r="BI24" s="730"/>
      <c r="BJ24" s="248"/>
      <c r="BK24" s="62"/>
      <c r="BL24" s="62"/>
      <c r="BM24" s="52"/>
    </row>
    <row r="25" spans="1:66" s="677" customFormat="1" x14ac:dyDescent="0.3">
      <c r="A25" s="673" t="str">
        <f>'PRESUPUESTO OFICIAL (Entidad)'!B30</f>
        <v>A5</v>
      </c>
      <c r="B25" s="674" t="str">
        <f>'PRESUPUESTO OFICIAL (Entidad)'!C30</f>
        <v>ESTRUCTURA</v>
      </c>
      <c r="C25" s="673"/>
      <c r="D25" s="673"/>
      <c r="E25" s="740"/>
      <c r="F25" s="740"/>
      <c r="G25" s="740"/>
      <c r="H25" s="740"/>
      <c r="I25" s="740"/>
      <c r="J25" s="740"/>
      <c r="K25" s="740"/>
      <c r="L25" s="740"/>
      <c r="M25" s="740"/>
      <c r="N25" s="740"/>
      <c r="O25" s="740"/>
      <c r="P25" s="740"/>
      <c r="Q25" s="740"/>
      <c r="R25" s="740"/>
      <c r="S25" s="740"/>
      <c r="T25" s="740"/>
      <c r="U25" s="740"/>
      <c r="V25" s="740"/>
      <c r="W25" s="740"/>
      <c r="X25" s="740"/>
      <c r="Y25" s="740"/>
      <c r="Z25" s="740"/>
      <c r="AA25" s="740"/>
      <c r="AB25" s="740"/>
      <c r="AC25" s="740"/>
      <c r="AD25" s="740"/>
      <c r="AE25" s="740"/>
      <c r="AF25" s="740"/>
      <c r="AG25" s="740"/>
      <c r="AH25" s="740"/>
      <c r="AI25" s="740"/>
      <c r="AJ25" s="740"/>
      <c r="AK25" s="740"/>
      <c r="AL25" s="740"/>
      <c r="AM25" s="740"/>
      <c r="AN25" s="740"/>
      <c r="AO25" s="740"/>
      <c r="AP25" s="740"/>
      <c r="AQ25" s="740"/>
      <c r="AR25" s="740"/>
      <c r="AS25" s="740"/>
      <c r="AT25" s="740"/>
      <c r="AU25" s="740"/>
      <c r="AV25" s="740"/>
      <c r="AW25" s="740"/>
      <c r="AX25" s="740"/>
      <c r="AY25" s="740"/>
      <c r="AZ25" s="740"/>
      <c r="BA25" s="740"/>
      <c r="BB25" s="740"/>
      <c r="BC25" s="740"/>
      <c r="BD25" s="740"/>
      <c r="BE25" s="740"/>
      <c r="BF25" s="740"/>
      <c r="BG25" s="740"/>
      <c r="BH25" s="740"/>
      <c r="BI25" s="740"/>
      <c r="BJ25" s="678"/>
      <c r="BK25" s="675"/>
      <c r="BL25" s="676"/>
      <c r="BM25" s="676"/>
    </row>
    <row r="26" spans="1:66" ht="31.2" x14ac:dyDescent="0.3">
      <c r="A26" s="469" t="str">
        <f>'PRESUPUESTO OFICIAL (Entidad)'!B31</f>
        <v>A5,1</v>
      </c>
      <c r="B26" s="470" t="str">
        <f>'PRESUPUESTO OFICIAL (Entidad)'!C31</f>
        <v>Viga aérea en concreto de 3000 PSI. (0,30*0,30mts).  Incluye acero de refuerzo   fy= 60000 PSI. (4Ø5/8" refuerzo y E=Ø3/8" c./d. 0,10 mts).</v>
      </c>
      <c r="C26" s="469" t="str">
        <f>'PRESUPUESTO OFICIAL (Entidad)'!D31</f>
        <v>ML</v>
      </c>
      <c r="D26" s="469">
        <f>'PRESUPUESTO OFICIAL (Entidad)'!E31</f>
        <v>33.299999999999997</v>
      </c>
      <c r="E26" s="730"/>
      <c r="F26" s="730"/>
      <c r="G26" s="730"/>
      <c r="H26" s="730"/>
      <c r="I26" s="730"/>
      <c r="J26" s="730"/>
      <c r="K26" s="730"/>
      <c r="L26" s="730"/>
      <c r="M26" s="730"/>
      <c r="N26" s="730"/>
      <c r="O26" s="730"/>
      <c r="P26" s="730"/>
      <c r="Q26" s="730"/>
      <c r="R26" s="730"/>
      <c r="S26" s="739"/>
      <c r="T26" s="739"/>
      <c r="U26" s="739"/>
      <c r="V26" s="739"/>
      <c r="W26" s="739"/>
      <c r="X26" s="739"/>
      <c r="Y26" s="739"/>
      <c r="Z26" s="739"/>
      <c r="AA26" s="730"/>
      <c r="AB26" s="730"/>
      <c r="AC26" s="730"/>
      <c r="AD26" s="730"/>
      <c r="AE26" s="730"/>
      <c r="AF26" s="730"/>
      <c r="AG26" s="730"/>
      <c r="AH26" s="739"/>
      <c r="AI26" s="739"/>
      <c r="AJ26" s="739"/>
      <c r="AK26" s="739"/>
      <c r="AL26" s="739"/>
      <c r="AM26" s="739"/>
      <c r="AN26" s="739"/>
      <c r="AO26" s="730"/>
      <c r="AP26" s="730"/>
      <c r="AQ26" s="730"/>
      <c r="AR26" s="730"/>
      <c r="AS26" s="730"/>
      <c r="AT26" s="730"/>
      <c r="AU26" s="730"/>
      <c r="AV26" s="730"/>
      <c r="AW26" s="730"/>
      <c r="AX26" s="730"/>
      <c r="AY26" s="730"/>
      <c r="AZ26" s="730"/>
      <c r="BA26" s="730"/>
      <c r="BB26" s="730"/>
      <c r="BC26" s="730"/>
      <c r="BD26" s="730"/>
      <c r="BE26" s="730"/>
      <c r="BF26" s="730"/>
      <c r="BG26" s="730"/>
      <c r="BH26" s="730"/>
      <c r="BI26" s="730"/>
      <c r="BJ26" s="56"/>
      <c r="BK26" s="62"/>
      <c r="BL26" s="52"/>
      <c r="BM26" s="52"/>
    </row>
    <row r="27" spans="1:66" ht="31.2" x14ac:dyDescent="0.3">
      <c r="A27" s="469" t="str">
        <f>'PRESUPUESTO OFICIAL (Entidad)'!B32</f>
        <v>A5,2</v>
      </c>
      <c r="B27" s="470" t="str">
        <f>'PRESUPUESTO OFICIAL (Entidad)'!C32</f>
        <v>Columna en concreto de 3000 PSI (0.30x0.30mts).  Incluye acero de refuerzo de 60000 PSI (6Ø5/8",  refuerzo y E=Ø3/8" c./d. 0,10 mts Y 0,15 mts).</v>
      </c>
      <c r="C27" s="469" t="str">
        <f>'PRESUPUESTO OFICIAL (Entidad)'!D32</f>
        <v>ML</v>
      </c>
      <c r="D27" s="469">
        <f>'PRESUPUESTO OFICIAL (Entidad)'!E32</f>
        <v>22.56</v>
      </c>
      <c r="E27" s="730"/>
      <c r="F27" s="730"/>
      <c r="G27" s="730"/>
      <c r="H27" s="730"/>
      <c r="I27" s="730"/>
      <c r="J27" s="730"/>
      <c r="K27" s="730"/>
      <c r="L27" s="730"/>
      <c r="M27" s="730"/>
      <c r="N27" s="730"/>
      <c r="O27" s="730"/>
      <c r="P27" s="730"/>
      <c r="Q27" s="730"/>
      <c r="R27" s="730"/>
      <c r="S27" s="739"/>
      <c r="T27" s="739"/>
      <c r="U27" s="739"/>
      <c r="V27" s="739"/>
      <c r="W27" s="739"/>
      <c r="X27" s="739"/>
      <c r="Y27" s="739"/>
      <c r="Z27" s="739"/>
      <c r="AA27" s="730"/>
      <c r="AB27" s="730"/>
      <c r="AC27" s="730"/>
      <c r="AD27" s="730"/>
      <c r="AE27" s="730"/>
      <c r="AF27" s="730"/>
      <c r="AG27" s="730"/>
      <c r="AH27" s="730"/>
      <c r="AI27" s="730"/>
      <c r="AJ27" s="730"/>
      <c r="AK27" s="730"/>
      <c r="AL27" s="730"/>
      <c r="AM27" s="730"/>
      <c r="AN27" s="730"/>
      <c r="AO27" s="730"/>
      <c r="AP27" s="730"/>
      <c r="AQ27" s="730"/>
      <c r="AR27" s="730"/>
      <c r="AS27" s="730"/>
      <c r="AT27" s="730"/>
      <c r="AU27" s="730"/>
      <c r="AV27" s="742"/>
      <c r="AW27" s="742"/>
      <c r="AX27" s="742"/>
      <c r="AY27" s="742"/>
      <c r="AZ27" s="742"/>
      <c r="BA27" s="742"/>
      <c r="BB27" s="742"/>
      <c r="BC27" s="730"/>
      <c r="BD27" s="730"/>
      <c r="BE27" s="730"/>
      <c r="BF27" s="730"/>
      <c r="BG27" s="730"/>
      <c r="BH27" s="730"/>
      <c r="BI27" s="730"/>
      <c r="BJ27" s="56"/>
      <c r="BK27" s="62"/>
      <c r="BL27" s="52"/>
      <c r="BM27" s="52"/>
    </row>
    <row r="28" spans="1:66" ht="31.2" x14ac:dyDescent="0.3">
      <c r="A28" s="469" t="str">
        <f>'PRESUPUESTO OFICIAL (Entidad)'!B33</f>
        <v>A5,3</v>
      </c>
      <c r="B28" s="470" t="str">
        <f>'PRESUPUESTO OFICIAL (Entidad)'!C33</f>
        <v>Columna de confinamiento (0,20x0,15mts) en concreto de 3000 PSI. Incluye refuerzo  de 6000 PSI ( 4Ø 1/2" refuerzo y E=Ø 1/4" c./d. 0,10 mts).</v>
      </c>
      <c r="C28" s="469" t="str">
        <f>'PRESUPUESTO OFICIAL (Entidad)'!D33</f>
        <v>ML</v>
      </c>
      <c r="D28" s="469">
        <f>'PRESUPUESTO OFICIAL (Entidad)'!E33</f>
        <v>12.6</v>
      </c>
      <c r="E28" s="730"/>
      <c r="F28" s="730"/>
      <c r="G28" s="730"/>
      <c r="H28" s="730"/>
      <c r="I28" s="730"/>
      <c r="J28" s="730"/>
      <c r="K28" s="730"/>
      <c r="L28" s="730"/>
      <c r="M28" s="730"/>
      <c r="N28" s="730"/>
      <c r="O28" s="730"/>
      <c r="P28" s="730"/>
      <c r="Q28" s="730"/>
      <c r="R28" s="730"/>
      <c r="S28" s="739"/>
      <c r="T28" s="739"/>
      <c r="U28" s="739"/>
      <c r="V28" s="739"/>
      <c r="W28" s="739"/>
      <c r="X28" s="739"/>
      <c r="Y28" s="739"/>
      <c r="Z28" s="739"/>
      <c r="AA28" s="730"/>
      <c r="AB28" s="730"/>
      <c r="AC28" s="730"/>
      <c r="AD28" s="730"/>
      <c r="AE28" s="730"/>
      <c r="AF28" s="730"/>
      <c r="AG28" s="730"/>
      <c r="AH28" s="730"/>
      <c r="AI28" s="730"/>
      <c r="AJ28" s="730"/>
      <c r="AK28" s="730"/>
      <c r="AL28" s="730"/>
      <c r="AM28" s="730"/>
      <c r="AN28" s="730"/>
      <c r="AO28" s="730"/>
      <c r="AP28" s="730"/>
      <c r="AQ28" s="730"/>
      <c r="AR28" s="730"/>
      <c r="AS28" s="730"/>
      <c r="AT28" s="730"/>
      <c r="AU28" s="730"/>
      <c r="AV28" s="730"/>
      <c r="AW28" s="730"/>
      <c r="AX28" s="730"/>
      <c r="AY28" s="730"/>
      <c r="AZ28" s="730"/>
      <c r="BA28" s="730"/>
      <c r="BB28" s="730"/>
      <c r="BC28" s="730"/>
      <c r="BD28" s="730"/>
      <c r="BE28" s="730"/>
      <c r="BF28" s="730"/>
      <c r="BG28" s="730"/>
      <c r="BH28" s="730"/>
      <c r="BI28" s="730"/>
      <c r="BJ28" s="56"/>
      <c r="BK28" s="62"/>
      <c r="BL28" s="52"/>
      <c r="BM28" s="52"/>
    </row>
    <row r="29" spans="1:66" ht="31.2" x14ac:dyDescent="0.3">
      <c r="A29" s="469" t="str">
        <f>'PRESUPUESTO OFICIAL (Entidad)'!B34</f>
        <v>A5,4</v>
      </c>
      <c r="B29" s="470" t="str">
        <f>'PRESUPUESTO OFICIAL (Entidad)'!C34</f>
        <v>Viga cinta en concreto 3000 PSI ( 0.10x0.20mts). Incluye acero (2Ø3/8" refuerzo y E=Ø1/4" c/d. 0,10mts).</v>
      </c>
      <c r="C29" s="469" t="str">
        <f>'PRESUPUESTO OFICIAL (Entidad)'!D34</f>
        <v>ML</v>
      </c>
      <c r="D29" s="469">
        <f>'PRESUPUESTO OFICIAL (Entidad)'!E34</f>
        <v>32.799999999999997</v>
      </c>
      <c r="E29" s="730"/>
      <c r="F29" s="730"/>
      <c r="G29" s="730"/>
      <c r="H29" s="730"/>
      <c r="I29" s="730"/>
      <c r="J29" s="730"/>
      <c r="K29" s="730"/>
      <c r="L29" s="730"/>
      <c r="M29" s="730"/>
      <c r="N29" s="730"/>
      <c r="O29" s="730"/>
      <c r="P29" s="730"/>
      <c r="Q29" s="730"/>
      <c r="R29" s="730"/>
      <c r="S29" s="739"/>
      <c r="T29" s="739"/>
      <c r="U29" s="739"/>
      <c r="V29" s="739"/>
      <c r="W29" s="739"/>
      <c r="X29" s="739"/>
      <c r="Y29" s="739"/>
      <c r="Z29" s="739"/>
      <c r="AA29" s="730"/>
      <c r="AB29" s="730"/>
      <c r="AC29" s="730"/>
      <c r="AD29" s="730"/>
      <c r="AE29" s="730"/>
      <c r="AF29" s="730"/>
      <c r="AG29" s="730"/>
      <c r="AH29" s="730"/>
      <c r="AI29" s="730"/>
      <c r="AJ29" s="730"/>
      <c r="AK29" s="730"/>
      <c r="AL29" s="730"/>
      <c r="AM29" s="730"/>
      <c r="AN29" s="730"/>
      <c r="AO29" s="730"/>
      <c r="AP29" s="730"/>
      <c r="AQ29" s="730"/>
      <c r="AR29" s="730"/>
      <c r="AS29" s="730"/>
      <c r="AT29" s="730"/>
      <c r="AU29" s="730"/>
      <c r="AV29" s="730"/>
      <c r="AW29" s="730"/>
      <c r="AX29" s="730"/>
      <c r="AY29" s="730"/>
      <c r="AZ29" s="730"/>
      <c r="BA29" s="730"/>
      <c r="BB29" s="730"/>
      <c r="BC29" s="730"/>
      <c r="BD29" s="730"/>
      <c r="BE29" s="730"/>
      <c r="BF29" s="730"/>
      <c r="BG29" s="730"/>
      <c r="BH29" s="730"/>
      <c r="BI29" s="730"/>
      <c r="BJ29" s="56"/>
      <c r="BK29" s="62"/>
      <c r="BL29" s="52"/>
      <c r="BM29" s="52"/>
    </row>
    <row r="30" spans="1:66" x14ac:dyDescent="0.3">
      <c r="A30" s="469" t="str">
        <f>'PRESUPUESTO OFICIAL (Entidad)'!B35</f>
        <v>A5,5</v>
      </c>
      <c r="B30" s="470" t="str">
        <f>'PRESUPUESTO OFICIAL (Entidad)'!C35</f>
        <v>Construccion de Placa aerea en concreto armado de 3000 psi e = 10 cm.</v>
      </c>
      <c r="C30" s="469" t="str">
        <f>'PRESUPUESTO OFICIAL (Entidad)'!D35</f>
        <v>M2</v>
      </c>
      <c r="D30" s="469">
        <f>'PRESUPUESTO OFICIAL (Entidad)'!E35</f>
        <v>1.44</v>
      </c>
      <c r="E30" s="730"/>
      <c r="F30" s="730"/>
      <c r="G30" s="730"/>
      <c r="H30" s="730"/>
      <c r="I30" s="730"/>
      <c r="J30" s="730"/>
      <c r="K30" s="730"/>
      <c r="L30" s="730"/>
      <c r="M30" s="730"/>
      <c r="N30" s="730"/>
      <c r="O30" s="730"/>
      <c r="P30" s="730"/>
      <c r="Q30" s="730"/>
      <c r="R30" s="730"/>
      <c r="S30" s="739"/>
      <c r="T30" s="739"/>
      <c r="U30" s="739"/>
      <c r="V30" s="739"/>
      <c r="W30" s="739"/>
      <c r="X30" s="739"/>
      <c r="Y30" s="739"/>
      <c r="Z30" s="739"/>
      <c r="AA30" s="730"/>
      <c r="AB30" s="730"/>
      <c r="AC30" s="730"/>
      <c r="AD30" s="730"/>
      <c r="AE30" s="730"/>
      <c r="AF30" s="730"/>
      <c r="AG30" s="730"/>
      <c r="AH30" s="730"/>
      <c r="AI30" s="730"/>
      <c r="AJ30" s="730"/>
      <c r="AK30" s="730"/>
      <c r="AL30" s="730"/>
      <c r="AM30" s="730"/>
      <c r="AN30" s="730"/>
      <c r="AO30" s="730"/>
      <c r="AP30" s="730"/>
      <c r="AQ30" s="730"/>
      <c r="AR30" s="730"/>
      <c r="AS30" s="730"/>
      <c r="AT30" s="730"/>
      <c r="AU30" s="730"/>
      <c r="AV30" s="730"/>
      <c r="AW30" s="730"/>
      <c r="AX30" s="730"/>
      <c r="AY30" s="730"/>
      <c r="AZ30" s="730"/>
      <c r="BA30" s="730"/>
      <c r="BB30" s="730"/>
      <c r="BC30" s="730"/>
      <c r="BD30" s="730"/>
      <c r="BE30" s="730"/>
      <c r="BF30" s="730"/>
      <c r="BG30" s="730"/>
      <c r="BH30" s="730"/>
      <c r="BI30" s="730"/>
      <c r="BJ30" s="56"/>
      <c r="BK30" s="62"/>
      <c r="BL30" s="52"/>
      <c r="BM30" s="52"/>
    </row>
    <row r="31" spans="1:66" s="677" customFormat="1" x14ac:dyDescent="0.3">
      <c r="A31" s="673" t="str">
        <f>'PRESUPUESTO OFICIAL (Entidad)'!B36</f>
        <v>A6</v>
      </c>
      <c r="B31" s="674" t="str">
        <f>'PRESUPUESTO OFICIAL (Entidad)'!C36</f>
        <v>INSTALACIONES ELÉCTRICAS</v>
      </c>
      <c r="C31" s="673"/>
      <c r="D31" s="673"/>
      <c r="E31" s="740"/>
      <c r="F31" s="740"/>
      <c r="G31" s="740"/>
      <c r="H31" s="740"/>
      <c r="I31" s="740"/>
      <c r="J31" s="740"/>
      <c r="K31" s="740"/>
      <c r="L31" s="740"/>
      <c r="M31" s="740"/>
      <c r="N31" s="740"/>
      <c r="O31" s="740"/>
      <c r="P31" s="740"/>
      <c r="Q31" s="740"/>
      <c r="R31" s="740"/>
      <c r="S31" s="740"/>
      <c r="T31" s="740"/>
      <c r="U31" s="740"/>
      <c r="V31" s="740"/>
      <c r="W31" s="740"/>
      <c r="X31" s="740"/>
      <c r="Y31" s="740"/>
      <c r="Z31" s="740"/>
      <c r="AA31" s="740"/>
      <c r="AB31" s="740"/>
      <c r="AC31" s="740"/>
      <c r="AD31" s="740"/>
      <c r="AE31" s="740"/>
      <c r="AF31" s="740"/>
      <c r="AG31" s="740"/>
      <c r="AH31" s="740"/>
      <c r="AI31" s="740"/>
      <c r="AJ31" s="740"/>
      <c r="AK31" s="740"/>
      <c r="AL31" s="740"/>
      <c r="AM31" s="740"/>
      <c r="AN31" s="740"/>
      <c r="AO31" s="740"/>
      <c r="AP31" s="740"/>
      <c r="AQ31" s="740"/>
      <c r="AR31" s="740"/>
      <c r="AS31" s="740"/>
      <c r="AT31" s="740"/>
      <c r="AU31" s="740"/>
      <c r="AV31" s="740"/>
      <c r="AW31" s="740"/>
      <c r="AX31" s="740"/>
      <c r="AY31" s="740"/>
      <c r="AZ31" s="740"/>
      <c r="BA31" s="740"/>
      <c r="BB31" s="740"/>
      <c r="BC31" s="740"/>
      <c r="BD31" s="740"/>
      <c r="BE31" s="740"/>
      <c r="BF31" s="740"/>
      <c r="BG31" s="740"/>
      <c r="BH31" s="740"/>
      <c r="BI31" s="740"/>
      <c r="BJ31" s="678"/>
      <c r="BK31" s="679"/>
      <c r="BL31" s="676"/>
      <c r="BM31" s="676"/>
    </row>
    <row r="32" spans="1:66" x14ac:dyDescent="0.3">
      <c r="A32" s="469" t="str">
        <f>'PRESUPUESTO OFICIAL (Entidad)'!B37</f>
        <v>A6,1</v>
      </c>
      <c r="B32" s="470" t="str">
        <f>'PRESUPUESTO OFICIAL (Entidad)'!C37</f>
        <v>Suministro e instalación de Tablero monofásico 4 circuitos.</v>
      </c>
      <c r="C32" s="469" t="str">
        <f>'PRESUPUESTO OFICIAL (Entidad)'!D37</f>
        <v>UND</v>
      </c>
      <c r="D32" s="469">
        <f>'PRESUPUESTO OFICIAL (Entidad)'!E37</f>
        <v>1</v>
      </c>
      <c r="E32" s="730"/>
      <c r="F32" s="730"/>
      <c r="G32" s="730"/>
      <c r="H32" s="730"/>
      <c r="I32" s="730"/>
      <c r="J32" s="730"/>
      <c r="K32" s="730"/>
      <c r="L32" s="730"/>
      <c r="M32" s="730"/>
      <c r="N32" s="730"/>
      <c r="O32" s="730"/>
      <c r="P32" s="730"/>
      <c r="Q32" s="730"/>
      <c r="R32" s="730"/>
      <c r="S32" s="730"/>
      <c r="T32" s="730"/>
      <c r="U32" s="730"/>
      <c r="V32" s="730"/>
      <c r="W32" s="730"/>
      <c r="X32" s="730"/>
      <c r="Y32" s="730"/>
      <c r="Z32" s="730"/>
      <c r="AA32" s="739"/>
      <c r="AB32" s="739"/>
      <c r="AC32" s="739"/>
      <c r="AD32" s="739"/>
      <c r="AE32" s="739"/>
      <c r="AF32" s="739"/>
      <c r="AG32" s="739"/>
      <c r="AH32" s="730"/>
      <c r="AI32" s="730"/>
      <c r="AJ32" s="730"/>
      <c r="AK32" s="730"/>
      <c r="AL32" s="730"/>
      <c r="AM32" s="730"/>
      <c r="AN32" s="730"/>
      <c r="AO32" s="730"/>
      <c r="AP32" s="730"/>
      <c r="AQ32" s="730"/>
      <c r="AR32" s="730"/>
      <c r="AS32" s="730"/>
      <c r="AT32" s="730"/>
      <c r="AU32" s="730"/>
      <c r="AV32" s="730"/>
      <c r="AW32" s="730"/>
      <c r="AX32" s="730"/>
      <c r="AY32" s="730"/>
      <c r="AZ32" s="730"/>
      <c r="BA32" s="730"/>
      <c r="BB32" s="730"/>
      <c r="BC32" s="730"/>
      <c r="BD32" s="730"/>
      <c r="BE32" s="730"/>
      <c r="BF32" s="730"/>
      <c r="BG32" s="730"/>
      <c r="BH32" s="730"/>
      <c r="BI32" s="730"/>
      <c r="BJ32" s="248"/>
      <c r="BK32" s="314"/>
      <c r="BL32" s="52"/>
      <c r="BM32" s="52"/>
    </row>
    <row r="33" spans="1:65" x14ac:dyDescent="0.3">
      <c r="A33" s="469" t="str">
        <f>'PRESUPUESTO OFICIAL (Entidad)'!B38</f>
        <v>A6,2</v>
      </c>
      <c r="B33" s="470" t="str">
        <f>'PRESUPUESTO OFICIAL (Entidad)'!C38</f>
        <v>Suministro e instalación de Salida toma corriente doble 110 v.</v>
      </c>
      <c r="C33" s="469" t="str">
        <f>'PRESUPUESTO OFICIAL (Entidad)'!D38</f>
        <v>UND</v>
      </c>
      <c r="D33" s="469">
        <f>'PRESUPUESTO OFICIAL (Entidad)'!E38</f>
        <v>3</v>
      </c>
      <c r="E33" s="730"/>
      <c r="F33" s="730"/>
      <c r="G33" s="730"/>
      <c r="H33" s="730"/>
      <c r="I33" s="730"/>
      <c r="J33" s="730"/>
      <c r="K33" s="730"/>
      <c r="L33" s="730"/>
      <c r="M33" s="730"/>
      <c r="N33" s="730"/>
      <c r="O33" s="730"/>
      <c r="P33" s="730"/>
      <c r="Q33" s="730"/>
      <c r="R33" s="730"/>
      <c r="S33" s="730"/>
      <c r="T33" s="730"/>
      <c r="U33" s="730"/>
      <c r="V33" s="730"/>
      <c r="W33" s="730"/>
      <c r="X33" s="730"/>
      <c r="Y33" s="730"/>
      <c r="Z33" s="730"/>
      <c r="AA33" s="739"/>
      <c r="AB33" s="739"/>
      <c r="AC33" s="739"/>
      <c r="AD33" s="739"/>
      <c r="AE33" s="739"/>
      <c r="AF33" s="739"/>
      <c r="AG33" s="739"/>
      <c r="AH33" s="730"/>
      <c r="AI33" s="730"/>
      <c r="AJ33" s="730"/>
      <c r="AK33" s="730"/>
      <c r="AL33" s="730"/>
      <c r="AM33" s="730"/>
      <c r="AN33" s="730"/>
      <c r="AO33" s="730"/>
      <c r="AP33" s="730"/>
      <c r="AQ33" s="730"/>
      <c r="AR33" s="730"/>
      <c r="AS33" s="730"/>
      <c r="AT33" s="730"/>
      <c r="AU33" s="730"/>
      <c r="AV33" s="730"/>
      <c r="AW33" s="730"/>
      <c r="AX33" s="730"/>
      <c r="AY33" s="730"/>
      <c r="AZ33" s="730"/>
      <c r="BA33" s="730"/>
      <c r="BB33" s="730"/>
      <c r="BC33" s="730"/>
      <c r="BD33" s="730"/>
      <c r="BE33" s="730"/>
      <c r="BF33" s="730"/>
      <c r="BG33" s="730"/>
      <c r="BH33" s="730"/>
      <c r="BI33" s="730"/>
      <c r="BJ33" s="248"/>
      <c r="BK33" s="314"/>
      <c r="BL33" s="52"/>
      <c r="BM33" s="52"/>
    </row>
    <row r="34" spans="1:65" x14ac:dyDescent="0.3">
      <c r="A34" s="469" t="str">
        <f>'PRESUPUESTO OFICIAL (Entidad)'!B39</f>
        <v>A6,3</v>
      </c>
      <c r="B34" s="470" t="str">
        <f>'PRESUPUESTO OFICIAL (Entidad)'!C39</f>
        <v>Suministro e instalación de Salida Interruptor Sencillo 110 v.</v>
      </c>
      <c r="C34" s="469" t="str">
        <f>'PRESUPUESTO OFICIAL (Entidad)'!D39</f>
        <v>UND</v>
      </c>
      <c r="D34" s="469">
        <f>'PRESUPUESTO OFICIAL (Entidad)'!E39</f>
        <v>1</v>
      </c>
      <c r="E34" s="730"/>
      <c r="F34" s="730"/>
      <c r="G34" s="730"/>
      <c r="H34" s="730"/>
      <c r="I34" s="730"/>
      <c r="J34" s="730"/>
      <c r="K34" s="730"/>
      <c r="L34" s="730"/>
      <c r="M34" s="730"/>
      <c r="N34" s="730"/>
      <c r="O34" s="730"/>
      <c r="P34" s="730"/>
      <c r="Q34" s="730"/>
      <c r="R34" s="730"/>
      <c r="S34" s="730"/>
      <c r="T34" s="730"/>
      <c r="U34" s="730"/>
      <c r="V34" s="730"/>
      <c r="W34" s="730"/>
      <c r="X34" s="730"/>
      <c r="Y34" s="730"/>
      <c r="Z34" s="730"/>
      <c r="AA34" s="739"/>
      <c r="AB34" s="739"/>
      <c r="AC34" s="739"/>
      <c r="AD34" s="739"/>
      <c r="AE34" s="739"/>
      <c r="AF34" s="739"/>
      <c r="AG34" s="739"/>
      <c r="AH34" s="730"/>
      <c r="AI34" s="730"/>
      <c r="AJ34" s="730"/>
      <c r="AK34" s="730"/>
      <c r="AL34" s="730"/>
      <c r="AM34" s="730"/>
      <c r="AN34" s="730"/>
      <c r="AO34" s="730"/>
      <c r="AP34" s="730"/>
      <c r="AQ34" s="730"/>
      <c r="AR34" s="730"/>
      <c r="AS34" s="730"/>
      <c r="AT34" s="730"/>
      <c r="AU34" s="730"/>
      <c r="AV34" s="730"/>
      <c r="AW34" s="730"/>
      <c r="AX34" s="730"/>
      <c r="AY34" s="730"/>
      <c r="AZ34" s="730"/>
      <c r="BA34" s="730"/>
      <c r="BB34" s="730"/>
      <c r="BC34" s="730"/>
      <c r="BD34" s="730"/>
      <c r="BE34" s="730"/>
      <c r="BF34" s="730"/>
      <c r="BG34" s="730"/>
      <c r="BH34" s="730"/>
      <c r="BI34" s="730"/>
      <c r="BJ34" s="248"/>
      <c r="BK34" s="314"/>
      <c r="BL34" s="52"/>
      <c r="BM34" s="52"/>
    </row>
    <row r="35" spans="1:65" x14ac:dyDescent="0.3">
      <c r="A35" s="469" t="str">
        <f>'PRESUPUESTO OFICIAL (Entidad)'!B40</f>
        <v>A6,4</v>
      </c>
      <c r="B35" s="470" t="str">
        <f>'PRESUPUESTO OFICIAL (Entidad)'!C40</f>
        <v xml:space="preserve">Suministro e instalación de Salida Interruptor Doble 110 v. </v>
      </c>
      <c r="C35" s="469" t="str">
        <f>'PRESUPUESTO OFICIAL (Entidad)'!D40</f>
        <v>UND</v>
      </c>
      <c r="D35" s="469">
        <f>'PRESUPUESTO OFICIAL (Entidad)'!E40</f>
        <v>1</v>
      </c>
      <c r="E35" s="730"/>
      <c r="F35" s="730"/>
      <c r="G35" s="730"/>
      <c r="H35" s="730"/>
      <c r="I35" s="730"/>
      <c r="J35" s="730"/>
      <c r="K35" s="730"/>
      <c r="L35" s="730"/>
      <c r="M35" s="730"/>
      <c r="N35" s="730"/>
      <c r="O35" s="730"/>
      <c r="P35" s="730"/>
      <c r="Q35" s="730"/>
      <c r="R35" s="730"/>
      <c r="S35" s="730"/>
      <c r="T35" s="730"/>
      <c r="U35" s="730"/>
      <c r="V35" s="730"/>
      <c r="W35" s="730"/>
      <c r="X35" s="730"/>
      <c r="Y35" s="730"/>
      <c r="Z35" s="730"/>
      <c r="AA35" s="739"/>
      <c r="AB35" s="739"/>
      <c r="AC35" s="739"/>
      <c r="AD35" s="739"/>
      <c r="AE35" s="739"/>
      <c r="AF35" s="739"/>
      <c r="AG35" s="739"/>
      <c r="AH35" s="730"/>
      <c r="AI35" s="730"/>
      <c r="AJ35" s="730"/>
      <c r="AK35" s="730"/>
      <c r="AL35" s="730"/>
      <c r="AM35" s="730"/>
      <c r="AN35" s="730"/>
      <c r="AO35" s="730"/>
      <c r="AP35" s="730"/>
      <c r="AQ35" s="730"/>
      <c r="AR35" s="730"/>
      <c r="AS35" s="730"/>
      <c r="AT35" s="730"/>
      <c r="AU35" s="730"/>
      <c r="AV35" s="730"/>
      <c r="AW35" s="730"/>
      <c r="AX35" s="730"/>
      <c r="AY35" s="730"/>
      <c r="AZ35" s="730"/>
      <c r="BA35" s="730"/>
      <c r="BB35" s="730"/>
      <c r="BC35" s="730"/>
      <c r="BD35" s="730"/>
      <c r="BE35" s="730"/>
      <c r="BF35" s="730"/>
      <c r="BG35" s="730"/>
      <c r="BH35" s="730"/>
      <c r="BI35" s="730"/>
      <c r="BJ35" s="248"/>
      <c r="BK35" s="314"/>
      <c r="BL35" s="52"/>
      <c r="BM35" s="52"/>
    </row>
    <row r="36" spans="1:65" ht="31.2" x14ac:dyDescent="0.3">
      <c r="A36" s="469" t="str">
        <f>'PRESUPUESTO OFICIAL (Entidad)'!B41</f>
        <v>A6,5</v>
      </c>
      <c r="B36" s="470" t="str">
        <f>'PRESUPUESTO OFICIAL (Entidad)'!C41</f>
        <v>Suministro e instalación de Salida lampara fluorescente electrónica 2 X 48 w, incluye lampara.</v>
      </c>
      <c r="C36" s="469" t="str">
        <f>'PRESUPUESTO OFICIAL (Entidad)'!D41</f>
        <v>UND</v>
      </c>
      <c r="D36" s="469">
        <f>'PRESUPUESTO OFICIAL (Entidad)'!E41</f>
        <v>3</v>
      </c>
      <c r="E36" s="730"/>
      <c r="F36" s="730"/>
      <c r="G36" s="730"/>
      <c r="H36" s="730"/>
      <c r="I36" s="730"/>
      <c r="J36" s="730"/>
      <c r="K36" s="730"/>
      <c r="L36" s="730"/>
      <c r="M36" s="730"/>
      <c r="N36" s="730"/>
      <c r="O36" s="730"/>
      <c r="P36" s="730"/>
      <c r="Q36" s="730"/>
      <c r="R36" s="730"/>
      <c r="S36" s="730"/>
      <c r="T36" s="730"/>
      <c r="U36" s="730"/>
      <c r="V36" s="730"/>
      <c r="W36" s="730"/>
      <c r="X36" s="730"/>
      <c r="Y36" s="730"/>
      <c r="Z36" s="730"/>
      <c r="AA36" s="739"/>
      <c r="AB36" s="739"/>
      <c r="AC36" s="739"/>
      <c r="AD36" s="739"/>
      <c r="AE36" s="739"/>
      <c r="AF36" s="739"/>
      <c r="AG36" s="739"/>
      <c r="AH36" s="730"/>
      <c r="AI36" s="730"/>
      <c r="AJ36" s="730"/>
      <c r="AK36" s="730"/>
      <c r="AL36" s="730"/>
      <c r="AM36" s="730"/>
      <c r="AN36" s="730"/>
      <c r="AO36" s="730"/>
      <c r="AP36" s="730"/>
      <c r="AQ36" s="730"/>
      <c r="AR36" s="730"/>
      <c r="AS36" s="730"/>
      <c r="AT36" s="730"/>
      <c r="AU36" s="730"/>
      <c r="AV36" s="730"/>
      <c r="AW36" s="730"/>
      <c r="AX36" s="730"/>
      <c r="AY36" s="730"/>
      <c r="AZ36" s="730"/>
      <c r="BA36" s="730"/>
      <c r="BB36" s="730"/>
      <c r="BC36" s="730"/>
      <c r="BD36" s="730"/>
      <c r="BE36" s="730"/>
      <c r="BF36" s="730"/>
      <c r="BG36" s="730"/>
      <c r="BH36" s="730"/>
      <c r="BI36" s="730"/>
      <c r="BJ36" s="248"/>
      <c r="BK36" s="314"/>
      <c r="BL36" s="52"/>
      <c r="BM36" s="52"/>
    </row>
    <row r="37" spans="1:65" ht="31.2" x14ac:dyDescent="0.3">
      <c r="A37" s="469" t="str">
        <f>'PRESUPUESTO OFICIAL (Entidad)'!B42</f>
        <v>A6,6</v>
      </c>
      <c r="B37" s="470" t="str">
        <f>'PRESUPUESTO OFICIAL (Entidad)'!C42</f>
        <v>Suministro e instalación de Puesta a tierra de tablero de distribicion, polo a tierra, varilla C. W. 2,40 ml.</v>
      </c>
      <c r="C37" s="469" t="str">
        <f>'PRESUPUESTO OFICIAL (Entidad)'!D42</f>
        <v>UND</v>
      </c>
      <c r="D37" s="469">
        <f>'PRESUPUESTO OFICIAL (Entidad)'!E42</f>
        <v>1</v>
      </c>
      <c r="E37" s="730"/>
      <c r="F37" s="730"/>
      <c r="G37" s="730"/>
      <c r="H37" s="730"/>
      <c r="I37" s="730"/>
      <c r="J37" s="730"/>
      <c r="K37" s="730"/>
      <c r="L37" s="730"/>
      <c r="M37" s="730"/>
      <c r="N37" s="730"/>
      <c r="O37" s="730"/>
      <c r="P37" s="730"/>
      <c r="Q37" s="730"/>
      <c r="R37" s="730"/>
      <c r="S37" s="730"/>
      <c r="T37" s="730"/>
      <c r="U37" s="730"/>
      <c r="V37" s="730"/>
      <c r="W37" s="730"/>
      <c r="X37" s="730"/>
      <c r="Y37" s="730"/>
      <c r="Z37" s="730"/>
      <c r="AA37" s="739"/>
      <c r="AB37" s="739"/>
      <c r="AC37" s="739"/>
      <c r="AD37" s="739"/>
      <c r="AE37" s="739"/>
      <c r="AF37" s="739"/>
      <c r="AG37" s="739"/>
      <c r="AH37" s="730"/>
      <c r="AI37" s="730"/>
      <c r="AJ37" s="730"/>
      <c r="AK37" s="730"/>
      <c r="AL37" s="730"/>
      <c r="AM37" s="730"/>
      <c r="AN37" s="730"/>
      <c r="AO37" s="730"/>
      <c r="AP37" s="730"/>
      <c r="AQ37" s="730"/>
      <c r="AR37" s="730"/>
      <c r="AS37" s="730"/>
      <c r="AT37" s="730"/>
      <c r="AU37" s="730"/>
      <c r="AV37" s="730"/>
      <c r="AW37" s="730"/>
      <c r="AX37" s="730"/>
      <c r="AY37" s="730"/>
      <c r="AZ37" s="730"/>
      <c r="BA37" s="730"/>
      <c r="BB37" s="730"/>
      <c r="BC37" s="730"/>
      <c r="BD37" s="730"/>
      <c r="BE37" s="730"/>
      <c r="BF37" s="730"/>
      <c r="BG37" s="730"/>
      <c r="BH37" s="730"/>
      <c r="BI37" s="730"/>
      <c r="BJ37" s="248"/>
      <c r="BK37" s="314"/>
      <c r="BL37" s="52"/>
      <c r="BM37" s="52"/>
    </row>
    <row r="38" spans="1:65" ht="31.2" x14ac:dyDescent="0.3">
      <c r="A38" s="469" t="str">
        <f>'PRESUPUESTO OFICIAL (Entidad)'!B43</f>
        <v>A6,7</v>
      </c>
      <c r="B38" s="470" t="str">
        <f>'PRESUPUESTO OFICIAL (Entidad)'!C43</f>
        <v>Suministro e instalación de Red electrica en tuberia pvc de 1/2", incluye 1 linea No 10 + 1 neutro No 10 + 1 Linea No 14  para toma corrientes.</v>
      </c>
      <c r="C38" s="469" t="str">
        <f>'PRESUPUESTO OFICIAL (Entidad)'!D43</f>
        <v>ML</v>
      </c>
      <c r="D38" s="469">
        <f>'PRESUPUESTO OFICIAL (Entidad)'!E43</f>
        <v>15.95</v>
      </c>
      <c r="E38" s="730"/>
      <c r="F38" s="730"/>
      <c r="G38" s="730"/>
      <c r="H38" s="730"/>
      <c r="I38" s="730"/>
      <c r="J38" s="730"/>
      <c r="K38" s="730"/>
      <c r="L38" s="730"/>
      <c r="M38" s="730"/>
      <c r="N38" s="730"/>
      <c r="O38" s="730"/>
      <c r="P38" s="730"/>
      <c r="Q38" s="730"/>
      <c r="R38" s="730"/>
      <c r="S38" s="730"/>
      <c r="T38" s="730"/>
      <c r="U38" s="730"/>
      <c r="V38" s="730"/>
      <c r="W38" s="730"/>
      <c r="X38" s="730"/>
      <c r="Y38" s="730"/>
      <c r="Z38" s="730"/>
      <c r="AA38" s="739"/>
      <c r="AB38" s="739"/>
      <c r="AC38" s="739"/>
      <c r="AD38" s="739"/>
      <c r="AE38" s="739"/>
      <c r="AF38" s="739"/>
      <c r="AG38" s="739"/>
      <c r="AH38" s="730"/>
      <c r="AI38" s="730"/>
      <c r="AJ38" s="730"/>
      <c r="AK38" s="730"/>
      <c r="AL38" s="730"/>
      <c r="AM38" s="730"/>
      <c r="AN38" s="730"/>
      <c r="AO38" s="730"/>
      <c r="AP38" s="730"/>
      <c r="AQ38" s="730"/>
      <c r="AR38" s="730"/>
      <c r="AS38" s="730"/>
      <c r="AT38" s="730"/>
      <c r="AU38" s="730"/>
      <c r="AV38" s="730"/>
      <c r="AW38" s="730"/>
      <c r="AX38" s="730"/>
      <c r="AY38" s="730"/>
      <c r="AZ38" s="730"/>
      <c r="BA38" s="730"/>
      <c r="BB38" s="730"/>
      <c r="BC38" s="730"/>
      <c r="BD38" s="730"/>
      <c r="BE38" s="730"/>
      <c r="BF38" s="730"/>
      <c r="BG38" s="730"/>
      <c r="BH38" s="730"/>
      <c r="BI38" s="730"/>
      <c r="BJ38" s="248"/>
      <c r="BK38" s="314"/>
      <c r="BL38" s="52"/>
      <c r="BM38" s="52"/>
    </row>
    <row r="39" spans="1:65" ht="31.2" x14ac:dyDescent="0.3">
      <c r="A39" s="469" t="str">
        <f>'PRESUPUESTO OFICIAL (Entidad)'!B44</f>
        <v>A6,8</v>
      </c>
      <c r="B39" s="470" t="str">
        <f>'PRESUPUESTO OFICIAL (Entidad)'!C44</f>
        <v>Suministro e instalación de Red electrica en tuberia pvc de 1/2", incluye  1 N° 12 + neutro N° 12 para luminarias.</v>
      </c>
      <c r="C39" s="469" t="str">
        <f>'PRESUPUESTO OFICIAL (Entidad)'!D44</f>
        <v>ML</v>
      </c>
      <c r="D39" s="469">
        <f>'PRESUPUESTO OFICIAL (Entidad)'!E44</f>
        <v>16.510000000000002</v>
      </c>
      <c r="E39" s="730"/>
      <c r="F39" s="730"/>
      <c r="G39" s="730"/>
      <c r="H39" s="730"/>
      <c r="I39" s="730"/>
      <c r="J39" s="730"/>
      <c r="K39" s="730"/>
      <c r="L39" s="730"/>
      <c r="M39" s="730"/>
      <c r="N39" s="730"/>
      <c r="O39" s="730"/>
      <c r="P39" s="730"/>
      <c r="Q39" s="730"/>
      <c r="R39" s="730"/>
      <c r="S39" s="730"/>
      <c r="T39" s="730"/>
      <c r="U39" s="730"/>
      <c r="V39" s="730"/>
      <c r="W39" s="730"/>
      <c r="X39" s="730"/>
      <c r="Y39" s="730"/>
      <c r="Z39" s="730"/>
      <c r="AA39" s="739"/>
      <c r="AB39" s="739"/>
      <c r="AC39" s="739"/>
      <c r="AD39" s="739"/>
      <c r="AE39" s="739"/>
      <c r="AF39" s="739"/>
      <c r="AG39" s="739"/>
      <c r="AH39" s="730"/>
      <c r="AI39" s="730"/>
      <c r="AJ39" s="730"/>
      <c r="AK39" s="730"/>
      <c r="AL39" s="730"/>
      <c r="AM39" s="730"/>
      <c r="AN39" s="730"/>
      <c r="AO39" s="730"/>
      <c r="AP39" s="730"/>
      <c r="AQ39" s="730"/>
      <c r="AR39" s="730"/>
      <c r="AS39" s="730"/>
      <c r="AT39" s="730"/>
      <c r="AU39" s="730"/>
      <c r="AV39" s="730"/>
      <c r="AW39" s="730"/>
      <c r="AX39" s="730"/>
      <c r="AY39" s="730"/>
      <c r="AZ39" s="730"/>
      <c r="BA39" s="730"/>
      <c r="BB39" s="730"/>
      <c r="BC39" s="730"/>
      <c r="BD39" s="730"/>
      <c r="BE39" s="730"/>
      <c r="BF39" s="730"/>
      <c r="BG39" s="730"/>
      <c r="BH39" s="730"/>
      <c r="BI39" s="730"/>
      <c r="BJ39" s="248"/>
      <c r="BK39" s="276"/>
      <c r="BL39" s="52"/>
      <c r="BM39" s="52"/>
    </row>
    <row r="40" spans="1:65" x14ac:dyDescent="0.3">
      <c r="A40" s="469" t="str">
        <f>'PRESUPUESTO OFICIAL (Entidad)'!B45</f>
        <v>A6,9</v>
      </c>
      <c r="B40" s="470" t="str">
        <f>'PRESUPUESTO OFICIAL (Entidad)'!C45</f>
        <v>Suministro e instalación de Cable concentrico monofasico.</v>
      </c>
      <c r="C40" s="469" t="str">
        <f>'PRESUPUESTO OFICIAL (Entidad)'!D45</f>
        <v>ML</v>
      </c>
      <c r="D40" s="469">
        <f>'PRESUPUESTO OFICIAL (Entidad)'!E45</f>
        <v>6</v>
      </c>
      <c r="E40" s="730"/>
      <c r="F40" s="730"/>
      <c r="G40" s="730"/>
      <c r="H40" s="730"/>
      <c r="I40" s="730"/>
      <c r="J40" s="730"/>
      <c r="K40" s="730"/>
      <c r="L40" s="730"/>
      <c r="M40" s="730"/>
      <c r="N40" s="730"/>
      <c r="O40" s="730"/>
      <c r="P40" s="730"/>
      <c r="Q40" s="730"/>
      <c r="R40" s="730"/>
      <c r="S40" s="730"/>
      <c r="T40" s="730"/>
      <c r="U40" s="730"/>
      <c r="V40" s="730"/>
      <c r="W40" s="730"/>
      <c r="X40" s="730"/>
      <c r="Y40" s="730"/>
      <c r="Z40" s="730"/>
      <c r="AA40" s="739"/>
      <c r="AB40" s="739"/>
      <c r="AC40" s="739"/>
      <c r="AD40" s="739"/>
      <c r="AE40" s="739"/>
      <c r="AF40" s="739"/>
      <c r="AG40" s="739"/>
      <c r="AH40" s="730"/>
      <c r="AI40" s="730"/>
      <c r="AJ40" s="730"/>
      <c r="AK40" s="730"/>
      <c r="AL40" s="730"/>
      <c r="AM40" s="730"/>
      <c r="AN40" s="730"/>
      <c r="AO40" s="730"/>
      <c r="AP40" s="730"/>
      <c r="AQ40" s="730"/>
      <c r="AR40" s="730"/>
      <c r="AS40" s="730"/>
      <c r="AT40" s="730"/>
      <c r="AU40" s="730"/>
      <c r="AV40" s="730"/>
      <c r="AW40" s="730"/>
      <c r="AX40" s="730"/>
      <c r="AY40" s="730"/>
      <c r="AZ40" s="730"/>
      <c r="BA40" s="730"/>
      <c r="BB40" s="730"/>
      <c r="BC40" s="730"/>
      <c r="BD40" s="730"/>
      <c r="BE40" s="730"/>
      <c r="BF40" s="730"/>
      <c r="BG40" s="730"/>
      <c r="BH40" s="730"/>
      <c r="BI40" s="730"/>
      <c r="BJ40" s="248"/>
      <c r="BK40" s="276"/>
      <c r="BL40" s="52"/>
      <c r="BM40" s="52"/>
    </row>
    <row r="41" spans="1:65" s="677" customFormat="1" x14ac:dyDescent="0.3">
      <c r="A41" s="673" t="str">
        <f>'PRESUPUESTO OFICIAL (Entidad)'!B46</f>
        <v>A7</v>
      </c>
      <c r="B41" s="674" t="str">
        <f>'PRESUPUESTO OFICIAL (Entidad)'!C46</f>
        <v>INSTALACIONES HIDRAULICAS Y SANITARIAS</v>
      </c>
      <c r="C41" s="673"/>
      <c r="D41" s="673"/>
      <c r="E41" s="740"/>
      <c r="F41" s="740"/>
      <c r="G41" s="740"/>
      <c r="H41" s="740"/>
      <c r="I41" s="740"/>
      <c r="J41" s="740"/>
      <c r="K41" s="740"/>
      <c r="L41" s="740"/>
      <c r="M41" s="740"/>
      <c r="N41" s="740"/>
      <c r="O41" s="740"/>
      <c r="P41" s="740"/>
      <c r="Q41" s="740"/>
      <c r="R41" s="740"/>
      <c r="S41" s="740"/>
      <c r="T41" s="740"/>
      <c r="U41" s="740"/>
      <c r="V41" s="740"/>
      <c r="W41" s="740"/>
      <c r="X41" s="740"/>
      <c r="Y41" s="740"/>
      <c r="Z41" s="740"/>
      <c r="AA41" s="740"/>
      <c r="AB41" s="740"/>
      <c r="AC41" s="740"/>
      <c r="AD41" s="740"/>
      <c r="AE41" s="740"/>
      <c r="AF41" s="740"/>
      <c r="AG41" s="740"/>
      <c r="AH41" s="740"/>
      <c r="AI41" s="740"/>
      <c r="AJ41" s="740"/>
      <c r="AK41" s="740"/>
      <c r="AL41" s="740"/>
      <c r="AM41" s="740"/>
      <c r="AN41" s="740"/>
      <c r="AO41" s="740"/>
      <c r="AP41" s="740"/>
      <c r="AQ41" s="740"/>
      <c r="AR41" s="740"/>
      <c r="AS41" s="740"/>
      <c r="AT41" s="740"/>
      <c r="AU41" s="740"/>
      <c r="AV41" s="740"/>
      <c r="AW41" s="740"/>
      <c r="AX41" s="740"/>
      <c r="AY41" s="740"/>
      <c r="AZ41" s="740"/>
      <c r="BA41" s="740"/>
      <c r="BB41" s="740"/>
      <c r="BC41" s="740"/>
      <c r="BD41" s="740"/>
      <c r="BE41" s="740"/>
      <c r="BF41" s="740"/>
      <c r="BG41" s="740"/>
      <c r="BH41" s="740"/>
      <c r="BI41" s="740"/>
      <c r="BJ41" s="680"/>
      <c r="BK41" s="675"/>
      <c r="BL41" s="676"/>
      <c r="BM41" s="676"/>
    </row>
    <row r="42" spans="1:65" x14ac:dyDescent="0.3">
      <c r="A42" s="469" t="str">
        <f>'PRESUPUESTO OFICIAL (Entidad)'!B47</f>
        <v>A7,1</v>
      </c>
      <c r="B42" s="470" t="str">
        <f>'PRESUPUESTO OFICIAL (Entidad)'!C47</f>
        <v>Suministro e instalacion de Punto de desague en pvc 2", incluye tuberia.</v>
      </c>
      <c r="C42" s="469" t="str">
        <f>'PRESUPUESTO OFICIAL (Entidad)'!D47</f>
        <v>UND</v>
      </c>
      <c r="D42" s="469">
        <f>'PRESUPUESTO OFICIAL (Entidad)'!E47</f>
        <v>1</v>
      </c>
      <c r="E42" s="730"/>
      <c r="F42" s="730"/>
      <c r="G42" s="730"/>
      <c r="H42" s="730"/>
      <c r="I42" s="730"/>
      <c r="J42" s="730"/>
      <c r="K42" s="730"/>
      <c r="L42" s="730"/>
      <c r="M42" s="730"/>
      <c r="N42" s="730"/>
      <c r="O42" s="730"/>
      <c r="P42" s="730"/>
      <c r="Q42" s="730"/>
      <c r="R42" s="730"/>
      <c r="S42" s="739"/>
      <c r="T42" s="739"/>
      <c r="U42" s="739"/>
      <c r="V42" s="739"/>
      <c r="W42" s="739"/>
      <c r="X42" s="739"/>
      <c r="Y42" s="739"/>
      <c r="Z42" s="739"/>
      <c r="AA42" s="730"/>
      <c r="AB42" s="730"/>
      <c r="AC42" s="730"/>
      <c r="AD42" s="730"/>
      <c r="AE42" s="730"/>
      <c r="AF42" s="730"/>
      <c r="AG42" s="730"/>
      <c r="AH42" s="730"/>
      <c r="AI42" s="730"/>
      <c r="AJ42" s="730"/>
      <c r="AK42" s="730"/>
      <c r="AL42" s="730"/>
      <c r="AM42" s="730"/>
      <c r="AN42" s="730"/>
      <c r="AO42" s="730"/>
      <c r="AP42" s="730"/>
      <c r="AQ42" s="730"/>
      <c r="AR42" s="730"/>
      <c r="AS42" s="730"/>
      <c r="AT42" s="730"/>
      <c r="AU42" s="730"/>
      <c r="AV42" s="730"/>
      <c r="AW42" s="730"/>
      <c r="AX42" s="730"/>
      <c r="AY42" s="730"/>
      <c r="AZ42" s="730"/>
      <c r="BA42" s="730"/>
      <c r="BB42" s="730"/>
      <c r="BC42" s="730"/>
      <c r="BD42" s="730"/>
      <c r="BE42" s="730"/>
      <c r="BF42" s="730"/>
      <c r="BG42" s="730"/>
      <c r="BH42" s="730"/>
      <c r="BI42" s="730"/>
      <c r="BJ42" s="248"/>
      <c r="BK42" s="62"/>
      <c r="BL42" s="52"/>
      <c r="BM42" s="52"/>
    </row>
    <row r="43" spans="1:65" x14ac:dyDescent="0.3">
      <c r="A43" s="469" t="str">
        <f>'PRESUPUESTO OFICIAL (Entidad)'!B48</f>
        <v>A7,2</v>
      </c>
      <c r="B43" s="470" t="str">
        <f>'PRESUPUESTO OFICIAL (Entidad)'!C48</f>
        <v>Suministro e instalacion de Punto de desague en pvc 3", incluye tuberia.</v>
      </c>
      <c r="C43" s="469" t="str">
        <f>'PRESUPUESTO OFICIAL (Entidad)'!D48</f>
        <v>UND</v>
      </c>
      <c r="D43" s="469">
        <f>'PRESUPUESTO OFICIAL (Entidad)'!E48</f>
        <v>2</v>
      </c>
      <c r="E43" s="730"/>
      <c r="F43" s="730"/>
      <c r="G43" s="730"/>
      <c r="H43" s="730"/>
      <c r="I43" s="730"/>
      <c r="J43" s="730"/>
      <c r="K43" s="730"/>
      <c r="L43" s="730"/>
      <c r="M43" s="730"/>
      <c r="N43" s="730"/>
      <c r="O43" s="730"/>
      <c r="P43" s="730"/>
      <c r="Q43" s="730"/>
      <c r="R43" s="730"/>
      <c r="S43" s="739"/>
      <c r="T43" s="739"/>
      <c r="U43" s="739"/>
      <c r="V43" s="739"/>
      <c r="W43" s="739"/>
      <c r="X43" s="739"/>
      <c r="Y43" s="739"/>
      <c r="Z43" s="739"/>
      <c r="AA43" s="730"/>
      <c r="AB43" s="730"/>
      <c r="AC43" s="730"/>
      <c r="AD43" s="730"/>
      <c r="AE43" s="730"/>
      <c r="AF43" s="730"/>
      <c r="AG43" s="730"/>
      <c r="AH43" s="730"/>
      <c r="AI43" s="730"/>
      <c r="AJ43" s="730"/>
      <c r="AK43" s="730"/>
      <c r="AL43" s="730"/>
      <c r="AM43" s="730"/>
      <c r="AN43" s="730"/>
      <c r="AO43" s="730"/>
      <c r="AP43" s="730"/>
      <c r="AQ43" s="730"/>
      <c r="AR43" s="730"/>
      <c r="AS43" s="730"/>
      <c r="AT43" s="730"/>
      <c r="AU43" s="730"/>
      <c r="AV43" s="730"/>
      <c r="AW43" s="730"/>
      <c r="AX43" s="730"/>
      <c r="AY43" s="730"/>
      <c r="AZ43" s="730"/>
      <c r="BA43" s="730"/>
      <c r="BB43" s="730"/>
      <c r="BC43" s="730"/>
      <c r="BD43" s="730"/>
      <c r="BE43" s="730"/>
      <c r="BF43" s="730"/>
      <c r="BG43" s="730"/>
      <c r="BH43" s="730"/>
      <c r="BI43" s="730"/>
      <c r="BJ43" s="248"/>
      <c r="BK43" s="62"/>
      <c r="BL43" s="52"/>
      <c r="BM43" s="52"/>
    </row>
    <row r="44" spans="1:65" x14ac:dyDescent="0.3">
      <c r="A44" s="469" t="str">
        <f>'PRESUPUESTO OFICIAL (Entidad)'!B49</f>
        <v>A7,3</v>
      </c>
      <c r="B44" s="470" t="str">
        <f>'PRESUPUESTO OFICIAL (Entidad)'!C49</f>
        <v>Suministro e instalacion de Punto de desague en pvc 4", incluye tuberia.</v>
      </c>
      <c r="C44" s="469" t="str">
        <f>'PRESUPUESTO OFICIAL (Entidad)'!D49</f>
        <v>UND</v>
      </c>
      <c r="D44" s="469">
        <f>'PRESUPUESTO OFICIAL (Entidad)'!E49</f>
        <v>1</v>
      </c>
      <c r="E44" s="730"/>
      <c r="F44" s="730"/>
      <c r="G44" s="730"/>
      <c r="H44" s="730"/>
      <c r="I44" s="730"/>
      <c r="J44" s="730"/>
      <c r="K44" s="730"/>
      <c r="L44" s="730"/>
      <c r="M44" s="730"/>
      <c r="N44" s="730"/>
      <c r="O44" s="730"/>
      <c r="P44" s="730"/>
      <c r="Q44" s="730"/>
      <c r="R44" s="730"/>
      <c r="S44" s="739"/>
      <c r="T44" s="739"/>
      <c r="U44" s="739"/>
      <c r="V44" s="739"/>
      <c r="W44" s="739"/>
      <c r="X44" s="739"/>
      <c r="Y44" s="739"/>
      <c r="Z44" s="739"/>
      <c r="AA44" s="730"/>
      <c r="AB44" s="730"/>
      <c r="AC44" s="730"/>
      <c r="AD44" s="730"/>
      <c r="AE44" s="730"/>
      <c r="AF44" s="730"/>
      <c r="AG44" s="730"/>
      <c r="AH44" s="730"/>
      <c r="AI44" s="730"/>
      <c r="AJ44" s="730"/>
      <c r="AK44" s="730"/>
      <c r="AL44" s="730"/>
      <c r="AM44" s="730"/>
      <c r="AN44" s="730"/>
      <c r="AO44" s="730"/>
      <c r="AP44" s="730"/>
      <c r="AQ44" s="730"/>
      <c r="AR44" s="730"/>
      <c r="AS44" s="730"/>
      <c r="AT44" s="730"/>
      <c r="AU44" s="730"/>
      <c r="AV44" s="730"/>
      <c r="AW44" s="730"/>
      <c r="AX44" s="730"/>
      <c r="AY44" s="730"/>
      <c r="AZ44" s="730"/>
      <c r="BA44" s="730"/>
      <c r="BB44" s="730"/>
      <c r="BC44" s="730"/>
      <c r="BD44" s="730"/>
      <c r="BE44" s="730"/>
      <c r="BF44" s="730"/>
      <c r="BG44" s="730"/>
      <c r="BH44" s="730"/>
      <c r="BI44" s="730"/>
      <c r="BJ44" s="248"/>
      <c r="BK44" s="62"/>
      <c r="BL44" s="52"/>
      <c r="BM44" s="52"/>
    </row>
    <row r="45" spans="1:65" x14ac:dyDescent="0.3">
      <c r="A45" s="469" t="str">
        <f>'PRESUPUESTO OFICIAL (Entidad)'!B50</f>
        <v>A7,4</v>
      </c>
      <c r="B45" s="470" t="str">
        <f>'PRESUPUESTO OFICIAL (Entidad)'!C50</f>
        <v>Caja de inspeccion de 60x60 cm, ladrillo.</v>
      </c>
      <c r="C45" s="469" t="str">
        <f>'PRESUPUESTO OFICIAL (Entidad)'!D50</f>
        <v>UND</v>
      </c>
      <c r="D45" s="469">
        <f>'PRESUPUESTO OFICIAL (Entidad)'!E50</f>
        <v>1</v>
      </c>
      <c r="E45" s="730"/>
      <c r="F45" s="730"/>
      <c r="G45" s="730"/>
      <c r="H45" s="730"/>
      <c r="I45" s="730"/>
      <c r="J45" s="730"/>
      <c r="K45" s="730"/>
      <c r="L45" s="730"/>
      <c r="M45" s="730"/>
      <c r="N45" s="730"/>
      <c r="O45" s="730"/>
      <c r="P45" s="730"/>
      <c r="Q45" s="730"/>
      <c r="R45" s="730"/>
      <c r="S45" s="739"/>
      <c r="T45" s="739"/>
      <c r="U45" s="739"/>
      <c r="V45" s="739"/>
      <c r="W45" s="739"/>
      <c r="X45" s="739"/>
      <c r="Y45" s="739"/>
      <c r="Z45" s="739"/>
      <c r="AA45" s="730"/>
      <c r="AB45" s="730"/>
      <c r="AC45" s="730"/>
      <c r="AD45" s="730"/>
      <c r="AE45" s="730"/>
      <c r="AF45" s="730"/>
      <c r="AG45" s="730"/>
      <c r="AH45" s="730"/>
      <c r="AI45" s="730"/>
      <c r="AJ45" s="730"/>
      <c r="AK45" s="730"/>
      <c r="AL45" s="730"/>
      <c r="AM45" s="730"/>
      <c r="AN45" s="730"/>
      <c r="AO45" s="730"/>
      <c r="AP45" s="730"/>
      <c r="AQ45" s="730"/>
      <c r="AR45" s="730"/>
      <c r="AS45" s="730"/>
      <c r="AT45" s="730"/>
      <c r="AU45" s="730"/>
      <c r="AV45" s="730"/>
      <c r="AW45" s="730"/>
      <c r="AX45" s="730"/>
      <c r="AY45" s="730"/>
      <c r="AZ45" s="730"/>
      <c r="BA45" s="730"/>
      <c r="BB45" s="730"/>
      <c r="BC45" s="730"/>
      <c r="BD45" s="730"/>
      <c r="BE45" s="730"/>
      <c r="BF45" s="730"/>
      <c r="BG45" s="730"/>
      <c r="BH45" s="730"/>
      <c r="BI45" s="730"/>
      <c r="BJ45" s="248"/>
      <c r="BK45" s="62"/>
      <c r="BL45" s="52"/>
      <c r="BM45" s="52"/>
    </row>
    <row r="46" spans="1:65" x14ac:dyDescent="0.3">
      <c r="A46" s="469" t="str">
        <f>'PRESUPUESTO OFICIAL (Entidad)'!B51</f>
        <v>A7,5</v>
      </c>
      <c r="B46" s="470" t="str">
        <f>'PRESUPUESTO OFICIAL (Entidad)'!C51</f>
        <v>Suministro e instalacion de Punto agua fria de ½" PVC, incluye tuberia.</v>
      </c>
      <c r="C46" s="469" t="str">
        <f>'PRESUPUESTO OFICIAL (Entidad)'!D51</f>
        <v>UND</v>
      </c>
      <c r="D46" s="469">
        <f>'PRESUPUESTO OFICIAL (Entidad)'!E51</f>
        <v>1</v>
      </c>
      <c r="E46" s="730"/>
      <c r="F46" s="730"/>
      <c r="G46" s="730"/>
      <c r="H46" s="730"/>
      <c r="I46" s="730"/>
      <c r="J46" s="730"/>
      <c r="K46" s="730"/>
      <c r="L46" s="730"/>
      <c r="M46" s="730"/>
      <c r="N46" s="730"/>
      <c r="O46" s="730"/>
      <c r="P46" s="730"/>
      <c r="Q46" s="730"/>
      <c r="R46" s="730"/>
      <c r="S46" s="739"/>
      <c r="T46" s="739"/>
      <c r="U46" s="739"/>
      <c r="V46" s="739"/>
      <c r="W46" s="739"/>
      <c r="X46" s="739"/>
      <c r="Y46" s="739"/>
      <c r="Z46" s="739"/>
      <c r="AA46" s="730"/>
      <c r="AB46" s="730"/>
      <c r="AC46" s="730"/>
      <c r="AD46" s="730"/>
      <c r="AE46" s="730"/>
      <c r="AF46" s="730"/>
      <c r="AG46" s="730"/>
      <c r="AH46" s="730"/>
      <c r="AI46" s="730"/>
      <c r="AJ46" s="730"/>
      <c r="AK46" s="730"/>
      <c r="AL46" s="730"/>
      <c r="AM46" s="730"/>
      <c r="AN46" s="730"/>
      <c r="AO46" s="730"/>
      <c r="AP46" s="730"/>
      <c r="AQ46" s="730"/>
      <c r="AR46" s="730"/>
      <c r="AS46" s="730"/>
      <c r="AT46" s="730"/>
      <c r="AU46" s="730"/>
      <c r="AV46" s="730"/>
      <c r="AW46" s="730"/>
      <c r="AX46" s="730"/>
      <c r="AY46" s="730"/>
      <c r="AZ46" s="730"/>
      <c r="BA46" s="730"/>
      <c r="BB46" s="730"/>
      <c r="BC46" s="730"/>
      <c r="BD46" s="730"/>
      <c r="BE46" s="730"/>
      <c r="BF46" s="730"/>
      <c r="BG46" s="730"/>
      <c r="BH46" s="730"/>
      <c r="BI46" s="730"/>
      <c r="BJ46" s="248"/>
      <c r="BK46" s="62"/>
      <c r="BL46" s="52"/>
      <c r="BM46" s="52"/>
    </row>
    <row r="47" spans="1:65" x14ac:dyDescent="0.3">
      <c r="A47" s="469" t="str">
        <f>'PRESUPUESTO OFICIAL (Entidad)'!B52</f>
        <v>A7,6</v>
      </c>
      <c r="B47" s="470" t="str">
        <f>'PRESUPUESTO OFICIAL (Entidad)'!C52</f>
        <v>Suministro e instalacion de Registro de paso  directo  ½" (bola).</v>
      </c>
      <c r="C47" s="469" t="str">
        <f>'PRESUPUESTO OFICIAL (Entidad)'!D52</f>
        <v>UND</v>
      </c>
      <c r="D47" s="469">
        <f>'PRESUPUESTO OFICIAL (Entidad)'!E52</f>
        <v>2</v>
      </c>
      <c r="E47" s="730"/>
      <c r="F47" s="730"/>
      <c r="G47" s="730"/>
      <c r="H47" s="730"/>
      <c r="I47" s="730"/>
      <c r="J47" s="730"/>
      <c r="K47" s="730"/>
      <c r="L47" s="730"/>
      <c r="M47" s="730"/>
      <c r="N47" s="730"/>
      <c r="O47" s="730"/>
      <c r="P47" s="730"/>
      <c r="Q47" s="730"/>
      <c r="R47" s="730"/>
      <c r="S47" s="739"/>
      <c r="T47" s="739"/>
      <c r="U47" s="739"/>
      <c r="V47" s="739"/>
      <c r="W47" s="739"/>
      <c r="X47" s="739"/>
      <c r="Y47" s="739"/>
      <c r="Z47" s="739"/>
      <c r="AA47" s="730"/>
      <c r="AB47" s="730"/>
      <c r="AC47" s="730"/>
      <c r="AD47" s="730"/>
      <c r="AE47" s="730"/>
      <c r="AF47" s="730"/>
      <c r="AG47" s="730"/>
      <c r="AH47" s="730"/>
      <c r="AI47" s="730"/>
      <c r="AJ47" s="730"/>
      <c r="AK47" s="730"/>
      <c r="AL47" s="730"/>
      <c r="AM47" s="730"/>
      <c r="AN47" s="730"/>
      <c r="AO47" s="730"/>
      <c r="AP47" s="730"/>
      <c r="AQ47" s="730"/>
      <c r="AR47" s="730"/>
      <c r="AS47" s="730"/>
      <c r="AT47" s="730"/>
      <c r="AU47" s="730"/>
      <c r="AV47" s="730"/>
      <c r="AW47" s="730"/>
      <c r="AX47" s="730"/>
      <c r="AY47" s="730"/>
      <c r="AZ47" s="730"/>
      <c r="BA47" s="730"/>
      <c r="BB47" s="730"/>
      <c r="BC47" s="730"/>
      <c r="BD47" s="730"/>
      <c r="BE47" s="730"/>
      <c r="BF47" s="730"/>
      <c r="BG47" s="730"/>
      <c r="BH47" s="730"/>
      <c r="BI47" s="730"/>
      <c r="BJ47" s="248"/>
      <c r="BK47" s="62"/>
      <c r="BL47" s="52"/>
      <c r="BM47" s="52"/>
    </row>
    <row r="48" spans="1:65" x14ac:dyDescent="0.3">
      <c r="A48" s="469" t="str">
        <f>'PRESUPUESTO OFICIAL (Entidad)'!B53</f>
        <v>A7,7</v>
      </c>
      <c r="B48" s="470" t="str">
        <f>'PRESUPUESTO OFICIAL (Entidad)'!C53</f>
        <v>Suministro e instalacion de Acometida general de ½".</v>
      </c>
      <c r="C48" s="469" t="str">
        <f>'PRESUPUESTO OFICIAL (Entidad)'!D53</f>
        <v>UND</v>
      </c>
      <c r="D48" s="469">
        <f>'PRESUPUESTO OFICIAL (Entidad)'!E53</f>
        <v>1</v>
      </c>
      <c r="E48" s="730"/>
      <c r="F48" s="730"/>
      <c r="G48" s="730"/>
      <c r="H48" s="730"/>
      <c r="I48" s="730"/>
      <c r="J48" s="730"/>
      <c r="K48" s="730"/>
      <c r="L48" s="730"/>
      <c r="M48" s="730"/>
      <c r="N48" s="730"/>
      <c r="O48" s="730"/>
      <c r="P48" s="730"/>
      <c r="Q48" s="730"/>
      <c r="R48" s="730"/>
      <c r="S48" s="739"/>
      <c r="T48" s="739"/>
      <c r="U48" s="739"/>
      <c r="V48" s="739"/>
      <c r="W48" s="739"/>
      <c r="X48" s="739"/>
      <c r="Y48" s="739"/>
      <c r="Z48" s="739"/>
      <c r="AA48" s="730"/>
      <c r="AB48" s="730"/>
      <c r="AC48" s="730"/>
      <c r="AD48" s="730"/>
      <c r="AE48" s="730"/>
      <c r="AF48" s="730"/>
      <c r="AG48" s="730"/>
      <c r="AH48" s="730"/>
      <c r="AI48" s="730"/>
      <c r="AJ48" s="730"/>
      <c r="AK48" s="730"/>
      <c r="AL48" s="730"/>
      <c r="AM48" s="730"/>
      <c r="AN48" s="730"/>
      <c r="AO48" s="730"/>
      <c r="AP48" s="730"/>
      <c r="AQ48" s="730"/>
      <c r="AR48" s="730"/>
      <c r="AS48" s="730"/>
      <c r="AT48" s="730"/>
      <c r="AU48" s="730"/>
      <c r="AV48" s="730"/>
      <c r="AW48" s="730"/>
      <c r="AX48" s="730"/>
      <c r="AY48" s="730"/>
      <c r="AZ48" s="730"/>
      <c r="BA48" s="730"/>
      <c r="BB48" s="730"/>
      <c r="BC48" s="730"/>
      <c r="BD48" s="730"/>
      <c r="BE48" s="730"/>
      <c r="BF48" s="730"/>
      <c r="BG48" s="730"/>
      <c r="BH48" s="730"/>
      <c r="BI48" s="730"/>
      <c r="BJ48" s="248"/>
      <c r="BK48" s="62"/>
      <c r="BL48" s="52"/>
      <c r="BM48" s="52"/>
    </row>
    <row r="49" spans="1:65" x14ac:dyDescent="0.3">
      <c r="A49" s="469" t="str">
        <f>'PRESUPUESTO OFICIAL (Entidad)'!B54</f>
        <v>A7,8</v>
      </c>
      <c r="B49" s="470" t="str">
        <f>'PRESUPUESTO OFICIAL (Entidad)'!C54</f>
        <v>Suministro e instalacion de salida llave terminal de  ½".</v>
      </c>
      <c r="C49" s="469" t="str">
        <f>'PRESUPUESTO OFICIAL (Entidad)'!D54</f>
        <v>UND</v>
      </c>
      <c r="D49" s="469">
        <f>'PRESUPUESTO OFICIAL (Entidad)'!E54</f>
        <v>1</v>
      </c>
      <c r="E49" s="730"/>
      <c r="F49" s="730"/>
      <c r="G49" s="730"/>
      <c r="H49" s="730"/>
      <c r="I49" s="730"/>
      <c r="J49" s="730"/>
      <c r="K49" s="730"/>
      <c r="L49" s="730"/>
      <c r="M49" s="730"/>
      <c r="N49" s="730"/>
      <c r="O49" s="730"/>
      <c r="P49" s="730"/>
      <c r="Q49" s="730"/>
      <c r="R49" s="730"/>
      <c r="S49" s="739"/>
      <c r="T49" s="739"/>
      <c r="U49" s="739"/>
      <c r="V49" s="739"/>
      <c r="W49" s="739"/>
      <c r="X49" s="739"/>
      <c r="Y49" s="739"/>
      <c r="Z49" s="739"/>
      <c r="AA49" s="730"/>
      <c r="AB49" s="730"/>
      <c r="AC49" s="730"/>
      <c r="AD49" s="730"/>
      <c r="AE49" s="730"/>
      <c r="AF49" s="730"/>
      <c r="AG49" s="730"/>
      <c r="AH49" s="730"/>
      <c r="AI49" s="730"/>
      <c r="AJ49" s="730"/>
      <c r="AK49" s="730"/>
      <c r="AL49" s="730"/>
      <c r="AM49" s="730"/>
      <c r="AN49" s="730"/>
      <c r="AO49" s="730"/>
      <c r="AP49" s="730"/>
      <c r="AQ49" s="730"/>
      <c r="AR49" s="730"/>
      <c r="AS49" s="730"/>
      <c r="AT49" s="730"/>
      <c r="AU49" s="730"/>
      <c r="AV49" s="730"/>
      <c r="AW49" s="730"/>
      <c r="AX49" s="730"/>
      <c r="AY49" s="730"/>
      <c r="AZ49" s="730"/>
      <c r="BA49" s="730"/>
      <c r="BB49" s="730"/>
      <c r="BC49" s="730"/>
      <c r="BD49" s="730"/>
      <c r="BE49" s="730"/>
      <c r="BF49" s="730"/>
      <c r="BG49" s="730"/>
      <c r="BH49" s="730"/>
      <c r="BI49" s="730"/>
      <c r="BJ49" s="248"/>
      <c r="BK49" s="62"/>
      <c r="BL49" s="52"/>
      <c r="BM49" s="52"/>
    </row>
    <row r="50" spans="1:65" x14ac:dyDescent="0.3">
      <c r="A50" s="469" t="str">
        <f>'PRESUPUESTO OFICIAL (Entidad)'!B55</f>
        <v>A7,9</v>
      </c>
      <c r="B50" s="470" t="str">
        <f>'PRESUPUESTO OFICIAL (Entidad)'!C55</f>
        <v>Suministro e instalación de lavaplatos 60X40 .</v>
      </c>
      <c r="C50" s="469" t="str">
        <f>'PRESUPUESTO OFICIAL (Entidad)'!D55</f>
        <v>UND</v>
      </c>
      <c r="D50" s="469">
        <f>'PRESUPUESTO OFICIAL (Entidad)'!E55</f>
        <v>1</v>
      </c>
      <c r="E50" s="730"/>
      <c r="F50" s="730"/>
      <c r="G50" s="730"/>
      <c r="H50" s="730"/>
      <c r="I50" s="730"/>
      <c r="J50" s="730"/>
      <c r="K50" s="730"/>
      <c r="L50" s="730"/>
      <c r="M50" s="730"/>
      <c r="N50" s="730"/>
      <c r="O50" s="730"/>
      <c r="P50" s="730"/>
      <c r="Q50" s="730"/>
      <c r="R50" s="730"/>
      <c r="S50" s="739"/>
      <c r="T50" s="739"/>
      <c r="U50" s="739"/>
      <c r="V50" s="739"/>
      <c r="W50" s="739"/>
      <c r="X50" s="739"/>
      <c r="Y50" s="739"/>
      <c r="Z50" s="739"/>
      <c r="AA50" s="730"/>
      <c r="AB50" s="730"/>
      <c r="AC50" s="730"/>
      <c r="AD50" s="730"/>
      <c r="AE50" s="730"/>
      <c r="AF50" s="730"/>
      <c r="AG50" s="730"/>
      <c r="AH50" s="730"/>
      <c r="AI50" s="730"/>
      <c r="AJ50" s="730"/>
      <c r="AK50" s="730"/>
      <c r="AL50" s="730"/>
      <c r="AM50" s="730"/>
      <c r="AN50" s="730"/>
      <c r="AO50" s="730"/>
      <c r="AP50" s="730"/>
      <c r="AQ50" s="730"/>
      <c r="AR50" s="730"/>
      <c r="AS50" s="730"/>
      <c r="AT50" s="730"/>
      <c r="AU50" s="730"/>
      <c r="AV50" s="730"/>
      <c r="AW50" s="730"/>
      <c r="AX50" s="730"/>
      <c r="AY50" s="730"/>
      <c r="AZ50" s="730"/>
      <c r="BA50" s="730"/>
      <c r="BB50" s="730"/>
      <c r="BC50" s="730"/>
      <c r="BD50" s="730"/>
      <c r="BE50" s="730"/>
      <c r="BF50" s="730"/>
      <c r="BG50" s="730"/>
      <c r="BH50" s="730"/>
      <c r="BI50" s="730"/>
      <c r="BJ50" s="248"/>
      <c r="BK50" s="62"/>
      <c r="BL50" s="52"/>
      <c r="BM50" s="52"/>
    </row>
    <row r="51" spans="1:65" x14ac:dyDescent="0.3">
      <c r="A51" s="469" t="str">
        <f>'PRESUPUESTO OFICIAL (Entidad)'!B56</f>
        <v>A7,10</v>
      </c>
      <c r="B51" s="470" t="str">
        <f>'PRESUPUESTO OFICIAL (Entidad)'!C56</f>
        <v>Suministro e instalación de tanque 500 litros, incluye griferia y accesorios.</v>
      </c>
      <c r="C51" s="469" t="str">
        <f>'PRESUPUESTO OFICIAL (Entidad)'!D56</f>
        <v>UND</v>
      </c>
      <c r="D51" s="469">
        <f>'PRESUPUESTO OFICIAL (Entidad)'!E56</f>
        <v>1</v>
      </c>
      <c r="E51" s="730"/>
      <c r="F51" s="730"/>
      <c r="G51" s="730"/>
      <c r="H51" s="730"/>
      <c r="I51" s="730"/>
      <c r="J51" s="730"/>
      <c r="K51" s="730"/>
      <c r="L51" s="730"/>
      <c r="M51" s="730"/>
      <c r="N51" s="730"/>
      <c r="O51" s="730"/>
      <c r="P51" s="730"/>
      <c r="Q51" s="730"/>
      <c r="R51" s="730"/>
      <c r="S51" s="739"/>
      <c r="T51" s="739"/>
      <c r="U51" s="739"/>
      <c r="V51" s="739"/>
      <c r="W51" s="739"/>
      <c r="X51" s="739"/>
      <c r="Y51" s="739"/>
      <c r="Z51" s="739"/>
      <c r="AA51" s="730"/>
      <c r="AB51" s="730"/>
      <c r="AC51" s="730"/>
      <c r="AD51" s="730"/>
      <c r="AE51" s="730"/>
      <c r="AF51" s="730"/>
      <c r="AG51" s="730"/>
      <c r="AH51" s="730"/>
      <c r="AI51" s="730"/>
      <c r="AJ51" s="730"/>
      <c r="AK51" s="730"/>
      <c r="AL51" s="730"/>
      <c r="AM51" s="730"/>
      <c r="AN51" s="730"/>
      <c r="AO51" s="730"/>
      <c r="AP51" s="730"/>
      <c r="AQ51" s="730"/>
      <c r="AR51" s="730"/>
      <c r="AS51" s="730"/>
      <c r="AT51" s="730"/>
      <c r="AU51" s="730"/>
      <c r="AV51" s="730"/>
      <c r="AW51" s="730"/>
      <c r="AX51" s="730"/>
      <c r="AY51" s="730"/>
      <c r="AZ51" s="730"/>
      <c r="BA51" s="730"/>
      <c r="BB51" s="730"/>
      <c r="BC51" s="730"/>
      <c r="BD51" s="730"/>
      <c r="BE51" s="730"/>
      <c r="BF51" s="730"/>
      <c r="BG51" s="730"/>
      <c r="BH51" s="730"/>
      <c r="BI51" s="730"/>
      <c r="BJ51" s="248"/>
      <c r="BK51" s="62"/>
      <c r="BL51" s="52"/>
      <c r="BM51" s="52"/>
    </row>
    <row r="52" spans="1:65" s="677" customFormat="1" x14ac:dyDescent="0.3">
      <c r="A52" s="673" t="str">
        <f>'PRESUPUESTO OFICIAL (Entidad)'!B57</f>
        <v>A8</v>
      </c>
      <c r="B52" s="674" t="str">
        <f>'PRESUPUESTO OFICIAL (Entidad)'!C57</f>
        <v>PAÑETES</v>
      </c>
      <c r="C52" s="673"/>
      <c r="D52" s="673"/>
      <c r="E52" s="740"/>
      <c r="F52" s="740"/>
      <c r="G52" s="740"/>
      <c r="H52" s="740"/>
      <c r="I52" s="740"/>
      <c r="J52" s="740"/>
      <c r="K52" s="740"/>
      <c r="L52" s="740"/>
      <c r="M52" s="740"/>
      <c r="N52" s="740"/>
      <c r="O52" s="740"/>
      <c r="P52" s="740"/>
      <c r="Q52" s="740"/>
      <c r="R52" s="740"/>
      <c r="S52" s="740"/>
      <c r="T52" s="740"/>
      <c r="U52" s="740"/>
      <c r="V52" s="740"/>
      <c r="W52" s="740"/>
      <c r="X52" s="740"/>
      <c r="Y52" s="740"/>
      <c r="Z52" s="740"/>
      <c r="AA52" s="740"/>
      <c r="AB52" s="740"/>
      <c r="AC52" s="740"/>
      <c r="AD52" s="740"/>
      <c r="AE52" s="740"/>
      <c r="AF52" s="740"/>
      <c r="AG52" s="740"/>
      <c r="AH52" s="740"/>
      <c r="AI52" s="740"/>
      <c r="AJ52" s="740"/>
      <c r="AK52" s="740"/>
      <c r="AL52" s="740"/>
      <c r="AM52" s="740"/>
      <c r="AN52" s="740"/>
      <c r="AO52" s="740"/>
      <c r="AP52" s="740"/>
      <c r="AQ52" s="740"/>
      <c r="AR52" s="740"/>
      <c r="AS52" s="740"/>
      <c r="AT52" s="740"/>
      <c r="AU52" s="740"/>
      <c r="AV52" s="740"/>
      <c r="AW52" s="740"/>
      <c r="AX52" s="740"/>
      <c r="AY52" s="740"/>
      <c r="AZ52" s="740"/>
      <c r="BA52" s="740"/>
      <c r="BB52" s="740"/>
      <c r="BC52" s="740"/>
      <c r="BD52" s="740"/>
      <c r="BE52" s="740"/>
      <c r="BF52" s="740"/>
      <c r="BG52" s="740"/>
      <c r="BH52" s="740"/>
      <c r="BI52" s="740"/>
      <c r="BJ52" s="678"/>
      <c r="BK52" s="681"/>
      <c r="BL52" s="676"/>
      <c r="BM52" s="676"/>
    </row>
    <row r="53" spans="1:65" x14ac:dyDescent="0.3">
      <c r="A53" s="469" t="str">
        <f>'PRESUPUESTO OFICIAL (Entidad)'!B58</f>
        <v>A8,1</v>
      </c>
      <c r="B53" s="470" t="str">
        <f>'PRESUPUESTO OFICIAL (Entidad)'!C58</f>
        <v>Suministro y aplicación de Pañete muros  1:4 Incluye Filos, carteras y Dilataciones.</v>
      </c>
      <c r="C53" s="469" t="str">
        <f>'PRESUPUESTO OFICIAL (Entidad)'!D58</f>
        <v>M2</v>
      </c>
      <c r="D53" s="469">
        <f>'PRESUPUESTO OFICIAL (Entidad)'!E58</f>
        <v>183.18</v>
      </c>
      <c r="E53" s="730"/>
      <c r="F53" s="730"/>
      <c r="G53" s="730"/>
      <c r="H53" s="730"/>
      <c r="I53" s="730"/>
      <c r="J53" s="730"/>
      <c r="K53" s="730"/>
      <c r="L53" s="730"/>
      <c r="M53" s="730"/>
      <c r="N53" s="730"/>
      <c r="O53" s="730"/>
      <c r="P53" s="730"/>
      <c r="Q53" s="730"/>
      <c r="R53" s="730"/>
      <c r="S53" s="730"/>
      <c r="T53" s="730"/>
      <c r="U53" s="730"/>
      <c r="V53" s="730"/>
      <c r="W53" s="730"/>
      <c r="X53" s="730"/>
      <c r="Y53" s="730"/>
      <c r="Z53" s="730"/>
      <c r="AA53" s="730"/>
      <c r="AB53" s="730"/>
      <c r="AC53" s="730"/>
      <c r="AD53" s="730"/>
      <c r="AE53" s="730"/>
      <c r="AF53" s="730"/>
      <c r="AG53" s="730"/>
      <c r="AH53" s="730"/>
      <c r="AI53" s="730"/>
      <c r="AJ53" s="730"/>
      <c r="AK53" s="730"/>
      <c r="AL53" s="730"/>
      <c r="AM53" s="730"/>
      <c r="AN53" s="730"/>
      <c r="AO53" s="739"/>
      <c r="AP53" s="739"/>
      <c r="AQ53" s="739"/>
      <c r="AR53" s="739"/>
      <c r="AS53" s="739"/>
      <c r="AT53" s="739"/>
      <c r="AU53" s="739"/>
      <c r="AV53" s="730"/>
      <c r="AW53" s="730"/>
      <c r="AX53" s="730"/>
      <c r="AY53" s="730"/>
      <c r="AZ53" s="730"/>
      <c r="BA53" s="730"/>
      <c r="BB53" s="730"/>
      <c r="BC53" s="730"/>
      <c r="BD53" s="730"/>
      <c r="BE53" s="730"/>
      <c r="BF53" s="730"/>
      <c r="BG53" s="730"/>
      <c r="BH53" s="730"/>
      <c r="BI53" s="730"/>
      <c r="BJ53" s="248"/>
      <c r="BK53" s="8"/>
      <c r="BL53" s="52"/>
      <c r="BM53" s="52"/>
    </row>
    <row r="54" spans="1:65" s="677" customFormat="1" x14ac:dyDescent="0.3">
      <c r="A54" s="673" t="str">
        <f>'PRESUPUESTO OFICIAL (Entidad)'!B59</f>
        <v>A9</v>
      </c>
      <c r="B54" s="674" t="str">
        <f>'PRESUPUESTO OFICIAL (Entidad)'!C59</f>
        <v>CUBIERTA  Y   ESTRUCTURA DE CUBIERTA</v>
      </c>
      <c r="C54" s="673"/>
      <c r="D54" s="673"/>
      <c r="E54" s="740"/>
      <c r="F54" s="740"/>
      <c r="G54" s="740"/>
      <c r="H54" s="740"/>
      <c r="I54" s="740"/>
      <c r="J54" s="740"/>
      <c r="K54" s="740"/>
      <c r="L54" s="740"/>
      <c r="M54" s="740"/>
      <c r="N54" s="740"/>
      <c r="O54" s="740"/>
      <c r="P54" s="740"/>
      <c r="Q54" s="740"/>
      <c r="R54" s="740"/>
      <c r="S54" s="740"/>
      <c r="T54" s="740"/>
      <c r="U54" s="740"/>
      <c r="V54" s="740"/>
      <c r="W54" s="740"/>
      <c r="X54" s="740"/>
      <c r="Y54" s="740"/>
      <c r="Z54" s="740"/>
      <c r="AA54" s="740"/>
      <c r="AB54" s="740"/>
      <c r="AC54" s="740"/>
      <c r="AD54" s="740"/>
      <c r="AE54" s="740"/>
      <c r="AF54" s="740"/>
      <c r="AG54" s="740"/>
      <c r="AH54" s="740"/>
      <c r="AI54" s="740"/>
      <c r="AJ54" s="740"/>
      <c r="AK54" s="740"/>
      <c r="AL54" s="740"/>
      <c r="AM54" s="740"/>
      <c r="AN54" s="740"/>
      <c r="AO54" s="740"/>
      <c r="AP54" s="740"/>
      <c r="AQ54" s="740"/>
      <c r="AR54" s="740"/>
      <c r="AS54" s="740"/>
      <c r="AT54" s="740"/>
      <c r="AU54" s="740"/>
      <c r="AV54" s="740"/>
      <c r="AW54" s="740"/>
      <c r="AX54" s="740"/>
      <c r="AY54" s="740"/>
      <c r="AZ54" s="740"/>
      <c r="BA54" s="740"/>
      <c r="BB54" s="740"/>
      <c r="BC54" s="740"/>
      <c r="BD54" s="740"/>
      <c r="BE54" s="740"/>
      <c r="BF54" s="740"/>
      <c r="BG54" s="740"/>
      <c r="BH54" s="740"/>
      <c r="BI54" s="740"/>
      <c r="BJ54" s="678"/>
      <c r="BK54" s="681"/>
      <c r="BL54" s="676"/>
      <c r="BM54" s="676"/>
    </row>
    <row r="55" spans="1:65" ht="31.2" x14ac:dyDescent="0.3">
      <c r="A55" s="469" t="str">
        <f>'PRESUPUESTO OFICIAL (Entidad)'!B60</f>
        <v>A9,1</v>
      </c>
      <c r="B55" s="470" t="str">
        <f>'PRESUPUESTO OFICIAL (Entidad)'!C60</f>
        <v xml:space="preserve">Suministro e instalación de cubierta en teja master 1000 Arquitectónica color, CAL 28. Incluye tornillos autoperforantes. </v>
      </c>
      <c r="C55" s="469" t="str">
        <f>'PRESUPUESTO OFICIAL (Entidad)'!D60</f>
        <v>M2</v>
      </c>
      <c r="D55" s="469">
        <f>'PRESUPUESTO OFICIAL (Entidad)'!E60</f>
        <v>69.08</v>
      </c>
      <c r="E55" s="730"/>
      <c r="F55" s="730"/>
      <c r="G55" s="730"/>
      <c r="H55" s="730"/>
      <c r="I55" s="730"/>
      <c r="J55" s="730"/>
      <c r="K55" s="730"/>
      <c r="L55" s="730"/>
      <c r="M55" s="730"/>
      <c r="N55" s="730"/>
      <c r="O55" s="730"/>
      <c r="P55" s="730"/>
      <c r="Q55" s="730"/>
      <c r="R55" s="730"/>
      <c r="S55" s="730"/>
      <c r="T55" s="730"/>
      <c r="U55" s="730"/>
      <c r="V55" s="730"/>
      <c r="W55" s="730"/>
      <c r="X55" s="730"/>
      <c r="Y55" s="730"/>
      <c r="Z55" s="730"/>
      <c r="AA55" s="730"/>
      <c r="AB55" s="730"/>
      <c r="AC55" s="730"/>
      <c r="AD55" s="730"/>
      <c r="AE55" s="730"/>
      <c r="AF55" s="730"/>
      <c r="AG55" s="730"/>
      <c r="AH55" s="739"/>
      <c r="AI55" s="739"/>
      <c r="AJ55" s="739"/>
      <c r="AK55" s="739"/>
      <c r="AL55" s="739"/>
      <c r="AM55" s="739"/>
      <c r="AN55" s="739"/>
      <c r="AO55" s="730"/>
      <c r="AP55" s="730"/>
      <c r="AQ55" s="730"/>
      <c r="AR55" s="730"/>
      <c r="AS55" s="730"/>
      <c r="AT55" s="730"/>
      <c r="AU55" s="730"/>
      <c r="AV55" s="730"/>
      <c r="AW55" s="730"/>
      <c r="AX55" s="730"/>
      <c r="AY55" s="730"/>
      <c r="AZ55" s="730"/>
      <c r="BA55" s="730"/>
      <c r="BB55" s="730"/>
      <c r="BC55" s="730"/>
      <c r="BD55" s="730"/>
      <c r="BE55" s="730"/>
      <c r="BF55" s="730"/>
      <c r="BG55" s="730"/>
      <c r="BH55" s="730"/>
      <c r="BI55" s="730"/>
      <c r="BJ55" s="672"/>
      <c r="BK55" s="8"/>
      <c r="BL55" s="52"/>
      <c r="BM55" s="52"/>
    </row>
    <row r="56" spans="1:65" ht="31.2" x14ac:dyDescent="0.3">
      <c r="A56" s="469" t="str">
        <f>'PRESUPUESTO OFICIAL (Entidad)'!B61</f>
        <v>A9,2</v>
      </c>
      <c r="B56" s="470" t="str">
        <f>'PRESUPUESTO OFICIAL (Entidad)'!C61</f>
        <v>Suministro e instalación de Correa en perfil metálico de 3"X1 1/2", cal.18. Incluye pintura.</v>
      </c>
      <c r="C56" s="469" t="str">
        <f>'PRESUPUESTO OFICIAL (Entidad)'!D61</f>
        <v>ML</v>
      </c>
      <c r="D56" s="469">
        <f>'PRESUPUESTO OFICIAL (Entidad)'!E61</f>
        <v>66</v>
      </c>
      <c r="E56" s="730"/>
      <c r="F56" s="730"/>
      <c r="G56" s="730"/>
      <c r="H56" s="730"/>
      <c r="I56" s="730"/>
      <c r="J56" s="730"/>
      <c r="K56" s="730"/>
      <c r="L56" s="730"/>
      <c r="M56" s="730"/>
      <c r="N56" s="730"/>
      <c r="O56" s="730"/>
      <c r="P56" s="730"/>
      <c r="Q56" s="730"/>
      <c r="R56" s="730"/>
      <c r="S56" s="730"/>
      <c r="T56" s="730"/>
      <c r="U56" s="730"/>
      <c r="V56" s="730"/>
      <c r="W56" s="730"/>
      <c r="X56" s="730"/>
      <c r="Y56" s="730"/>
      <c r="Z56" s="730"/>
      <c r="AA56" s="730"/>
      <c r="AB56" s="730"/>
      <c r="AC56" s="730"/>
      <c r="AD56" s="730"/>
      <c r="AE56" s="730"/>
      <c r="AF56" s="730"/>
      <c r="AG56" s="730"/>
      <c r="AH56" s="739"/>
      <c r="AI56" s="739"/>
      <c r="AJ56" s="739"/>
      <c r="AK56" s="739"/>
      <c r="AL56" s="739"/>
      <c r="AM56" s="739"/>
      <c r="AN56" s="739"/>
      <c r="AO56" s="730"/>
      <c r="AP56" s="730"/>
      <c r="AQ56" s="730"/>
      <c r="AR56" s="730"/>
      <c r="AS56" s="730"/>
      <c r="AT56" s="730"/>
      <c r="AU56" s="730"/>
      <c r="AV56" s="730"/>
      <c r="AW56" s="730"/>
      <c r="AX56" s="730"/>
      <c r="AY56" s="730"/>
      <c r="AZ56" s="730"/>
      <c r="BA56" s="730"/>
      <c r="BB56" s="730"/>
      <c r="BC56" s="730"/>
      <c r="BD56" s="730"/>
      <c r="BE56" s="730"/>
      <c r="BF56" s="730"/>
      <c r="BG56" s="730"/>
      <c r="BH56" s="730"/>
      <c r="BI56" s="730"/>
      <c r="BJ56" s="672"/>
      <c r="BK56" s="8"/>
      <c r="BL56" s="52"/>
      <c r="BM56" s="52"/>
    </row>
    <row r="57" spans="1:65" x14ac:dyDescent="0.3">
      <c r="A57" s="469" t="str">
        <f>'PRESUPUESTO OFICIAL (Entidad)'!B62</f>
        <v>A9,3</v>
      </c>
      <c r="B57" s="470" t="str">
        <f>'PRESUPUESTO OFICIAL (Entidad)'!C62</f>
        <v>Suministro e instalación de Bajante ALL PVC 4". Incluye accesorios y mano de obra.</v>
      </c>
      <c r="C57" s="469" t="str">
        <f>'PRESUPUESTO OFICIAL (Entidad)'!D62</f>
        <v>ML</v>
      </c>
      <c r="D57" s="469">
        <f>'PRESUPUESTO OFICIAL (Entidad)'!E62</f>
        <v>6</v>
      </c>
      <c r="E57" s="730"/>
      <c r="F57" s="730"/>
      <c r="G57" s="730"/>
      <c r="H57" s="730"/>
      <c r="I57" s="730"/>
      <c r="J57" s="730"/>
      <c r="K57" s="730"/>
      <c r="L57" s="730"/>
      <c r="M57" s="730"/>
      <c r="N57" s="730"/>
      <c r="O57" s="730"/>
      <c r="P57" s="730"/>
      <c r="Q57" s="730"/>
      <c r="R57" s="730"/>
      <c r="S57" s="730"/>
      <c r="T57" s="730"/>
      <c r="U57" s="730"/>
      <c r="V57" s="730"/>
      <c r="W57" s="730"/>
      <c r="X57" s="730"/>
      <c r="Y57" s="730"/>
      <c r="Z57" s="730"/>
      <c r="AA57" s="730"/>
      <c r="AB57" s="730"/>
      <c r="AC57" s="730"/>
      <c r="AD57" s="730"/>
      <c r="AE57" s="730"/>
      <c r="AF57" s="730"/>
      <c r="AG57" s="730"/>
      <c r="AH57" s="739"/>
      <c r="AI57" s="739"/>
      <c r="AJ57" s="739"/>
      <c r="AK57" s="739"/>
      <c r="AL57" s="739"/>
      <c r="AM57" s="739"/>
      <c r="AN57" s="739"/>
      <c r="AO57" s="730"/>
      <c r="AP57" s="730"/>
      <c r="AQ57" s="730"/>
      <c r="AR57" s="730"/>
      <c r="AS57" s="730"/>
      <c r="AT57" s="730"/>
      <c r="AU57" s="730"/>
      <c r="AV57" s="730"/>
      <c r="AW57" s="730"/>
      <c r="AX57" s="730"/>
      <c r="AY57" s="730"/>
      <c r="AZ57" s="730"/>
      <c r="BA57" s="730"/>
      <c r="BB57" s="730"/>
      <c r="BC57" s="730"/>
      <c r="BD57" s="730"/>
      <c r="BE57" s="730"/>
      <c r="BF57" s="730"/>
      <c r="BG57" s="730"/>
      <c r="BH57" s="730"/>
      <c r="BI57" s="730"/>
      <c r="BJ57" s="672"/>
      <c r="BK57" s="8"/>
      <c r="BL57" s="52"/>
      <c r="BM57" s="52"/>
    </row>
    <row r="58" spans="1:65" ht="46.8" x14ac:dyDescent="0.3">
      <c r="A58" s="469" t="str">
        <f>'PRESUPUESTO OFICIAL (Entidad)'!B63</f>
        <v>A9,4</v>
      </c>
      <c r="B58" s="470" t="str">
        <f>'PRESUPUESTO OFICIAL (Entidad)'!C63</f>
        <v>Suministro e instalación de Cercha Metálica tubo rectangular .04x.08 mts. 18 superior y tubo rectangular .04x.10 mts cal. 18 inferior, celosía en Tubo rectangular .04x.08 cal. 18".  Incluye pintura.</v>
      </c>
      <c r="C58" s="469" t="str">
        <f>'PRESUPUESTO OFICIAL (Entidad)'!D63</f>
        <v>ML</v>
      </c>
      <c r="D58" s="469">
        <f>'PRESUPUESTO OFICIAL (Entidad)'!E63</f>
        <v>10.35</v>
      </c>
      <c r="E58" s="730"/>
      <c r="F58" s="730"/>
      <c r="G58" s="730"/>
      <c r="H58" s="730"/>
      <c r="I58" s="730"/>
      <c r="J58" s="730"/>
      <c r="K58" s="730"/>
      <c r="L58" s="730"/>
      <c r="M58" s="730"/>
      <c r="N58" s="730"/>
      <c r="O58" s="730"/>
      <c r="P58" s="730"/>
      <c r="Q58" s="730"/>
      <c r="R58" s="730"/>
      <c r="S58" s="730"/>
      <c r="T58" s="730"/>
      <c r="U58" s="730"/>
      <c r="V58" s="730"/>
      <c r="W58" s="730"/>
      <c r="X58" s="730"/>
      <c r="Y58" s="730"/>
      <c r="Z58" s="730"/>
      <c r="AA58" s="730"/>
      <c r="AB58" s="730"/>
      <c r="AC58" s="730"/>
      <c r="AD58" s="730"/>
      <c r="AE58" s="730"/>
      <c r="AF58" s="730"/>
      <c r="AG58" s="730"/>
      <c r="AH58" s="739"/>
      <c r="AI58" s="739"/>
      <c r="AJ58" s="739"/>
      <c r="AK58" s="739"/>
      <c r="AL58" s="739"/>
      <c r="AM58" s="739"/>
      <c r="AN58" s="739"/>
      <c r="AO58" s="730"/>
      <c r="AP58" s="730"/>
      <c r="AQ58" s="730"/>
      <c r="AR58" s="730"/>
      <c r="AS58" s="730"/>
      <c r="AT58" s="730"/>
      <c r="AU58" s="730"/>
      <c r="AV58" s="730"/>
      <c r="AW58" s="730"/>
      <c r="AX58" s="730"/>
      <c r="AY58" s="730"/>
      <c r="AZ58" s="730"/>
      <c r="BA58" s="730"/>
      <c r="BB58" s="730"/>
      <c r="BC58" s="730"/>
      <c r="BD58" s="730"/>
      <c r="BE58" s="730"/>
      <c r="BF58" s="730"/>
      <c r="BG58" s="730"/>
      <c r="BH58" s="730"/>
      <c r="BI58" s="730"/>
      <c r="BJ58" s="672"/>
      <c r="BK58" s="62"/>
      <c r="BL58" s="52"/>
      <c r="BM58" s="52"/>
    </row>
    <row r="59" spans="1:65" s="677" customFormat="1" x14ac:dyDescent="0.3">
      <c r="A59" s="673" t="str">
        <f>'PRESUPUESTO OFICIAL (Entidad)'!B64</f>
        <v>A10</v>
      </c>
      <c r="B59" s="674" t="str">
        <f>'PRESUPUESTO OFICIAL (Entidad)'!C64</f>
        <v>PISOS Y ENCHAPES</v>
      </c>
      <c r="C59" s="673"/>
      <c r="D59" s="673"/>
      <c r="E59" s="740"/>
      <c r="F59" s="740"/>
      <c r="G59" s="740"/>
      <c r="H59" s="740"/>
      <c r="I59" s="740"/>
      <c r="J59" s="740"/>
      <c r="K59" s="740"/>
      <c r="L59" s="740"/>
      <c r="M59" s="740"/>
      <c r="N59" s="740"/>
      <c r="O59" s="740"/>
      <c r="P59" s="740"/>
      <c r="Q59" s="740"/>
      <c r="R59" s="740"/>
      <c r="S59" s="740"/>
      <c r="T59" s="740"/>
      <c r="U59" s="740"/>
      <c r="V59" s="740"/>
      <c r="W59" s="740"/>
      <c r="X59" s="740"/>
      <c r="Y59" s="740"/>
      <c r="Z59" s="740"/>
      <c r="AA59" s="740"/>
      <c r="AB59" s="740"/>
      <c r="AC59" s="740"/>
      <c r="AD59" s="740"/>
      <c r="AE59" s="740"/>
      <c r="AF59" s="740"/>
      <c r="AG59" s="740"/>
      <c r="AH59" s="740"/>
      <c r="AI59" s="740"/>
      <c r="AJ59" s="740"/>
      <c r="AK59" s="740"/>
      <c r="AL59" s="740"/>
      <c r="AM59" s="740"/>
      <c r="AN59" s="740"/>
      <c r="AO59" s="740"/>
      <c r="AP59" s="740"/>
      <c r="AQ59" s="740"/>
      <c r="AR59" s="740"/>
      <c r="AS59" s="740"/>
      <c r="AT59" s="740"/>
      <c r="AU59" s="740"/>
      <c r="AV59" s="740"/>
      <c r="AW59" s="740"/>
      <c r="AX59" s="740"/>
      <c r="AY59" s="740"/>
      <c r="AZ59" s="740"/>
      <c r="BA59" s="740"/>
      <c r="BB59" s="740"/>
      <c r="BC59" s="740"/>
      <c r="BD59" s="740"/>
      <c r="BE59" s="740"/>
      <c r="BF59" s="740"/>
      <c r="BG59" s="740"/>
      <c r="BH59" s="740"/>
      <c r="BI59" s="740"/>
      <c r="BJ59" s="682"/>
      <c r="BK59" s="683"/>
      <c r="BL59" s="676"/>
      <c r="BM59" s="676"/>
    </row>
    <row r="60" spans="1:65" x14ac:dyDescent="0.3">
      <c r="A60" s="469" t="str">
        <f>'PRESUPUESTO OFICIAL (Entidad)'!B65</f>
        <v>A10,1</v>
      </c>
      <c r="B60" s="470" t="str">
        <f>'PRESUPUESTO OFICIAL (Entidad)'!C65</f>
        <v>Alistado de piso en mortero e= 0,05m.</v>
      </c>
      <c r="C60" s="469" t="str">
        <f>'PRESUPUESTO OFICIAL (Entidad)'!D65</f>
        <v>M2</v>
      </c>
      <c r="D60" s="469">
        <f>'PRESUPUESTO OFICIAL (Entidad)'!E65</f>
        <v>52.44</v>
      </c>
      <c r="E60" s="730"/>
      <c r="F60" s="730"/>
      <c r="G60" s="730"/>
      <c r="H60" s="730"/>
      <c r="I60" s="730"/>
      <c r="J60" s="730"/>
      <c r="K60" s="730"/>
      <c r="L60" s="730"/>
      <c r="M60" s="730"/>
      <c r="N60" s="730"/>
      <c r="O60" s="730"/>
      <c r="P60" s="730"/>
      <c r="Q60" s="730"/>
      <c r="R60" s="730"/>
      <c r="S60" s="730"/>
      <c r="T60" s="730"/>
      <c r="U60" s="730"/>
      <c r="V60" s="730"/>
      <c r="W60" s="730"/>
      <c r="X60" s="730"/>
      <c r="Y60" s="730"/>
      <c r="Z60" s="730"/>
      <c r="AA60" s="739"/>
      <c r="AB60" s="739"/>
      <c r="AC60" s="739"/>
      <c r="AD60" s="739"/>
      <c r="AE60" s="739"/>
      <c r="AF60" s="739"/>
      <c r="AG60" s="739"/>
      <c r="AH60" s="739"/>
      <c r="AI60" s="739"/>
      <c r="AJ60" s="739"/>
      <c r="AK60" s="739"/>
      <c r="AL60" s="739"/>
      <c r="AM60" s="739"/>
      <c r="AN60" s="739"/>
      <c r="AO60" s="730"/>
      <c r="AP60" s="730"/>
      <c r="AQ60" s="730"/>
      <c r="AR60" s="730"/>
      <c r="AS60" s="730"/>
      <c r="AT60" s="730"/>
      <c r="AU60" s="730"/>
      <c r="AV60" s="730"/>
      <c r="AW60" s="730"/>
      <c r="AX60" s="730"/>
      <c r="AY60" s="730"/>
      <c r="AZ60" s="730"/>
      <c r="BA60" s="730"/>
      <c r="BB60" s="730"/>
      <c r="BC60" s="730"/>
      <c r="BD60" s="730"/>
      <c r="BE60" s="730"/>
      <c r="BF60" s="730"/>
      <c r="BG60" s="730"/>
      <c r="BH60" s="730"/>
      <c r="BI60" s="730"/>
      <c r="BJ60" s="248"/>
      <c r="BK60" s="62"/>
      <c r="BL60" s="52"/>
      <c r="BM60" s="52"/>
    </row>
    <row r="61" spans="1:65" x14ac:dyDescent="0.3">
      <c r="A61" s="469" t="str">
        <f>'PRESUPUESTO OFICIAL (Entidad)'!B66</f>
        <v>A10,2</v>
      </c>
      <c r="B61" s="470" t="str">
        <f>'PRESUPUESTO OFICIAL (Entidad)'!C66</f>
        <v>Construccion de Placa en concreto de 3000 PSI e=0,10 m.</v>
      </c>
      <c r="C61" s="469" t="str">
        <f>'PRESUPUESTO OFICIAL (Entidad)'!D66</f>
        <v>M2</v>
      </c>
      <c r="D61" s="469">
        <f>'PRESUPUESTO OFICIAL (Entidad)'!E66</f>
        <v>52.44</v>
      </c>
      <c r="E61" s="730"/>
      <c r="F61" s="730"/>
      <c r="G61" s="730"/>
      <c r="H61" s="730"/>
      <c r="I61" s="730"/>
      <c r="J61" s="730"/>
      <c r="K61" s="730"/>
      <c r="L61" s="730"/>
      <c r="M61" s="730"/>
      <c r="N61" s="730"/>
      <c r="O61" s="730"/>
      <c r="P61" s="730"/>
      <c r="Q61" s="730"/>
      <c r="R61" s="730"/>
      <c r="S61" s="730"/>
      <c r="T61" s="730"/>
      <c r="U61" s="730"/>
      <c r="V61" s="730"/>
      <c r="W61" s="730"/>
      <c r="X61" s="730"/>
      <c r="Y61" s="730"/>
      <c r="Z61" s="730"/>
      <c r="AA61" s="739"/>
      <c r="AB61" s="739"/>
      <c r="AC61" s="739"/>
      <c r="AD61" s="739"/>
      <c r="AE61" s="739"/>
      <c r="AF61" s="739"/>
      <c r="AG61" s="739"/>
      <c r="AH61" s="739"/>
      <c r="AI61" s="739"/>
      <c r="AJ61" s="739"/>
      <c r="AK61" s="739"/>
      <c r="AL61" s="739"/>
      <c r="AM61" s="739"/>
      <c r="AN61" s="739"/>
      <c r="AO61" s="730"/>
      <c r="AP61" s="730"/>
      <c r="AQ61" s="730"/>
      <c r="AR61" s="730"/>
      <c r="AS61" s="730"/>
      <c r="AT61" s="730"/>
      <c r="AU61" s="730"/>
      <c r="AV61" s="730"/>
      <c r="AW61" s="730"/>
      <c r="AX61" s="730"/>
      <c r="AY61" s="730"/>
      <c r="AZ61" s="730"/>
      <c r="BA61" s="730"/>
      <c r="BB61" s="730"/>
      <c r="BC61" s="730"/>
      <c r="BD61" s="730"/>
      <c r="BE61" s="730"/>
      <c r="BF61" s="730"/>
      <c r="BG61" s="730"/>
      <c r="BH61" s="730"/>
      <c r="BI61" s="730"/>
      <c r="BJ61" s="248"/>
      <c r="BK61" s="62"/>
      <c r="BL61" s="52"/>
      <c r="BM61" s="52"/>
    </row>
    <row r="62" spans="1:65" x14ac:dyDescent="0.3">
      <c r="A62" s="469" t="str">
        <f>'PRESUPUESTO OFICIAL (Entidad)'!B67</f>
        <v>A10,3</v>
      </c>
      <c r="B62" s="470" t="str">
        <f>'PRESUPUESTO OFICIAL (Entidad)'!C67</f>
        <v>Suministrar e instalar Piso en ceramica T-5.</v>
      </c>
      <c r="C62" s="469" t="str">
        <f>'PRESUPUESTO OFICIAL (Entidad)'!D67</f>
        <v>M2</v>
      </c>
      <c r="D62" s="469">
        <f>'PRESUPUESTO OFICIAL (Entidad)'!E67</f>
        <v>52.44</v>
      </c>
      <c r="E62" s="730"/>
      <c r="F62" s="730"/>
      <c r="G62" s="730"/>
      <c r="H62" s="730"/>
      <c r="I62" s="730"/>
      <c r="J62" s="730"/>
      <c r="K62" s="730"/>
      <c r="L62" s="730"/>
      <c r="M62" s="730"/>
      <c r="N62" s="730"/>
      <c r="O62" s="730"/>
      <c r="P62" s="730"/>
      <c r="Q62" s="730"/>
      <c r="R62" s="730"/>
      <c r="S62" s="730"/>
      <c r="T62" s="730"/>
      <c r="U62" s="730"/>
      <c r="V62" s="730"/>
      <c r="W62" s="730"/>
      <c r="X62" s="730"/>
      <c r="Y62" s="730"/>
      <c r="Z62" s="730"/>
      <c r="AA62" s="739"/>
      <c r="AB62" s="739"/>
      <c r="AC62" s="739"/>
      <c r="AD62" s="739"/>
      <c r="AE62" s="739"/>
      <c r="AF62" s="739"/>
      <c r="AG62" s="739"/>
      <c r="AH62" s="739"/>
      <c r="AI62" s="739"/>
      <c r="AJ62" s="739"/>
      <c r="AK62" s="739"/>
      <c r="AL62" s="739"/>
      <c r="AM62" s="739"/>
      <c r="AN62" s="739"/>
      <c r="AO62" s="730"/>
      <c r="AP62" s="730"/>
      <c r="AQ62" s="730"/>
      <c r="AR62" s="730"/>
      <c r="AS62" s="730"/>
      <c r="AT62" s="730"/>
      <c r="AU62" s="730"/>
      <c r="AV62" s="730"/>
      <c r="AW62" s="730"/>
      <c r="AX62" s="730"/>
      <c r="AY62" s="730"/>
      <c r="AZ62" s="730"/>
      <c r="BA62" s="730"/>
      <c r="BB62" s="730"/>
      <c r="BC62" s="730"/>
      <c r="BD62" s="730"/>
      <c r="BE62" s="730"/>
      <c r="BF62" s="730"/>
      <c r="BG62" s="730"/>
      <c r="BH62" s="730"/>
      <c r="BI62" s="730"/>
      <c r="BJ62" s="248"/>
      <c r="BK62" s="62"/>
      <c r="BL62" s="52"/>
      <c r="BM62" s="52"/>
    </row>
    <row r="63" spans="1:65" x14ac:dyDescent="0.3">
      <c r="A63" s="469" t="str">
        <f>'PRESUPUESTO OFICIAL (Entidad)'!B68</f>
        <v>A10,4</v>
      </c>
      <c r="B63" s="470" t="str">
        <f>'PRESUPUESTO OFICIAL (Entidad)'!C68</f>
        <v>Suministro e instalacion de Guardaescoba en cerámica   T-5.</v>
      </c>
      <c r="C63" s="469" t="str">
        <f>'PRESUPUESTO OFICIAL (Entidad)'!D68</f>
        <v>ML</v>
      </c>
      <c r="D63" s="469">
        <f>'PRESUPUESTO OFICIAL (Entidad)'!E68</f>
        <v>39.299999999999997</v>
      </c>
      <c r="E63" s="730"/>
      <c r="F63" s="730"/>
      <c r="G63" s="730"/>
      <c r="H63" s="730"/>
      <c r="I63" s="730"/>
      <c r="J63" s="730"/>
      <c r="K63" s="730"/>
      <c r="L63" s="730"/>
      <c r="M63" s="730"/>
      <c r="N63" s="730"/>
      <c r="O63" s="730"/>
      <c r="P63" s="730"/>
      <c r="Q63" s="730"/>
      <c r="R63" s="730"/>
      <c r="S63" s="730"/>
      <c r="T63" s="730"/>
      <c r="U63" s="730"/>
      <c r="V63" s="730"/>
      <c r="W63" s="730"/>
      <c r="X63" s="730"/>
      <c r="Y63" s="730"/>
      <c r="Z63" s="730"/>
      <c r="AA63" s="739"/>
      <c r="AB63" s="739"/>
      <c r="AC63" s="739"/>
      <c r="AD63" s="739"/>
      <c r="AE63" s="739"/>
      <c r="AF63" s="739"/>
      <c r="AG63" s="739"/>
      <c r="AH63" s="739"/>
      <c r="AI63" s="739"/>
      <c r="AJ63" s="739"/>
      <c r="AK63" s="739"/>
      <c r="AL63" s="739"/>
      <c r="AM63" s="739"/>
      <c r="AN63" s="739"/>
      <c r="AO63" s="730"/>
      <c r="AP63" s="730"/>
      <c r="AQ63" s="730"/>
      <c r="AR63" s="730"/>
      <c r="AS63" s="730"/>
      <c r="AT63" s="730"/>
      <c r="AU63" s="730"/>
      <c r="AV63" s="730"/>
      <c r="AW63" s="730"/>
      <c r="AX63" s="730"/>
      <c r="AY63" s="730"/>
      <c r="AZ63" s="730"/>
      <c r="BA63" s="730"/>
      <c r="BB63" s="730"/>
      <c r="BC63" s="730"/>
      <c r="BD63" s="730"/>
      <c r="BE63" s="730"/>
      <c r="BF63" s="730"/>
      <c r="BG63" s="730"/>
      <c r="BH63" s="730"/>
      <c r="BI63" s="730"/>
      <c r="BJ63" s="672"/>
      <c r="BK63" s="62"/>
      <c r="BL63" s="52"/>
      <c r="BM63" s="52"/>
    </row>
    <row r="64" spans="1:65" s="677" customFormat="1" x14ac:dyDescent="0.3">
      <c r="A64" s="673" t="str">
        <f>'PRESUPUESTO OFICIAL (Entidad)'!B69</f>
        <v>A11</v>
      </c>
      <c r="B64" s="674" t="str">
        <f>'PRESUPUESTO OFICIAL (Entidad)'!C69</f>
        <v>CARPINTERÍA METÁLICA</v>
      </c>
      <c r="C64" s="673"/>
      <c r="D64" s="673"/>
      <c r="E64" s="740"/>
      <c r="F64" s="740"/>
      <c r="G64" s="740"/>
      <c r="H64" s="740"/>
      <c r="I64" s="740"/>
      <c r="J64" s="740"/>
      <c r="K64" s="740"/>
      <c r="L64" s="740"/>
      <c r="M64" s="740"/>
      <c r="N64" s="740"/>
      <c r="O64" s="740"/>
      <c r="P64" s="740"/>
      <c r="Q64" s="740"/>
      <c r="R64" s="740"/>
      <c r="S64" s="740"/>
      <c r="T64" s="740"/>
      <c r="U64" s="740"/>
      <c r="V64" s="740"/>
      <c r="W64" s="740"/>
      <c r="X64" s="740"/>
      <c r="Y64" s="740"/>
      <c r="Z64" s="740"/>
      <c r="AA64" s="740"/>
      <c r="AB64" s="740"/>
      <c r="AC64" s="740"/>
      <c r="AD64" s="740"/>
      <c r="AE64" s="740"/>
      <c r="AF64" s="740"/>
      <c r="AG64" s="740"/>
      <c r="AH64" s="740"/>
      <c r="AI64" s="740"/>
      <c r="AJ64" s="740"/>
      <c r="AK64" s="740"/>
      <c r="AL64" s="740"/>
      <c r="AM64" s="740"/>
      <c r="AN64" s="740"/>
      <c r="AO64" s="740"/>
      <c r="AP64" s="740"/>
      <c r="AQ64" s="740"/>
      <c r="AR64" s="740"/>
      <c r="AS64" s="740"/>
      <c r="AT64" s="740"/>
      <c r="AU64" s="740"/>
      <c r="AV64" s="740"/>
      <c r="AW64" s="740"/>
      <c r="AX64" s="740"/>
      <c r="AY64" s="740"/>
      <c r="AZ64" s="740"/>
      <c r="BA64" s="740"/>
      <c r="BB64" s="740"/>
      <c r="BC64" s="740"/>
      <c r="BD64" s="740"/>
      <c r="BE64" s="740"/>
      <c r="BF64" s="740"/>
      <c r="BG64" s="740"/>
      <c r="BH64" s="740"/>
      <c r="BI64" s="740"/>
      <c r="BJ64" s="682"/>
      <c r="BK64" s="684"/>
      <c r="BL64" s="676"/>
      <c r="BM64" s="676"/>
    </row>
    <row r="65" spans="1:65" ht="31.2" x14ac:dyDescent="0.3">
      <c r="A65" s="469" t="str">
        <f>'PRESUPUESTO OFICIAL (Entidad)'!B70</f>
        <v>A11,1</v>
      </c>
      <c r="B65" s="470" t="str">
        <f>'PRESUPUESTO OFICIAL (Entidad)'!C70</f>
        <v xml:space="preserve">Suministro e instalación ventana en lamina C.20 con vidrio 4mm Inc. anticorrosivo + pintura y todo lo necesario para su correcto funcionamiento. </v>
      </c>
      <c r="C65" s="469" t="str">
        <f>'PRESUPUESTO OFICIAL (Entidad)'!D70</f>
        <v>M2</v>
      </c>
      <c r="D65" s="469">
        <f>'PRESUPUESTO OFICIAL (Entidad)'!E70</f>
        <v>11.51</v>
      </c>
      <c r="E65" s="730"/>
      <c r="F65" s="730"/>
      <c r="G65" s="730"/>
      <c r="H65" s="730"/>
      <c r="I65" s="730"/>
      <c r="J65" s="730"/>
      <c r="K65" s="730"/>
      <c r="L65" s="730"/>
      <c r="M65" s="730"/>
      <c r="N65" s="730"/>
      <c r="O65" s="730"/>
      <c r="P65" s="730"/>
      <c r="Q65" s="730"/>
      <c r="R65" s="730"/>
      <c r="S65" s="730"/>
      <c r="T65" s="730"/>
      <c r="U65" s="730"/>
      <c r="V65" s="730"/>
      <c r="W65" s="730"/>
      <c r="X65" s="730"/>
      <c r="Y65" s="730"/>
      <c r="Z65" s="730"/>
      <c r="AA65" s="730"/>
      <c r="AB65" s="730"/>
      <c r="AC65" s="730"/>
      <c r="AD65" s="730"/>
      <c r="AE65" s="730"/>
      <c r="AF65" s="730"/>
      <c r="AG65" s="730"/>
      <c r="AH65" s="730"/>
      <c r="AI65" s="730"/>
      <c r="AJ65" s="730"/>
      <c r="AK65" s="730"/>
      <c r="AL65" s="730"/>
      <c r="AM65" s="730"/>
      <c r="AN65" s="730"/>
      <c r="AO65" s="730"/>
      <c r="AP65" s="730"/>
      <c r="AQ65" s="730"/>
      <c r="AR65" s="730"/>
      <c r="AS65" s="730"/>
      <c r="AT65" s="730"/>
      <c r="AU65" s="730"/>
      <c r="AV65" s="739"/>
      <c r="AW65" s="739"/>
      <c r="AX65" s="739"/>
      <c r="AY65" s="739"/>
      <c r="AZ65" s="739"/>
      <c r="BA65" s="739"/>
      <c r="BB65" s="739"/>
      <c r="BC65" s="730"/>
      <c r="BD65" s="730"/>
      <c r="BE65" s="730"/>
      <c r="BF65" s="730"/>
      <c r="BG65" s="730"/>
      <c r="BH65" s="730"/>
      <c r="BI65" s="730"/>
      <c r="BJ65" s="248"/>
      <c r="BK65" s="62"/>
      <c r="BL65" s="52"/>
      <c r="BM65" s="52"/>
    </row>
    <row r="66" spans="1:65" ht="31.2" x14ac:dyDescent="0.3">
      <c r="A66" s="469" t="str">
        <f>'PRESUPUESTO OFICIAL (Entidad)'!B71</f>
        <v>A11,2</v>
      </c>
      <c r="B66" s="470" t="str">
        <f>'PRESUPUESTO OFICIAL (Entidad)'!C71</f>
        <v>Suministro e instalación de Marco y puerta metálicos lamina C. R. cal. 20, de 1,00x2.00 m. Incluye anticorrosivo y pintura.</v>
      </c>
      <c r="C66" s="469" t="str">
        <f>'PRESUPUESTO OFICIAL (Entidad)'!D71</f>
        <v>UND</v>
      </c>
      <c r="D66" s="469">
        <f>'PRESUPUESTO OFICIAL (Entidad)'!E71</f>
        <v>1</v>
      </c>
      <c r="E66" s="730"/>
      <c r="F66" s="730"/>
      <c r="G66" s="730"/>
      <c r="H66" s="730"/>
      <c r="I66" s="730"/>
      <c r="J66" s="730"/>
      <c r="K66" s="730"/>
      <c r="L66" s="730"/>
      <c r="M66" s="730"/>
      <c r="N66" s="730"/>
      <c r="O66" s="730"/>
      <c r="P66" s="730"/>
      <c r="Q66" s="730"/>
      <c r="R66" s="730"/>
      <c r="S66" s="730"/>
      <c r="T66" s="730"/>
      <c r="U66" s="730"/>
      <c r="V66" s="730"/>
      <c r="W66" s="730"/>
      <c r="X66" s="730"/>
      <c r="Y66" s="730"/>
      <c r="Z66" s="730"/>
      <c r="AA66" s="730"/>
      <c r="AB66" s="730"/>
      <c r="AC66" s="730"/>
      <c r="AD66" s="730"/>
      <c r="AE66" s="730"/>
      <c r="AF66" s="730"/>
      <c r="AG66" s="730"/>
      <c r="AH66" s="730"/>
      <c r="AI66" s="730"/>
      <c r="AJ66" s="730"/>
      <c r="AK66" s="730"/>
      <c r="AL66" s="730"/>
      <c r="AM66" s="730"/>
      <c r="AN66" s="730"/>
      <c r="AO66" s="730"/>
      <c r="AP66" s="730"/>
      <c r="AQ66" s="730"/>
      <c r="AR66" s="730"/>
      <c r="AS66" s="730"/>
      <c r="AT66" s="730"/>
      <c r="AU66" s="730"/>
      <c r="AV66" s="739"/>
      <c r="AW66" s="739"/>
      <c r="AX66" s="739"/>
      <c r="AY66" s="739"/>
      <c r="AZ66" s="739"/>
      <c r="BA66" s="739"/>
      <c r="BB66" s="739"/>
      <c r="BC66" s="730"/>
      <c r="BD66" s="730"/>
      <c r="BE66" s="730"/>
      <c r="BF66" s="730"/>
      <c r="BG66" s="730"/>
      <c r="BH66" s="730"/>
      <c r="BI66" s="730"/>
      <c r="BJ66" s="248"/>
      <c r="BK66" s="62"/>
      <c r="BL66" s="52"/>
      <c r="BM66" s="52"/>
    </row>
    <row r="67" spans="1:65" ht="31.2" x14ac:dyDescent="0.3">
      <c r="A67" s="469" t="str">
        <f>'PRESUPUESTO OFICIAL (Entidad)'!B72</f>
        <v>A11,3</v>
      </c>
      <c r="B67" s="470" t="str">
        <f>'PRESUPUESTO OFICIAL (Entidad)'!C72</f>
        <v>Suministro e instalación de Canal en lámina Galvanizada C. 20. Incluye refuerzos en angulo 1" x 1/8"+ pintura.</v>
      </c>
      <c r="C67" s="469" t="str">
        <f>'PRESUPUESTO OFICIAL (Entidad)'!D72</f>
        <v>ML</v>
      </c>
      <c r="D67" s="469">
        <f>'PRESUPUESTO OFICIAL (Entidad)'!E72</f>
        <v>6.4</v>
      </c>
      <c r="E67" s="730"/>
      <c r="F67" s="730"/>
      <c r="G67" s="730"/>
      <c r="H67" s="730"/>
      <c r="I67" s="730"/>
      <c r="J67" s="730"/>
      <c r="K67" s="730"/>
      <c r="L67" s="730"/>
      <c r="M67" s="730"/>
      <c r="N67" s="730"/>
      <c r="O67" s="730"/>
      <c r="P67" s="730"/>
      <c r="Q67" s="730"/>
      <c r="R67" s="730"/>
      <c r="S67" s="730"/>
      <c r="T67" s="730"/>
      <c r="U67" s="730"/>
      <c r="V67" s="730"/>
      <c r="W67" s="730"/>
      <c r="X67" s="730"/>
      <c r="Y67" s="730"/>
      <c r="Z67" s="730"/>
      <c r="AA67" s="730"/>
      <c r="AB67" s="730"/>
      <c r="AC67" s="730"/>
      <c r="AD67" s="730"/>
      <c r="AE67" s="730"/>
      <c r="AF67" s="730"/>
      <c r="AG67" s="730"/>
      <c r="AH67" s="730"/>
      <c r="AI67" s="730"/>
      <c r="AJ67" s="730"/>
      <c r="AK67" s="730"/>
      <c r="AL67" s="730"/>
      <c r="AM67" s="730"/>
      <c r="AN67" s="730"/>
      <c r="AO67" s="730"/>
      <c r="AP67" s="730"/>
      <c r="AQ67" s="730"/>
      <c r="AR67" s="730"/>
      <c r="AS67" s="730"/>
      <c r="AT67" s="730"/>
      <c r="AU67" s="730"/>
      <c r="AV67" s="739"/>
      <c r="AW67" s="739"/>
      <c r="AX67" s="739"/>
      <c r="AY67" s="739"/>
      <c r="AZ67" s="739"/>
      <c r="BA67" s="739"/>
      <c r="BB67" s="739"/>
      <c r="BC67" s="730"/>
      <c r="BD67" s="730"/>
      <c r="BE67" s="730"/>
      <c r="BF67" s="730"/>
      <c r="BG67" s="730"/>
      <c r="BH67" s="730"/>
      <c r="BI67" s="730"/>
      <c r="BJ67" s="248"/>
      <c r="BK67" s="62"/>
      <c r="BL67" s="52"/>
      <c r="BM67" s="52"/>
    </row>
    <row r="68" spans="1:65" ht="31.2" x14ac:dyDescent="0.3">
      <c r="A68" s="469" t="str">
        <f>'PRESUPUESTO OFICIAL (Entidad)'!B73</f>
        <v>A11,4</v>
      </c>
      <c r="B68" s="470" t="str">
        <f>'PRESUPUESTO OFICIAL (Entidad)'!C73</f>
        <v>Suministro e instalación de Marco y puerta metálicos lamina C. R. cal. 20, de 0,90x2.00 m. Incluye anticorrosivo y pintura.</v>
      </c>
      <c r="C68" s="469" t="str">
        <f>'PRESUPUESTO OFICIAL (Entidad)'!D73</f>
        <v>UND</v>
      </c>
      <c r="D68" s="469">
        <f>'PRESUPUESTO OFICIAL (Entidad)'!E73</f>
        <v>1</v>
      </c>
      <c r="E68" s="730"/>
      <c r="F68" s="730"/>
      <c r="G68" s="730"/>
      <c r="H68" s="730"/>
      <c r="I68" s="730"/>
      <c r="J68" s="730"/>
      <c r="K68" s="730"/>
      <c r="L68" s="730"/>
      <c r="M68" s="730"/>
      <c r="N68" s="730"/>
      <c r="O68" s="730"/>
      <c r="P68" s="730"/>
      <c r="Q68" s="730"/>
      <c r="R68" s="730"/>
      <c r="S68" s="730"/>
      <c r="T68" s="730"/>
      <c r="U68" s="730"/>
      <c r="V68" s="730"/>
      <c r="W68" s="730"/>
      <c r="X68" s="730"/>
      <c r="Y68" s="730"/>
      <c r="Z68" s="730"/>
      <c r="AA68" s="730"/>
      <c r="AB68" s="730"/>
      <c r="AC68" s="730"/>
      <c r="AD68" s="730"/>
      <c r="AE68" s="730"/>
      <c r="AF68" s="730"/>
      <c r="AG68" s="730"/>
      <c r="AH68" s="730"/>
      <c r="AI68" s="730"/>
      <c r="AJ68" s="730"/>
      <c r="AK68" s="730"/>
      <c r="AL68" s="730"/>
      <c r="AM68" s="730"/>
      <c r="AN68" s="730"/>
      <c r="AO68" s="730"/>
      <c r="AP68" s="730"/>
      <c r="AQ68" s="730"/>
      <c r="AR68" s="730"/>
      <c r="AS68" s="730"/>
      <c r="AT68" s="730"/>
      <c r="AU68" s="730"/>
      <c r="AV68" s="739"/>
      <c r="AW68" s="739"/>
      <c r="AX68" s="739"/>
      <c r="AY68" s="739"/>
      <c r="AZ68" s="739"/>
      <c r="BA68" s="739"/>
      <c r="BB68" s="739"/>
      <c r="BC68" s="730"/>
      <c r="BD68" s="730"/>
      <c r="BE68" s="730"/>
      <c r="BF68" s="730"/>
      <c r="BG68" s="730"/>
      <c r="BH68" s="730"/>
      <c r="BI68" s="730"/>
      <c r="BJ68" s="156"/>
      <c r="BK68" s="62"/>
      <c r="BL68" s="52"/>
      <c r="BM68" s="52"/>
    </row>
    <row r="69" spans="1:65" s="677" customFormat="1" x14ac:dyDescent="0.3">
      <c r="A69" s="673" t="str">
        <f>'PRESUPUESTO OFICIAL (Entidad)'!B74</f>
        <v>A12</v>
      </c>
      <c r="B69" s="674" t="str">
        <f>'PRESUPUESTO OFICIAL (Entidad)'!C74</f>
        <v>PINTURA GENERAL Y ACABADOS</v>
      </c>
      <c r="C69" s="673"/>
      <c r="D69" s="673"/>
      <c r="E69" s="740"/>
      <c r="F69" s="740"/>
      <c r="G69" s="740"/>
      <c r="H69" s="740"/>
      <c r="I69" s="740"/>
      <c r="J69" s="740"/>
      <c r="K69" s="740"/>
      <c r="L69" s="740"/>
      <c r="M69" s="740"/>
      <c r="N69" s="740"/>
      <c r="O69" s="740"/>
      <c r="P69" s="740"/>
      <c r="Q69" s="740"/>
      <c r="R69" s="740"/>
      <c r="S69" s="740"/>
      <c r="T69" s="740"/>
      <c r="U69" s="740"/>
      <c r="V69" s="740"/>
      <c r="W69" s="740"/>
      <c r="X69" s="740"/>
      <c r="Y69" s="740"/>
      <c r="Z69" s="740"/>
      <c r="AA69" s="740"/>
      <c r="AB69" s="740"/>
      <c r="AC69" s="740"/>
      <c r="AD69" s="740"/>
      <c r="AE69" s="740"/>
      <c r="AF69" s="740"/>
      <c r="AG69" s="740"/>
      <c r="AH69" s="740"/>
      <c r="AI69" s="740"/>
      <c r="AJ69" s="740"/>
      <c r="AK69" s="740"/>
      <c r="AL69" s="740"/>
      <c r="AM69" s="740"/>
      <c r="AN69" s="740"/>
      <c r="AO69" s="740"/>
      <c r="AP69" s="740"/>
      <c r="AQ69" s="740"/>
      <c r="AR69" s="740"/>
      <c r="AS69" s="740"/>
      <c r="AT69" s="740"/>
      <c r="AU69" s="740"/>
      <c r="AV69" s="740"/>
      <c r="AW69" s="740"/>
      <c r="AX69" s="740"/>
      <c r="AY69" s="740"/>
      <c r="AZ69" s="740"/>
      <c r="BA69" s="740"/>
      <c r="BB69" s="740"/>
      <c r="BC69" s="740"/>
      <c r="BD69" s="740"/>
      <c r="BE69" s="740"/>
      <c r="BF69" s="740"/>
      <c r="BG69" s="740"/>
      <c r="BH69" s="740"/>
      <c r="BI69" s="740"/>
      <c r="BJ69" s="682"/>
      <c r="BK69" s="683"/>
      <c r="BL69" s="676"/>
      <c r="BM69" s="676"/>
    </row>
    <row r="70" spans="1:65" x14ac:dyDescent="0.3">
      <c r="A70" s="469" t="str">
        <f>'PRESUPUESTO OFICIAL (Entidad)'!B75</f>
        <v>A12,1</v>
      </c>
      <c r="B70" s="470" t="str">
        <f>'PRESUPUESTO OFICIAL (Entidad)'!C75</f>
        <v>Suministro y aplicación de Estuco y pintura vinilo tipo1 tres manos sobre muros.</v>
      </c>
      <c r="C70" s="469" t="str">
        <f>'PRESUPUESTO OFICIAL (Entidad)'!D75</f>
        <v>M2</v>
      </c>
      <c r="D70" s="469">
        <f>'PRESUPUESTO OFICIAL (Entidad)'!E75</f>
        <v>121.51</v>
      </c>
      <c r="E70" s="730"/>
      <c r="F70" s="730"/>
      <c r="G70" s="730"/>
      <c r="H70" s="730"/>
      <c r="I70" s="730"/>
      <c r="J70" s="730"/>
      <c r="K70" s="730"/>
      <c r="L70" s="730"/>
      <c r="M70" s="730"/>
      <c r="N70" s="730"/>
      <c r="O70" s="730"/>
      <c r="P70" s="730"/>
      <c r="Q70" s="730"/>
      <c r="R70" s="730"/>
      <c r="S70" s="730"/>
      <c r="T70" s="730"/>
      <c r="U70" s="730"/>
      <c r="V70" s="730"/>
      <c r="W70" s="730"/>
      <c r="X70" s="730"/>
      <c r="Y70" s="730"/>
      <c r="Z70" s="730"/>
      <c r="AA70" s="730"/>
      <c r="AB70" s="730"/>
      <c r="AC70" s="730"/>
      <c r="AD70" s="730"/>
      <c r="AE70" s="730"/>
      <c r="AF70" s="730"/>
      <c r="AG70" s="730"/>
      <c r="AH70" s="730"/>
      <c r="AI70" s="730"/>
      <c r="AJ70" s="730"/>
      <c r="AK70" s="730"/>
      <c r="AL70" s="730"/>
      <c r="AM70" s="730"/>
      <c r="AN70" s="730"/>
      <c r="AO70" s="739"/>
      <c r="AP70" s="739"/>
      <c r="AQ70" s="739"/>
      <c r="AR70" s="739"/>
      <c r="AS70" s="739"/>
      <c r="AT70" s="739"/>
      <c r="AU70" s="739"/>
      <c r="AV70" s="739"/>
      <c r="AW70" s="739"/>
      <c r="AX70" s="739"/>
      <c r="AY70" s="739"/>
      <c r="AZ70" s="739"/>
      <c r="BA70" s="739"/>
      <c r="BB70" s="739"/>
      <c r="BC70" s="730"/>
      <c r="BD70" s="730"/>
      <c r="BE70" s="730"/>
      <c r="BF70" s="730"/>
      <c r="BG70" s="730"/>
      <c r="BH70" s="730"/>
      <c r="BI70" s="730"/>
      <c r="BJ70" s="248"/>
      <c r="BK70" s="62"/>
      <c r="BL70" s="52"/>
      <c r="BM70" s="52"/>
    </row>
    <row r="71" spans="1:65" x14ac:dyDescent="0.3">
      <c r="A71" s="469" t="str">
        <f>'PRESUPUESTO OFICIAL (Entidad)'!B76</f>
        <v>A12,2</v>
      </c>
      <c r="B71" s="470" t="str">
        <f>'PRESUPUESTO OFICIAL (Entidad)'!C76</f>
        <v>Suministrar y aplicar Esgrafiado en Graniplast.</v>
      </c>
      <c r="C71" s="469" t="str">
        <f>'PRESUPUESTO OFICIAL (Entidad)'!D76</f>
        <v>M2</v>
      </c>
      <c r="D71" s="469">
        <f>'PRESUPUESTO OFICIAL (Entidad)'!E76</f>
        <v>57.86</v>
      </c>
      <c r="E71" s="730"/>
      <c r="F71" s="730"/>
      <c r="G71" s="730"/>
      <c r="H71" s="730"/>
      <c r="I71" s="730"/>
      <c r="J71" s="730"/>
      <c r="K71" s="730"/>
      <c r="L71" s="730"/>
      <c r="M71" s="730"/>
      <c r="N71" s="730"/>
      <c r="O71" s="730"/>
      <c r="P71" s="730"/>
      <c r="Q71" s="730"/>
      <c r="R71" s="730"/>
      <c r="S71" s="730"/>
      <c r="T71" s="730"/>
      <c r="U71" s="730"/>
      <c r="V71" s="730"/>
      <c r="W71" s="730"/>
      <c r="X71" s="730"/>
      <c r="Y71" s="730"/>
      <c r="Z71" s="730"/>
      <c r="AA71" s="730"/>
      <c r="AB71" s="730"/>
      <c r="AC71" s="730"/>
      <c r="AD71" s="730"/>
      <c r="AE71" s="730"/>
      <c r="AF71" s="730"/>
      <c r="AG71" s="730"/>
      <c r="AH71" s="730"/>
      <c r="AI71" s="730"/>
      <c r="AJ71" s="730"/>
      <c r="AK71" s="730"/>
      <c r="AL71" s="730"/>
      <c r="AM71" s="730"/>
      <c r="AN71" s="730"/>
      <c r="AO71" s="739"/>
      <c r="AP71" s="739"/>
      <c r="AQ71" s="739"/>
      <c r="AR71" s="739"/>
      <c r="AS71" s="739"/>
      <c r="AT71" s="739"/>
      <c r="AU71" s="739"/>
      <c r="AV71" s="730"/>
      <c r="AW71" s="730"/>
      <c r="AX71" s="730"/>
      <c r="AY71" s="730"/>
      <c r="AZ71" s="730"/>
      <c r="BA71" s="730"/>
      <c r="BB71" s="730"/>
      <c r="BC71" s="730"/>
      <c r="BD71" s="730"/>
      <c r="BE71" s="730"/>
      <c r="BF71" s="730"/>
      <c r="BG71" s="730"/>
      <c r="BH71" s="730"/>
      <c r="BI71" s="730"/>
      <c r="BJ71" s="248"/>
      <c r="BK71" s="62"/>
      <c r="BL71" s="52"/>
      <c r="BM71" s="52"/>
    </row>
    <row r="72" spans="1:65" s="677" customFormat="1" x14ac:dyDescent="0.3">
      <c r="A72" s="673" t="str">
        <f>'PRESUPUESTO OFICIAL (Entidad)'!B77</f>
        <v>A13</v>
      </c>
      <c r="B72" s="674" t="str">
        <f>'PRESUPUESTO OFICIAL (Entidad)'!C77</f>
        <v>EXTERIORES Y OBRAS COMPLEMENTARIAS</v>
      </c>
      <c r="C72" s="673"/>
      <c r="D72" s="673"/>
      <c r="E72" s="770"/>
      <c r="F72" s="770"/>
      <c r="G72" s="770"/>
      <c r="H72" s="770"/>
      <c r="I72" s="770"/>
      <c r="J72" s="770"/>
      <c r="K72" s="770"/>
      <c r="L72" s="740"/>
      <c r="M72" s="740"/>
      <c r="N72" s="740"/>
      <c r="O72" s="740"/>
      <c r="P72" s="740"/>
      <c r="Q72" s="740"/>
      <c r="R72" s="740"/>
      <c r="S72" s="740"/>
      <c r="T72" s="740"/>
      <c r="U72" s="740"/>
      <c r="V72" s="740"/>
      <c r="W72" s="740"/>
      <c r="X72" s="740"/>
      <c r="Y72" s="740"/>
      <c r="Z72" s="740"/>
      <c r="AA72" s="740"/>
      <c r="AB72" s="740"/>
      <c r="AC72" s="740"/>
      <c r="AD72" s="740"/>
      <c r="AE72" s="740"/>
      <c r="AF72" s="740"/>
      <c r="AG72" s="740"/>
      <c r="AH72" s="740"/>
      <c r="AI72" s="740"/>
      <c r="AJ72" s="740"/>
      <c r="AK72" s="740"/>
      <c r="AL72" s="740"/>
      <c r="AM72" s="740"/>
      <c r="AN72" s="740"/>
      <c r="AO72" s="740"/>
      <c r="AP72" s="740"/>
      <c r="AQ72" s="740"/>
      <c r="AR72" s="740"/>
      <c r="AS72" s="740"/>
      <c r="AT72" s="740"/>
      <c r="AU72" s="740"/>
      <c r="AV72" s="740"/>
      <c r="AW72" s="740"/>
      <c r="AX72" s="740"/>
      <c r="AY72" s="740"/>
      <c r="AZ72" s="740"/>
      <c r="BA72" s="740"/>
      <c r="BB72" s="740"/>
      <c r="BC72" s="740"/>
      <c r="BD72" s="740"/>
      <c r="BE72" s="740"/>
      <c r="BF72" s="740"/>
      <c r="BG72" s="740"/>
      <c r="BH72" s="740"/>
      <c r="BI72" s="740"/>
      <c r="BJ72" s="682"/>
      <c r="BK72" s="683"/>
      <c r="BL72" s="676"/>
      <c r="BM72" s="676"/>
    </row>
    <row r="73" spans="1:65" x14ac:dyDescent="0.3">
      <c r="A73" s="469" t="str">
        <f>'PRESUPUESTO OFICIAL (Entidad)'!B78</f>
        <v>A13,1</v>
      </c>
      <c r="B73" s="470" t="str">
        <f>'PRESUPUESTO OFICIAL (Entidad)'!C78</f>
        <v>Sardinel en concreto  2500 psi.</v>
      </c>
      <c r="C73" s="469" t="str">
        <f>'PRESUPUESTO OFICIAL (Entidad)'!D78</f>
        <v>ML</v>
      </c>
      <c r="D73" s="469">
        <f>'PRESUPUESTO OFICIAL (Entidad)'!E78</f>
        <v>6</v>
      </c>
      <c r="E73" s="730"/>
      <c r="F73" s="730"/>
      <c r="G73" s="730"/>
      <c r="H73" s="730"/>
      <c r="I73" s="730"/>
      <c r="J73" s="730"/>
      <c r="K73" s="730"/>
      <c r="L73" s="730"/>
      <c r="M73" s="730"/>
      <c r="N73" s="730"/>
      <c r="O73" s="730"/>
      <c r="P73" s="730"/>
      <c r="Q73" s="730"/>
      <c r="R73" s="730"/>
      <c r="S73" s="730"/>
      <c r="T73" s="730"/>
      <c r="U73" s="730"/>
      <c r="V73" s="730"/>
      <c r="W73" s="730"/>
      <c r="X73" s="730"/>
      <c r="Y73" s="730"/>
      <c r="Z73" s="730"/>
      <c r="AA73" s="730"/>
      <c r="AB73" s="730"/>
      <c r="AC73" s="730"/>
      <c r="AD73" s="730"/>
      <c r="AE73" s="730"/>
      <c r="AF73" s="730"/>
      <c r="AG73" s="730"/>
      <c r="AH73" s="739"/>
      <c r="AI73" s="739"/>
      <c r="AJ73" s="739"/>
      <c r="AK73" s="739"/>
      <c r="AL73" s="739"/>
      <c r="AM73" s="739"/>
      <c r="AN73" s="739"/>
      <c r="AO73" s="730"/>
      <c r="AP73" s="730"/>
      <c r="AQ73" s="730"/>
      <c r="AR73" s="730"/>
      <c r="AS73" s="730"/>
      <c r="AT73" s="730"/>
      <c r="AU73" s="730"/>
      <c r="AV73" s="730"/>
      <c r="AW73" s="730"/>
      <c r="AX73" s="730"/>
      <c r="AY73" s="730"/>
      <c r="AZ73" s="730"/>
      <c r="BA73" s="730"/>
      <c r="BB73" s="730"/>
      <c r="BC73" s="730"/>
      <c r="BD73" s="730"/>
      <c r="BE73" s="730"/>
      <c r="BF73" s="730"/>
      <c r="BG73" s="730"/>
      <c r="BH73" s="730"/>
      <c r="BI73" s="730"/>
      <c r="BJ73" s="248"/>
      <c r="BK73" s="62"/>
      <c r="BL73" s="52"/>
      <c r="BM73" s="52"/>
    </row>
    <row r="74" spans="1:65" x14ac:dyDescent="0.3">
      <c r="A74" s="469" t="str">
        <f>'PRESUPUESTO OFICIAL (Entidad)'!B79</f>
        <v>A13,2</v>
      </c>
      <c r="B74" s="470" t="str">
        <f>'PRESUPUESTO OFICIAL (Entidad)'!C79</f>
        <v>Cuneta A.LL. en concreto de 3.000 PSI Tipo U.</v>
      </c>
      <c r="C74" s="469" t="str">
        <f>'PRESUPUESTO OFICIAL (Entidad)'!D79</f>
        <v>ML</v>
      </c>
      <c r="D74" s="469">
        <f>'PRESUPUESTO OFICIAL (Entidad)'!E79</f>
        <v>6</v>
      </c>
      <c r="E74" s="730"/>
      <c r="F74" s="730"/>
      <c r="G74" s="730"/>
      <c r="H74" s="730"/>
      <c r="I74" s="730"/>
      <c r="J74" s="730"/>
      <c r="K74" s="730"/>
      <c r="L74" s="730"/>
      <c r="M74" s="730"/>
      <c r="N74" s="730"/>
      <c r="O74" s="730"/>
      <c r="P74" s="730"/>
      <c r="Q74" s="730"/>
      <c r="R74" s="730"/>
      <c r="S74" s="730"/>
      <c r="T74" s="730"/>
      <c r="U74" s="730"/>
      <c r="V74" s="730"/>
      <c r="W74" s="730"/>
      <c r="X74" s="730"/>
      <c r="Y74" s="730"/>
      <c r="Z74" s="730"/>
      <c r="AA74" s="730"/>
      <c r="AB74" s="730"/>
      <c r="AC74" s="730"/>
      <c r="AD74" s="730"/>
      <c r="AE74" s="730"/>
      <c r="AF74" s="730"/>
      <c r="AG74" s="730"/>
      <c r="AH74" s="739"/>
      <c r="AI74" s="739"/>
      <c r="AJ74" s="739"/>
      <c r="AK74" s="739"/>
      <c r="AL74" s="739"/>
      <c r="AM74" s="739"/>
      <c r="AN74" s="739"/>
      <c r="AO74" s="730"/>
      <c r="AP74" s="730"/>
      <c r="AQ74" s="730"/>
      <c r="AR74" s="730"/>
      <c r="AS74" s="730"/>
      <c r="AT74" s="730"/>
      <c r="AU74" s="730"/>
      <c r="AV74" s="730"/>
      <c r="AW74" s="730"/>
      <c r="AX74" s="730"/>
      <c r="AY74" s="730"/>
      <c r="AZ74" s="730"/>
      <c r="BA74" s="730"/>
      <c r="BB74" s="730"/>
      <c r="BC74" s="730"/>
      <c r="BD74" s="730"/>
      <c r="BE74" s="730"/>
      <c r="BF74" s="730"/>
      <c r="BG74" s="730"/>
      <c r="BH74" s="730"/>
      <c r="BI74" s="730"/>
      <c r="BJ74" s="248"/>
      <c r="BK74" s="62"/>
      <c r="BL74" s="52"/>
      <c r="BM74" s="52"/>
    </row>
    <row r="75" spans="1:65" x14ac:dyDescent="0.3">
      <c r="A75" s="469" t="str">
        <f>'PRESUPUESTO OFICIAL (Entidad)'!B80</f>
        <v>A13,3</v>
      </c>
      <c r="B75" s="470" t="str">
        <f>'PRESUPUESTO OFICIAL (Entidad)'!C80</f>
        <v>Placa de piso para exteriores en concreto 2500 P.S.I., barrido y dilatado e=0.10 m.</v>
      </c>
      <c r="C75" s="469" t="str">
        <f>'PRESUPUESTO OFICIAL (Entidad)'!D80</f>
        <v>M2</v>
      </c>
      <c r="D75" s="469">
        <f>'PRESUPUESTO OFICIAL (Entidad)'!E80</f>
        <v>6</v>
      </c>
      <c r="E75" s="730"/>
      <c r="F75" s="730"/>
      <c r="G75" s="730"/>
      <c r="H75" s="730"/>
      <c r="I75" s="730"/>
      <c r="J75" s="730"/>
      <c r="K75" s="730"/>
      <c r="L75" s="730"/>
      <c r="M75" s="730"/>
      <c r="N75" s="730"/>
      <c r="O75" s="730"/>
      <c r="P75" s="730"/>
      <c r="Q75" s="730"/>
      <c r="R75" s="730"/>
      <c r="S75" s="730"/>
      <c r="T75" s="730"/>
      <c r="U75" s="730"/>
      <c r="V75" s="730"/>
      <c r="W75" s="730"/>
      <c r="X75" s="730"/>
      <c r="Y75" s="730"/>
      <c r="Z75" s="730"/>
      <c r="AA75" s="730"/>
      <c r="AB75" s="730"/>
      <c r="AC75" s="730"/>
      <c r="AD75" s="730"/>
      <c r="AE75" s="730"/>
      <c r="AF75" s="730"/>
      <c r="AG75" s="730"/>
      <c r="AH75" s="739"/>
      <c r="AI75" s="739"/>
      <c r="AJ75" s="739"/>
      <c r="AK75" s="739"/>
      <c r="AL75" s="739"/>
      <c r="AM75" s="739"/>
      <c r="AN75" s="739"/>
      <c r="AO75" s="730"/>
      <c r="AP75" s="730"/>
      <c r="AQ75" s="730"/>
      <c r="AR75" s="730"/>
      <c r="AS75" s="730"/>
      <c r="AT75" s="730"/>
      <c r="AU75" s="730"/>
      <c r="AV75" s="730"/>
      <c r="AW75" s="730"/>
      <c r="AX75" s="730"/>
      <c r="AY75" s="730"/>
      <c r="AZ75" s="730"/>
      <c r="BA75" s="730"/>
      <c r="BB75" s="730"/>
      <c r="BC75" s="730"/>
      <c r="BD75" s="730"/>
      <c r="BE75" s="730"/>
      <c r="BF75" s="730"/>
      <c r="BG75" s="730"/>
      <c r="BH75" s="730"/>
      <c r="BI75" s="730"/>
      <c r="BJ75" s="248"/>
      <c r="BK75" s="62"/>
      <c r="BL75" s="52"/>
      <c r="BM75" s="52"/>
    </row>
    <row r="76" spans="1:65" s="677" customFormat="1" x14ac:dyDescent="0.3">
      <c r="A76" s="673" t="str">
        <f>'PRESUPUESTO OFICIAL (Entidad)'!B81</f>
        <v>A14</v>
      </c>
      <c r="B76" s="674" t="str">
        <f>'PRESUPUESTO OFICIAL (Entidad)'!C81</f>
        <v>LIMPIEZA GENERAL</v>
      </c>
      <c r="C76" s="673"/>
      <c r="D76" s="673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0"/>
      <c r="S76" s="740"/>
      <c r="T76" s="740"/>
      <c r="U76" s="740"/>
      <c r="V76" s="740"/>
      <c r="W76" s="740"/>
      <c r="X76" s="740"/>
      <c r="Y76" s="740"/>
      <c r="Z76" s="740"/>
      <c r="AA76" s="740"/>
      <c r="AB76" s="740"/>
      <c r="AC76" s="740"/>
      <c r="AD76" s="740"/>
      <c r="AE76" s="740"/>
      <c r="AF76" s="740"/>
      <c r="AG76" s="740"/>
      <c r="AH76" s="740"/>
      <c r="AI76" s="740"/>
      <c r="AJ76" s="740"/>
      <c r="AK76" s="740"/>
      <c r="AL76" s="740"/>
      <c r="AM76" s="740"/>
      <c r="AN76" s="740"/>
      <c r="AO76" s="740"/>
      <c r="AP76" s="740"/>
      <c r="AQ76" s="740"/>
      <c r="AR76" s="740"/>
      <c r="AS76" s="740"/>
      <c r="AT76" s="740"/>
      <c r="AU76" s="740"/>
      <c r="AV76" s="740"/>
      <c r="AW76" s="740"/>
      <c r="AX76" s="740"/>
      <c r="AY76" s="740"/>
      <c r="AZ76" s="740"/>
      <c r="BA76" s="740"/>
      <c r="BB76" s="740"/>
      <c r="BC76" s="740"/>
      <c r="BD76" s="740"/>
      <c r="BE76" s="740"/>
      <c r="BF76" s="740"/>
      <c r="BG76" s="740"/>
      <c r="BH76" s="740"/>
      <c r="BI76" s="740"/>
      <c r="BJ76" s="682"/>
      <c r="BK76" s="683"/>
      <c r="BL76" s="676"/>
      <c r="BM76" s="676"/>
    </row>
    <row r="77" spans="1:65" x14ac:dyDescent="0.3">
      <c r="A77" s="469" t="str">
        <f>'PRESUPUESTO OFICIAL (Entidad)'!B82</f>
        <v>A14,1</v>
      </c>
      <c r="B77" s="470" t="str">
        <f>'PRESUPUESTO OFICIAL (Entidad)'!C82</f>
        <v>Aseo final de obra.</v>
      </c>
      <c r="C77" s="469" t="str">
        <f>'PRESUPUESTO OFICIAL (Entidad)'!D82</f>
        <v>M2</v>
      </c>
      <c r="D77" s="469">
        <f>'PRESUPUESTO OFICIAL (Entidad)'!E82</f>
        <v>66</v>
      </c>
      <c r="E77" s="730"/>
      <c r="F77" s="730"/>
      <c r="G77" s="730"/>
      <c r="H77" s="730"/>
      <c r="I77" s="730"/>
      <c r="J77" s="730"/>
      <c r="K77" s="730"/>
      <c r="L77" s="730"/>
      <c r="M77" s="730"/>
      <c r="N77" s="730"/>
      <c r="O77" s="730"/>
      <c r="P77" s="730"/>
      <c r="Q77" s="730"/>
      <c r="R77" s="730"/>
      <c r="S77" s="730"/>
      <c r="T77" s="730"/>
      <c r="U77" s="730"/>
      <c r="V77" s="730"/>
      <c r="W77" s="730"/>
      <c r="X77" s="730"/>
      <c r="Y77" s="730"/>
      <c r="Z77" s="730"/>
      <c r="AA77" s="730"/>
      <c r="AB77" s="730"/>
      <c r="AC77" s="730"/>
      <c r="AD77" s="730"/>
      <c r="AE77" s="730"/>
      <c r="AF77" s="730"/>
      <c r="AG77" s="730"/>
      <c r="AH77" s="730"/>
      <c r="AI77" s="730"/>
      <c r="AJ77" s="730"/>
      <c r="AK77" s="730"/>
      <c r="AL77" s="730"/>
      <c r="AM77" s="730"/>
      <c r="AN77" s="730"/>
      <c r="AO77" s="730"/>
      <c r="AP77" s="730"/>
      <c r="AQ77" s="730"/>
      <c r="AR77" s="730"/>
      <c r="AS77" s="730"/>
      <c r="AT77" s="730"/>
      <c r="AU77" s="730"/>
      <c r="AV77" s="730"/>
      <c r="AW77" s="730"/>
      <c r="AX77" s="730"/>
      <c r="AY77" s="730"/>
      <c r="AZ77" s="730"/>
      <c r="BA77" s="730"/>
      <c r="BB77" s="730"/>
      <c r="BC77" s="739"/>
      <c r="BD77" s="739"/>
      <c r="BE77" s="739"/>
      <c r="BF77" s="739"/>
      <c r="BG77" s="739"/>
      <c r="BH77" s="739"/>
      <c r="BI77" s="739"/>
      <c r="BJ77" s="248"/>
      <c r="BK77" s="62"/>
      <c r="BL77" s="52"/>
      <c r="BM77" s="52"/>
    </row>
    <row r="78" spans="1:65" ht="30.75" customHeight="1" x14ac:dyDescent="0.3">
      <c r="A78" s="471" t="s">
        <v>205</v>
      </c>
      <c r="B78" s="687" t="s">
        <v>613</v>
      </c>
      <c r="C78" s="305"/>
      <c r="D78" s="305"/>
      <c r="E78" s="687"/>
      <c r="F78" s="687"/>
      <c r="G78" s="687"/>
      <c r="H78" s="687"/>
      <c r="I78" s="687"/>
      <c r="J78" s="687"/>
      <c r="K78" s="687"/>
      <c r="L78" s="687"/>
      <c r="M78" s="687"/>
      <c r="N78" s="687"/>
      <c r="O78" s="687"/>
      <c r="P78" s="687"/>
      <c r="Q78" s="687"/>
      <c r="R78" s="687"/>
      <c r="S78" s="687"/>
      <c r="T78" s="687"/>
      <c r="U78" s="687"/>
      <c r="V78" s="687"/>
      <c r="W78" s="687"/>
      <c r="X78" s="687"/>
      <c r="Y78" s="687"/>
      <c r="Z78" s="687"/>
      <c r="AA78" s="689"/>
      <c r="AB78" s="689"/>
      <c r="AC78" s="689"/>
      <c r="AD78" s="689"/>
      <c r="AE78" s="690"/>
      <c r="AF78" s="688"/>
      <c r="AG78" s="688"/>
      <c r="AH78" s="688"/>
      <c r="AI78" s="688"/>
      <c r="AJ78" s="688"/>
      <c r="AK78" s="688"/>
      <c r="AL78" s="688"/>
      <c r="AM78" s="688"/>
      <c r="AN78" s="688"/>
      <c r="AO78" s="688"/>
      <c r="AP78" s="688"/>
      <c r="AQ78" s="688"/>
      <c r="AR78" s="688"/>
      <c r="AS78" s="688"/>
      <c r="AT78" s="688"/>
      <c r="AU78" s="688"/>
      <c r="AV78" s="688"/>
      <c r="AW78" s="688"/>
      <c r="AX78" s="688"/>
      <c r="AY78" s="688"/>
      <c r="AZ78" s="688"/>
      <c r="BA78" s="688"/>
      <c r="BB78" s="688"/>
      <c r="BC78" s="688"/>
      <c r="BD78" s="688"/>
      <c r="BE78" s="688"/>
      <c r="BF78" s="688"/>
      <c r="BG78" s="688"/>
      <c r="BH78" s="688"/>
      <c r="BI78" s="688"/>
      <c r="BJ78" s="688"/>
      <c r="BK78" s="688"/>
      <c r="BL78" s="688"/>
      <c r="BM78" s="688"/>
    </row>
    <row r="79" spans="1:65" s="697" customFormat="1" x14ac:dyDescent="0.3">
      <c r="A79" s="673" t="str">
        <f>'PRESUPUESTO OFICIAL (Entidad)'!B85</f>
        <v>B1</v>
      </c>
      <c r="B79" s="674" t="str">
        <f>'PRESUPUESTO OFICIAL (Entidad)'!C85</f>
        <v>PRELIMINARES</v>
      </c>
      <c r="C79" s="680"/>
      <c r="D79" s="680"/>
      <c r="E79" s="734"/>
      <c r="F79" s="734"/>
      <c r="G79" s="734"/>
      <c r="H79" s="734"/>
      <c r="I79" s="734"/>
      <c r="J79" s="734"/>
      <c r="K79" s="734"/>
      <c r="L79" s="734"/>
      <c r="M79" s="734"/>
      <c r="N79" s="734"/>
      <c r="O79" s="734"/>
      <c r="P79" s="734"/>
      <c r="Q79" s="734"/>
      <c r="R79" s="734"/>
      <c r="S79" s="734"/>
      <c r="T79" s="734"/>
      <c r="U79" s="734"/>
      <c r="V79" s="734"/>
      <c r="W79" s="734"/>
      <c r="X79" s="734"/>
      <c r="Y79" s="734"/>
      <c r="Z79" s="734"/>
      <c r="AA79" s="734"/>
      <c r="AB79" s="734"/>
      <c r="AC79" s="734"/>
      <c r="AD79" s="734"/>
      <c r="AE79" s="734"/>
      <c r="AF79" s="734"/>
      <c r="AG79" s="734"/>
      <c r="AH79" s="734"/>
      <c r="AI79" s="734"/>
      <c r="AJ79" s="734"/>
      <c r="AK79" s="734"/>
      <c r="AL79" s="734"/>
      <c r="AM79" s="734"/>
      <c r="AN79" s="734"/>
      <c r="AO79" s="734"/>
      <c r="AP79" s="734"/>
      <c r="AQ79" s="734"/>
      <c r="AR79" s="734"/>
      <c r="AS79" s="734"/>
      <c r="AT79" s="734"/>
      <c r="AU79" s="734"/>
      <c r="AV79" s="734"/>
      <c r="AW79" s="734"/>
      <c r="AX79" s="734"/>
      <c r="AY79" s="734"/>
      <c r="AZ79" s="734"/>
      <c r="BA79" s="734"/>
      <c r="BB79" s="734"/>
      <c r="BC79" s="734"/>
      <c r="BD79" s="734"/>
      <c r="BE79" s="734"/>
      <c r="BF79" s="734"/>
      <c r="BG79" s="734"/>
      <c r="BH79" s="734"/>
      <c r="BI79" s="734"/>
      <c r="BJ79" s="673"/>
      <c r="BK79" s="691"/>
      <c r="BL79" s="696"/>
      <c r="BM79" s="696"/>
    </row>
    <row r="80" spans="1:65" x14ac:dyDescent="0.3">
      <c r="A80" s="469" t="str">
        <f>'PRESUPUESTO OFICIAL (Entidad)'!B86</f>
        <v>B1,1</v>
      </c>
      <c r="B80" s="470" t="str">
        <f>'PRESUPUESTO OFICIAL (Entidad)'!C86</f>
        <v>Localización y Replanteo manual.</v>
      </c>
      <c r="C80" s="469" t="str">
        <f>'PRESUPUESTO OFICIAL (Entidad)'!D86</f>
        <v>M2</v>
      </c>
      <c r="D80" s="469">
        <f>'PRESUPUESTO OFICIAL (Entidad)'!E86</f>
        <v>24.25</v>
      </c>
      <c r="E80" s="739"/>
      <c r="F80" s="739"/>
      <c r="G80" s="739"/>
      <c r="H80" s="739"/>
      <c r="I80" s="739"/>
      <c r="J80" s="739"/>
      <c r="K80" s="739"/>
      <c r="L80" s="730"/>
      <c r="M80" s="730"/>
      <c r="N80" s="730"/>
      <c r="O80" s="730"/>
      <c r="P80" s="730"/>
      <c r="Q80" s="730"/>
      <c r="R80" s="730"/>
      <c r="S80" s="730"/>
      <c r="T80" s="730"/>
      <c r="U80" s="730"/>
      <c r="V80" s="730"/>
      <c r="W80" s="730"/>
      <c r="X80" s="730"/>
      <c r="Y80" s="730"/>
      <c r="Z80" s="730"/>
      <c r="AA80" s="730"/>
      <c r="AB80" s="730"/>
      <c r="AC80" s="730"/>
      <c r="AD80" s="730"/>
      <c r="AE80" s="730"/>
      <c r="AF80" s="730"/>
      <c r="AG80" s="730"/>
      <c r="AH80" s="730"/>
      <c r="AI80" s="730"/>
      <c r="AJ80" s="730"/>
      <c r="AK80" s="730"/>
      <c r="AL80" s="730"/>
      <c r="AM80" s="730"/>
      <c r="AN80" s="730"/>
      <c r="AO80" s="730"/>
      <c r="AP80" s="730"/>
      <c r="AQ80" s="730"/>
      <c r="AR80" s="730"/>
      <c r="AS80" s="730"/>
      <c r="AT80" s="730"/>
      <c r="AU80" s="730"/>
      <c r="AV80" s="730"/>
      <c r="AW80" s="730"/>
      <c r="AX80" s="730"/>
      <c r="AY80" s="730"/>
      <c r="AZ80" s="730"/>
      <c r="BA80" s="730"/>
      <c r="BB80" s="730"/>
      <c r="BC80" s="730"/>
      <c r="BD80" s="730"/>
      <c r="BE80" s="730"/>
      <c r="BF80" s="730"/>
      <c r="BG80" s="730"/>
      <c r="BH80" s="730"/>
      <c r="BI80" s="730"/>
      <c r="BJ80" s="366"/>
      <c r="BK80" s="4"/>
      <c r="BL80" s="52"/>
      <c r="BM80" s="52"/>
    </row>
    <row r="81" spans="1:65" x14ac:dyDescent="0.3">
      <c r="A81" s="469" t="str">
        <f>'PRESUPUESTO OFICIAL (Entidad)'!B87</f>
        <v>B1,2</v>
      </c>
      <c r="B81" s="470" t="str">
        <f>'PRESUPUESTO OFICIAL (Entidad)'!C87</f>
        <v>Descapote manual  e=20cm incluye retiro.</v>
      </c>
      <c r="C81" s="469" t="str">
        <f>'PRESUPUESTO OFICIAL (Entidad)'!D87</f>
        <v>M2</v>
      </c>
      <c r="D81" s="469">
        <f>'PRESUPUESTO OFICIAL (Entidad)'!E87</f>
        <v>24.25</v>
      </c>
      <c r="E81" s="730"/>
      <c r="F81" s="730"/>
      <c r="G81" s="730"/>
      <c r="H81" s="730"/>
      <c r="I81" s="730"/>
      <c r="J81" s="730"/>
      <c r="K81" s="730"/>
      <c r="L81" s="730"/>
      <c r="M81" s="730"/>
      <c r="N81" s="730"/>
      <c r="O81" s="730"/>
      <c r="P81" s="730"/>
      <c r="Q81" s="730"/>
      <c r="R81" s="730"/>
      <c r="S81" s="730"/>
      <c r="T81" s="730"/>
      <c r="U81" s="730"/>
      <c r="V81" s="730"/>
      <c r="W81" s="730"/>
      <c r="X81" s="730"/>
      <c r="Y81" s="730"/>
      <c r="Z81" s="730"/>
      <c r="AA81" s="730"/>
      <c r="AB81" s="730"/>
      <c r="AC81" s="730"/>
      <c r="AD81" s="730"/>
      <c r="AE81" s="730"/>
      <c r="AF81" s="730"/>
      <c r="AG81" s="730"/>
      <c r="AH81" s="730"/>
      <c r="AI81" s="730"/>
      <c r="AJ81" s="730"/>
      <c r="AK81" s="730"/>
      <c r="AL81" s="730"/>
      <c r="AM81" s="730"/>
      <c r="AN81" s="730"/>
      <c r="AO81" s="730"/>
      <c r="AP81" s="730"/>
      <c r="AQ81" s="730"/>
      <c r="AR81" s="730"/>
      <c r="AS81" s="730"/>
      <c r="AT81" s="730"/>
      <c r="AU81" s="730"/>
      <c r="AV81" s="730"/>
      <c r="AW81" s="730"/>
      <c r="AX81" s="730"/>
      <c r="AY81" s="730"/>
      <c r="AZ81" s="730"/>
      <c r="BA81" s="730"/>
      <c r="BB81" s="730"/>
      <c r="BC81" s="730"/>
      <c r="BD81" s="730"/>
      <c r="BE81" s="730"/>
      <c r="BF81" s="730"/>
      <c r="BG81" s="730"/>
      <c r="BH81" s="730"/>
      <c r="BI81" s="730"/>
      <c r="BJ81" s="366"/>
      <c r="BK81" s="4"/>
      <c r="BL81" s="52"/>
      <c r="BM81" s="52"/>
    </row>
    <row r="82" spans="1:65" s="697" customFormat="1" x14ac:dyDescent="0.3">
      <c r="A82" s="673" t="str">
        <f>'PRESUPUESTO OFICIAL (Entidad)'!B88</f>
        <v>B2</v>
      </c>
      <c r="B82" s="674" t="str">
        <f>'PRESUPUESTO OFICIAL (Entidad)'!C88</f>
        <v>MOVIMIENTO DE TIERRA</v>
      </c>
      <c r="C82" s="673"/>
      <c r="D82" s="673"/>
      <c r="E82" s="734"/>
      <c r="F82" s="734"/>
      <c r="G82" s="734"/>
      <c r="H82" s="734"/>
      <c r="I82" s="734"/>
      <c r="J82" s="734"/>
      <c r="K82" s="734"/>
      <c r="L82" s="734"/>
      <c r="M82" s="734"/>
      <c r="N82" s="734"/>
      <c r="O82" s="734"/>
      <c r="P82" s="734"/>
      <c r="Q82" s="734"/>
      <c r="R82" s="734"/>
      <c r="S82" s="734"/>
      <c r="T82" s="734"/>
      <c r="U82" s="734"/>
      <c r="V82" s="734"/>
      <c r="W82" s="734"/>
      <c r="X82" s="734"/>
      <c r="Y82" s="734"/>
      <c r="Z82" s="734"/>
      <c r="AA82" s="734"/>
      <c r="AB82" s="734"/>
      <c r="AC82" s="734"/>
      <c r="AD82" s="734"/>
      <c r="AE82" s="734"/>
      <c r="AF82" s="734"/>
      <c r="AG82" s="734"/>
      <c r="AH82" s="734"/>
      <c r="AI82" s="734"/>
      <c r="AJ82" s="734"/>
      <c r="AK82" s="734"/>
      <c r="AL82" s="734"/>
      <c r="AM82" s="734"/>
      <c r="AN82" s="734"/>
      <c r="AO82" s="734"/>
      <c r="AP82" s="734"/>
      <c r="AQ82" s="734"/>
      <c r="AR82" s="734"/>
      <c r="AS82" s="734"/>
      <c r="AT82" s="734"/>
      <c r="AU82" s="734"/>
      <c r="AV82" s="734"/>
      <c r="AW82" s="734"/>
      <c r="AX82" s="734"/>
      <c r="AY82" s="734"/>
      <c r="AZ82" s="734"/>
      <c r="BA82" s="734"/>
      <c r="BB82" s="734"/>
      <c r="BC82" s="734"/>
      <c r="BD82" s="734"/>
      <c r="BE82" s="734"/>
      <c r="BF82" s="734"/>
      <c r="BG82" s="734"/>
      <c r="BH82" s="734"/>
      <c r="BI82" s="734"/>
      <c r="BJ82" s="692"/>
      <c r="BK82" s="691"/>
      <c r="BL82" s="696"/>
      <c r="BM82" s="696"/>
    </row>
    <row r="83" spans="1:65" x14ac:dyDescent="0.3">
      <c r="A83" s="469" t="str">
        <f>'PRESUPUESTO OFICIAL (Entidad)'!B89</f>
        <v>B2,1</v>
      </c>
      <c r="B83" s="470" t="str">
        <f>'PRESUPUESTO OFICIAL (Entidad)'!C89</f>
        <v xml:space="preserve">Excavacion manual. Incluye retiro del material. </v>
      </c>
      <c r="C83" s="469" t="str">
        <f>'PRESUPUESTO OFICIAL (Entidad)'!D89</f>
        <v>M3</v>
      </c>
      <c r="D83" s="469">
        <f>'PRESUPUESTO OFICIAL (Entidad)'!E89</f>
        <v>0.31</v>
      </c>
      <c r="E83" s="739"/>
      <c r="F83" s="739"/>
      <c r="G83" s="739"/>
      <c r="H83" s="739"/>
      <c r="I83" s="739"/>
      <c r="J83" s="739"/>
      <c r="K83" s="739"/>
      <c r="L83" s="730"/>
      <c r="M83" s="730"/>
      <c r="N83" s="730"/>
      <c r="O83" s="730"/>
      <c r="P83" s="730"/>
      <c r="Q83" s="730"/>
      <c r="R83" s="730"/>
      <c r="S83" s="730"/>
      <c r="T83" s="730"/>
      <c r="U83" s="730"/>
      <c r="V83" s="730"/>
      <c r="W83" s="730"/>
      <c r="X83" s="730"/>
      <c r="Y83" s="730"/>
      <c r="Z83" s="730"/>
      <c r="AA83" s="730"/>
      <c r="AB83" s="730"/>
      <c r="AC83" s="730"/>
      <c r="AD83" s="730"/>
      <c r="AE83" s="730"/>
      <c r="AF83" s="730"/>
      <c r="AG83" s="730"/>
      <c r="AH83" s="730"/>
      <c r="AI83" s="730"/>
      <c r="AJ83" s="730"/>
      <c r="AK83" s="730"/>
      <c r="AL83" s="730"/>
      <c r="AM83" s="730"/>
      <c r="AN83" s="730"/>
      <c r="AO83" s="730"/>
      <c r="AP83" s="730"/>
      <c r="AQ83" s="730"/>
      <c r="AR83" s="730"/>
      <c r="AS83" s="730"/>
      <c r="AT83" s="730"/>
      <c r="AU83" s="730"/>
      <c r="AV83" s="730"/>
      <c r="AW83" s="730"/>
      <c r="AX83" s="730"/>
      <c r="AY83" s="730"/>
      <c r="AZ83" s="730"/>
      <c r="BA83" s="730"/>
      <c r="BB83" s="730"/>
      <c r="BC83" s="730"/>
      <c r="BD83" s="730"/>
      <c r="BE83" s="730"/>
      <c r="BF83" s="730"/>
      <c r="BG83" s="730"/>
      <c r="BH83" s="730"/>
      <c r="BI83" s="730"/>
      <c r="BJ83" s="248"/>
      <c r="BK83" s="62"/>
      <c r="BL83" s="52"/>
      <c r="BM83" s="52"/>
    </row>
    <row r="84" spans="1:65" s="697" customFormat="1" x14ac:dyDescent="0.3">
      <c r="A84" s="673" t="str">
        <f>'PRESUPUESTO OFICIAL (Entidad)'!B90</f>
        <v>B3</v>
      </c>
      <c r="B84" s="674" t="str">
        <f>'PRESUPUESTO OFICIAL (Entidad)'!C90</f>
        <v xml:space="preserve">CIMIENTOS </v>
      </c>
      <c r="C84" s="673"/>
      <c r="D84" s="673"/>
      <c r="E84" s="734"/>
      <c r="F84" s="734"/>
      <c r="G84" s="734"/>
      <c r="H84" s="734"/>
      <c r="I84" s="734"/>
      <c r="J84" s="734"/>
      <c r="K84" s="734"/>
      <c r="L84" s="734"/>
      <c r="M84" s="734"/>
      <c r="N84" s="734"/>
      <c r="O84" s="734"/>
      <c r="P84" s="734"/>
      <c r="Q84" s="734"/>
      <c r="R84" s="734"/>
      <c r="S84" s="734"/>
      <c r="T84" s="734"/>
      <c r="U84" s="734"/>
      <c r="V84" s="734"/>
      <c r="W84" s="734"/>
      <c r="X84" s="734"/>
      <c r="Y84" s="734"/>
      <c r="Z84" s="734"/>
      <c r="AA84" s="734"/>
      <c r="AB84" s="734"/>
      <c r="AC84" s="734"/>
      <c r="AD84" s="734"/>
      <c r="AE84" s="734"/>
      <c r="AF84" s="734"/>
      <c r="AG84" s="734"/>
      <c r="AH84" s="734"/>
      <c r="AI84" s="734"/>
      <c r="AJ84" s="734"/>
      <c r="AK84" s="734"/>
      <c r="AL84" s="734"/>
      <c r="AM84" s="734"/>
      <c r="AN84" s="734"/>
      <c r="AO84" s="734"/>
      <c r="AP84" s="734"/>
      <c r="AQ84" s="734"/>
      <c r="AR84" s="734"/>
      <c r="AS84" s="734"/>
      <c r="AT84" s="734"/>
      <c r="AU84" s="734"/>
      <c r="AV84" s="734"/>
      <c r="AW84" s="734"/>
      <c r="AX84" s="734"/>
      <c r="AY84" s="734"/>
      <c r="AZ84" s="734"/>
      <c r="BA84" s="734"/>
      <c r="BB84" s="734"/>
      <c r="BC84" s="734"/>
      <c r="BD84" s="734"/>
      <c r="BE84" s="734"/>
      <c r="BF84" s="734"/>
      <c r="BG84" s="734"/>
      <c r="BH84" s="734"/>
      <c r="BI84" s="734"/>
      <c r="BJ84" s="680"/>
      <c r="BK84" s="691"/>
      <c r="BL84" s="696"/>
      <c r="BM84" s="696"/>
    </row>
    <row r="85" spans="1:65" ht="31.2" x14ac:dyDescent="0.3">
      <c r="A85" s="469" t="str">
        <f>'PRESUPUESTO OFICIAL (Entidad)'!B91</f>
        <v>B3,1</v>
      </c>
      <c r="B85" s="470" t="str">
        <f>'PRESUPUESTO OFICIAL (Entidad)'!C91</f>
        <v>Viga de cimentacion en concreto de 3000 PSI (0,12 x 0,20 mts).Incluye acero de refuerzo de 60000 PSI. (4Ø3/8" refuerzo y E=Ø1/4" c/d. 0,10 m).</v>
      </c>
      <c r="C85" s="469" t="str">
        <f>'PRESUPUESTO OFICIAL (Entidad)'!D91</f>
        <v>ML</v>
      </c>
      <c r="D85" s="469">
        <f>'PRESUPUESTO OFICIAL (Entidad)'!E91</f>
        <v>13.08</v>
      </c>
      <c r="E85" s="730"/>
      <c r="F85" s="730"/>
      <c r="G85" s="730"/>
      <c r="H85" s="730"/>
      <c r="I85" s="730"/>
      <c r="J85" s="730"/>
      <c r="K85" s="730"/>
      <c r="L85" s="743"/>
      <c r="M85" s="743"/>
      <c r="N85" s="743"/>
      <c r="O85" s="743"/>
      <c r="P85" s="743"/>
      <c r="Q85" s="743"/>
      <c r="R85" s="743"/>
      <c r="S85" s="730"/>
      <c r="T85" s="730"/>
      <c r="U85" s="730"/>
      <c r="V85" s="730"/>
      <c r="W85" s="730"/>
      <c r="X85" s="730"/>
      <c r="Y85" s="730"/>
      <c r="Z85" s="730"/>
      <c r="AA85" s="730"/>
      <c r="AB85" s="730"/>
      <c r="AC85" s="730"/>
      <c r="AD85" s="730"/>
      <c r="AE85" s="730"/>
      <c r="AF85" s="730"/>
      <c r="AG85" s="730"/>
      <c r="AH85" s="730"/>
      <c r="AI85" s="730"/>
      <c r="AJ85" s="730"/>
      <c r="AK85" s="730"/>
      <c r="AL85" s="730"/>
      <c r="AM85" s="730"/>
      <c r="AN85" s="730"/>
      <c r="AO85" s="730"/>
      <c r="AP85" s="730"/>
      <c r="AQ85" s="730"/>
      <c r="AR85" s="730"/>
      <c r="AS85" s="730"/>
      <c r="AT85" s="730"/>
      <c r="AU85" s="730"/>
      <c r="AV85" s="730"/>
      <c r="AW85" s="730"/>
      <c r="AX85" s="730"/>
      <c r="AY85" s="730"/>
      <c r="AZ85" s="730"/>
      <c r="BA85" s="730"/>
      <c r="BB85" s="730"/>
      <c r="BC85" s="730"/>
      <c r="BD85" s="730"/>
      <c r="BE85" s="730"/>
      <c r="BF85" s="730"/>
      <c r="BG85" s="730"/>
      <c r="BH85" s="730"/>
      <c r="BI85" s="730"/>
      <c r="BJ85" s="248"/>
      <c r="BK85" s="62"/>
      <c r="BL85" s="52"/>
      <c r="BM85" s="52"/>
    </row>
    <row r="86" spans="1:65" s="697" customFormat="1" x14ac:dyDescent="0.3">
      <c r="A86" s="673" t="str">
        <f>'PRESUPUESTO OFICIAL (Entidad)'!B92</f>
        <v>B4</v>
      </c>
      <c r="B86" s="674" t="str">
        <f>'PRESUPUESTO OFICIAL (Entidad)'!C92</f>
        <v>MAMPOSTERIA</v>
      </c>
      <c r="C86" s="673"/>
      <c r="D86" s="673"/>
      <c r="E86" s="734"/>
      <c r="F86" s="734"/>
      <c r="G86" s="734"/>
      <c r="H86" s="734"/>
      <c r="I86" s="734"/>
      <c r="J86" s="734"/>
      <c r="K86" s="734"/>
      <c r="L86" s="734"/>
      <c r="M86" s="734"/>
      <c r="N86" s="734"/>
      <c r="O86" s="734"/>
      <c r="P86" s="734"/>
      <c r="Q86" s="734"/>
      <c r="R86" s="734"/>
      <c r="S86" s="734"/>
      <c r="T86" s="734"/>
      <c r="U86" s="734"/>
      <c r="V86" s="734"/>
      <c r="W86" s="734"/>
      <c r="X86" s="734"/>
      <c r="Y86" s="734"/>
      <c r="Z86" s="734"/>
      <c r="AA86" s="734"/>
      <c r="AB86" s="734"/>
      <c r="AC86" s="734"/>
      <c r="AD86" s="734"/>
      <c r="AE86" s="734"/>
      <c r="AF86" s="734"/>
      <c r="AG86" s="734"/>
      <c r="AH86" s="734"/>
      <c r="AI86" s="734"/>
      <c r="AJ86" s="734"/>
      <c r="AK86" s="734"/>
      <c r="AL86" s="734"/>
      <c r="AM86" s="734"/>
      <c r="AN86" s="734"/>
      <c r="AO86" s="734"/>
      <c r="AP86" s="734"/>
      <c r="AQ86" s="734"/>
      <c r="AR86" s="734"/>
      <c r="AS86" s="734"/>
      <c r="AT86" s="734"/>
      <c r="AU86" s="734"/>
      <c r="AV86" s="734"/>
      <c r="AW86" s="734"/>
      <c r="AX86" s="734"/>
      <c r="AY86" s="734"/>
      <c r="AZ86" s="734"/>
      <c r="BA86" s="734"/>
      <c r="BB86" s="734"/>
      <c r="BC86" s="734"/>
      <c r="BD86" s="734"/>
      <c r="BE86" s="734"/>
      <c r="BF86" s="734"/>
      <c r="BG86" s="734"/>
      <c r="BH86" s="734"/>
      <c r="BI86" s="734"/>
      <c r="BJ86" s="678"/>
      <c r="BK86" s="691"/>
      <c r="BL86" s="696"/>
      <c r="BM86" s="696"/>
    </row>
    <row r="87" spans="1:65" ht="31.2" x14ac:dyDescent="0.3">
      <c r="A87" s="469" t="str">
        <f>'PRESUPUESTO OFICIAL (Entidad)'!B93</f>
        <v>B4,1</v>
      </c>
      <c r="B87" s="470" t="str">
        <f>'PRESUPUESTO OFICIAL (Entidad)'!C93</f>
        <v>Construccion de Muro en Bloque de arcilla #5 (12x20x30cm) Incluye mortero de pega y bloque.</v>
      </c>
      <c r="C87" s="469" t="str">
        <f>'PRESUPUESTO OFICIAL (Entidad)'!D93</f>
        <v>M2</v>
      </c>
      <c r="D87" s="469">
        <f>'PRESUPUESTO OFICIAL (Entidad)'!E93</f>
        <v>21.35</v>
      </c>
      <c r="E87" s="730"/>
      <c r="F87" s="730"/>
      <c r="G87" s="730"/>
      <c r="H87" s="730"/>
      <c r="I87" s="730"/>
      <c r="J87" s="730"/>
      <c r="K87" s="730"/>
      <c r="L87" s="730"/>
      <c r="M87" s="730"/>
      <c r="N87" s="730"/>
      <c r="O87" s="730"/>
      <c r="P87" s="730"/>
      <c r="Q87" s="730"/>
      <c r="R87" s="730"/>
      <c r="S87" s="739"/>
      <c r="T87" s="739"/>
      <c r="U87" s="739"/>
      <c r="V87" s="739"/>
      <c r="W87" s="739"/>
      <c r="X87" s="739"/>
      <c r="Y87" s="739"/>
      <c r="Z87" s="739"/>
      <c r="AA87" s="730"/>
      <c r="AB87" s="730"/>
      <c r="AC87" s="730"/>
      <c r="AD87" s="730"/>
      <c r="AE87" s="730"/>
      <c r="AF87" s="730"/>
      <c r="AG87" s="730"/>
      <c r="AH87" s="730"/>
      <c r="AI87" s="730"/>
      <c r="AJ87" s="730"/>
      <c r="AK87" s="730"/>
      <c r="AL87" s="730"/>
      <c r="AM87" s="730"/>
      <c r="AN87" s="730"/>
      <c r="AO87" s="730"/>
      <c r="AP87" s="730"/>
      <c r="AQ87" s="730"/>
      <c r="AR87" s="730"/>
      <c r="AS87" s="730"/>
      <c r="AT87" s="730"/>
      <c r="AU87" s="730"/>
      <c r="AV87" s="730"/>
      <c r="AW87" s="730"/>
      <c r="AX87" s="730"/>
      <c r="AY87" s="730"/>
      <c r="AZ87" s="730"/>
      <c r="BA87" s="730"/>
      <c r="BB87" s="730"/>
      <c r="BC87" s="730"/>
      <c r="BD87" s="730"/>
      <c r="BE87" s="730"/>
      <c r="BF87" s="730"/>
      <c r="BG87" s="730"/>
      <c r="BH87" s="730"/>
      <c r="BI87" s="730"/>
      <c r="BJ87" s="248"/>
      <c r="BK87" s="62"/>
      <c r="BL87" s="52"/>
      <c r="BM87" s="52"/>
    </row>
    <row r="88" spans="1:65" s="697" customFormat="1" x14ac:dyDescent="0.3">
      <c r="A88" s="673" t="str">
        <f>'PRESUPUESTO OFICIAL (Entidad)'!B94</f>
        <v>B5</v>
      </c>
      <c r="B88" s="674" t="str">
        <f>'PRESUPUESTO OFICIAL (Entidad)'!C94</f>
        <v>ESTRUCTURA</v>
      </c>
      <c r="C88" s="673"/>
      <c r="D88" s="673"/>
      <c r="E88" s="734"/>
      <c r="F88" s="734"/>
      <c r="G88" s="734"/>
      <c r="H88" s="734"/>
      <c r="I88" s="734"/>
      <c r="J88" s="734"/>
      <c r="K88" s="734"/>
      <c r="L88" s="734"/>
      <c r="M88" s="734"/>
      <c r="N88" s="734"/>
      <c r="O88" s="734"/>
      <c r="P88" s="734"/>
      <c r="Q88" s="734"/>
      <c r="R88" s="734"/>
      <c r="S88" s="734"/>
      <c r="T88" s="734"/>
      <c r="U88" s="734"/>
      <c r="V88" s="734"/>
      <c r="W88" s="734"/>
      <c r="X88" s="734"/>
      <c r="Y88" s="734"/>
      <c r="Z88" s="734"/>
      <c r="AA88" s="734"/>
      <c r="AB88" s="734"/>
      <c r="AC88" s="734"/>
      <c r="AD88" s="734"/>
      <c r="AE88" s="734"/>
      <c r="AF88" s="734"/>
      <c r="AG88" s="734"/>
      <c r="AH88" s="734"/>
      <c r="AI88" s="734"/>
      <c r="AJ88" s="734"/>
      <c r="AK88" s="734"/>
      <c r="AL88" s="734"/>
      <c r="AM88" s="734"/>
      <c r="AN88" s="734"/>
      <c r="AO88" s="734"/>
      <c r="AP88" s="734"/>
      <c r="AQ88" s="734"/>
      <c r="AR88" s="734"/>
      <c r="AS88" s="734"/>
      <c r="AT88" s="734"/>
      <c r="AU88" s="734"/>
      <c r="AV88" s="734"/>
      <c r="AW88" s="734"/>
      <c r="AX88" s="734"/>
      <c r="AY88" s="734"/>
      <c r="AZ88" s="734"/>
      <c r="BA88" s="734"/>
      <c r="BB88" s="734"/>
      <c r="BC88" s="734"/>
      <c r="BD88" s="734"/>
      <c r="BE88" s="734"/>
      <c r="BF88" s="734"/>
      <c r="BG88" s="734"/>
      <c r="BH88" s="734"/>
      <c r="BI88" s="734"/>
      <c r="BJ88" s="678"/>
      <c r="BK88" s="691"/>
      <c r="BL88" s="696"/>
      <c r="BM88" s="696"/>
    </row>
    <row r="89" spans="1:65" ht="31.2" x14ac:dyDescent="0.3">
      <c r="A89" s="469" t="str">
        <f>'PRESUPUESTO OFICIAL (Entidad)'!B95</f>
        <v>B5,1</v>
      </c>
      <c r="B89" s="470" t="str">
        <f>'PRESUPUESTO OFICIAL (Entidad)'!C95</f>
        <v>Viga aerea en concreto de 3000 PSI (0,12 x 0,20 mts).Incluye acero de refuerzo de 60000 PSI. (4Ø3/8" refuerzo y E=Ø1/4" c/d. 0,10 m).</v>
      </c>
      <c r="C89" s="469" t="str">
        <f>'PRESUPUESTO OFICIAL (Entidad)'!D95</f>
        <v>ML</v>
      </c>
      <c r="D89" s="469">
        <f>'PRESUPUESTO OFICIAL (Entidad)'!E95</f>
        <v>13.08</v>
      </c>
      <c r="E89" s="730"/>
      <c r="F89" s="730"/>
      <c r="G89" s="730"/>
      <c r="H89" s="730"/>
      <c r="I89" s="730"/>
      <c r="J89" s="730"/>
      <c r="K89" s="730"/>
      <c r="L89" s="739"/>
      <c r="M89" s="739"/>
      <c r="N89" s="739"/>
      <c r="O89" s="739"/>
      <c r="P89" s="739"/>
      <c r="Q89" s="739"/>
      <c r="R89" s="739"/>
      <c r="S89" s="730"/>
      <c r="T89" s="730"/>
      <c r="U89" s="730"/>
      <c r="V89" s="730"/>
      <c r="W89" s="730"/>
      <c r="X89" s="730"/>
      <c r="Y89" s="730"/>
      <c r="Z89" s="730"/>
      <c r="AA89" s="730"/>
      <c r="AB89" s="730"/>
      <c r="AC89" s="730"/>
      <c r="AD89" s="730"/>
      <c r="AE89" s="730"/>
      <c r="AF89" s="730"/>
      <c r="AG89" s="730"/>
      <c r="AH89" s="730"/>
      <c r="AI89" s="730"/>
      <c r="AJ89" s="730"/>
      <c r="AK89" s="730"/>
      <c r="AL89" s="730"/>
      <c r="AM89" s="730"/>
      <c r="AN89" s="730"/>
      <c r="AO89" s="730"/>
      <c r="AP89" s="730"/>
      <c r="AQ89" s="730"/>
      <c r="AR89" s="730"/>
      <c r="AS89" s="730"/>
      <c r="AT89" s="730"/>
      <c r="AU89" s="730"/>
      <c r="AV89" s="730"/>
      <c r="AW89" s="730"/>
      <c r="AX89" s="730"/>
      <c r="AY89" s="730"/>
      <c r="AZ89" s="730"/>
      <c r="BA89" s="730"/>
      <c r="BB89" s="730"/>
      <c r="BC89" s="730"/>
      <c r="BD89" s="730"/>
      <c r="BE89" s="730"/>
      <c r="BF89" s="730"/>
      <c r="BG89" s="730"/>
      <c r="BH89" s="730"/>
      <c r="BI89" s="730"/>
      <c r="BJ89" s="248"/>
      <c r="BK89" s="62"/>
      <c r="BL89" s="52"/>
      <c r="BM89" s="52"/>
    </row>
    <row r="90" spans="1:65" ht="31.2" x14ac:dyDescent="0.3">
      <c r="A90" s="469" t="str">
        <f>'PRESUPUESTO OFICIAL (Entidad)'!B96</f>
        <v>B5,2</v>
      </c>
      <c r="B90" s="470" t="str">
        <f>'PRESUPUESTO OFICIAL (Entidad)'!C96</f>
        <v>Columnas concreto de 3000 PSI (0,12 x 0,20 mts).Incluye acero de refuerzo de 60000 PSI. (4Ø3/8" refuerzo y E=Ø1/4" c/d. 0,10 m).</v>
      </c>
      <c r="C90" s="469" t="str">
        <f>'PRESUPUESTO OFICIAL (Entidad)'!D96</f>
        <v>ML</v>
      </c>
      <c r="D90" s="469">
        <f>'PRESUPUESTO OFICIAL (Entidad)'!E96</f>
        <v>22</v>
      </c>
      <c r="E90" s="730"/>
      <c r="F90" s="730"/>
      <c r="G90" s="730"/>
      <c r="H90" s="730"/>
      <c r="I90" s="730"/>
      <c r="J90" s="730"/>
      <c r="K90" s="730"/>
      <c r="L90" s="739"/>
      <c r="M90" s="739"/>
      <c r="N90" s="739"/>
      <c r="O90" s="739"/>
      <c r="P90" s="739"/>
      <c r="Q90" s="739"/>
      <c r="R90" s="739"/>
      <c r="S90" s="730"/>
      <c r="T90" s="730"/>
      <c r="U90" s="730"/>
      <c r="V90" s="730"/>
      <c r="W90" s="730"/>
      <c r="X90" s="730"/>
      <c r="Y90" s="730"/>
      <c r="Z90" s="730"/>
      <c r="AA90" s="730"/>
      <c r="AB90" s="730"/>
      <c r="AC90" s="730"/>
      <c r="AD90" s="730"/>
      <c r="AE90" s="730"/>
      <c r="AF90" s="730"/>
      <c r="AG90" s="730"/>
      <c r="AH90" s="730"/>
      <c r="AI90" s="730"/>
      <c r="AJ90" s="730"/>
      <c r="AK90" s="730"/>
      <c r="AL90" s="730"/>
      <c r="AM90" s="730"/>
      <c r="AN90" s="730"/>
      <c r="AO90" s="730"/>
      <c r="AP90" s="730"/>
      <c r="AQ90" s="730"/>
      <c r="AR90" s="730"/>
      <c r="AS90" s="730"/>
      <c r="AT90" s="730"/>
      <c r="AU90" s="730"/>
      <c r="AV90" s="730"/>
      <c r="AW90" s="730"/>
      <c r="AX90" s="730"/>
      <c r="AY90" s="730"/>
      <c r="AZ90" s="730"/>
      <c r="BA90" s="730"/>
      <c r="BB90" s="730"/>
      <c r="BC90" s="730"/>
      <c r="BD90" s="730"/>
      <c r="BE90" s="730"/>
      <c r="BF90" s="730"/>
      <c r="BG90" s="730"/>
      <c r="BH90" s="730"/>
      <c r="BI90" s="730"/>
      <c r="BJ90" s="248"/>
      <c r="BK90" s="62"/>
      <c r="BL90" s="52"/>
      <c r="BM90" s="52"/>
    </row>
    <row r="91" spans="1:65" x14ac:dyDescent="0.3">
      <c r="A91" s="469" t="str">
        <f>'PRESUPUESTO OFICIAL (Entidad)'!B97</f>
        <v>B5,3</v>
      </c>
      <c r="B91" s="470" t="str">
        <f>'PRESUPUESTO OFICIAL (Entidad)'!C97</f>
        <v>Lavamanos en concreto pulido.</v>
      </c>
      <c r="C91" s="469" t="str">
        <f>'PRESUPUESTO OFICIAL (Entidad)'!D97</f>
        <v>ML</v>
      </c>
      <c r="D91" s="469">
        <f>'PRESUPUESTO OFICIAL (Entidad)'!E97</f>
        <v>3.3</v>
      </c>
      <c r="E91" s="730"/>
      <c r="F91" s="730"/>
      <c r="G91" s="730"/>
      <c r="H91" s="730"/>
      <c r="I91" s="730"/>
      <c r="J91" s="730"/>
      <c r="K91" s="730"/>
      <c r="L91" s="739"/>
      <c r="M91" s="739"/>
      <c r="N91" s="739"/>
      <c r="O91" s="739"/>
      <c r="P91" s="739"/>
      <c r="Q91" s="739"/>
      <c r="R91" s="739"/>
      <c r="S91" s="730"/>
      <c r="T91" s="730"/>
      <c r="U91" s="730"/>
      <c r="V91" s="730"/>
      <c r="W91" s="730"/>
      <c r="X91" s="730"/>
      <c r="Y91" s="730"/>
      <c r="Z91" s="730"/>
      <c r="AA91" s="730"/>
      <c r="AB91" s="730"/>
      <c r="AC91" s="730"/>
      <c r="AD91" s="730"/>
      <c r="AE91" s="730"/>
      <c r="AF91" s="730"/>
      <c r="AG91" s="730"/>
      <c r="AH91" s="730"/>
      <c r="AI91" s="730"/>
      <c r="AJ91" s="730"/>
      <c r="AK91" s="730"/>
      <c r="AL91" s="730"/>
      <c r="AM91" s="730"/>
      <c r="AN91" s="730"/>
      <c r="AO91" s="730"/>
      <c r="AP91" s="730"/>
      <c r="AQ91" s="730"/>
      <c r="AR91" s="730"/>
      <c r="AS91" s="730"/>
      <c r="AT91" s="730"/>
      <c r="AU91" s="730"/>
      <c r="AV91" s="730"/>
      <c r="AW91" s="730"/>
      <c r="AX91" s="730"/>
      <c r="AY91" s="730"/>
      <c r="AZ91" s="730"/>
      <c r="BA91" s="730"/>
      <c r="BB91" s="730"/>
      <c r="BC91" s="730"/>
      <c r="BD91" s="730"/>
      <c r="BE91" s="730"/>
      <c r="BF91" s="730"/>
      <c r="BG91" s="730"/>
      <c r="BH91" s="730"/>
      <c r="BI91" s="730"/>
      <c r="BJ91" s="248"/>
      <c r="BK91" s="62"/>
      <c r="BL91" s="52"/>
      <c r="BM91" s="52"/>
    </row>
    <row r="92" spans="1:65" x14ac:dyDescent="0.3">
      <c r="A92" s="469" t="str">
        <f>'PRESUPUESTO OFICIAL (Entidad)'!B98</f>
        <v>B5,4</v>
      </c>
      <c r="B92" s="470" t="str">
        <f>'PRESUPUESTO OFICIAL (Entidad)'!C98</f>
        <v>Construccion de Placa aerea en concreto armado de 3000 psi e = 10 cm.</v>
      </c>
      <c r="C92" s="469" t="str">
        <f>'PRESUPUESTO OFICIAL (Entidad)'!D98</f>
        <v>M2</v>
      </c>
      <c r="D92" s="469">
        <f>'PRESUPUESTO OFICIAL (Entidad)'!E98</f>
        <v>16.940000000000001</v>
      </c>
      <c r="E92" s="730"/>
      <c r="F92" s="730"/>
      <c r="G92" s="730"/>
      <c r="H92" s="730"/>
      <c r="I92" s="730"/>
      <c r="J92" s="730"/>
      <c r="K92" s="730"/>
      <c r="L92" s="730"/>
      <c r="M92" s="730"/>
      <c r="N92" s="730"/>
      <c r="O92" s="730"/>
      <c r="P92" s="730"/>
      <c r="Q92" s="730"/>
      <c r="R92" s="730"/>
      <c r="S92" s="739"/>
      <c r="T92" s="739"/>
      <c r="U92" s="739"/>
      <c r="V92" s="739"/>
      <c r="W92" s="739"/>
      <c r="X92" s="739"/>
      <c r="Y92" s="739"/>
      <c r="Z92" s="739"/>
      <c r="AA92" s="730"/>
      <c r="AB92" s="730"/>
      <c r="AC92" s="730"/>
      <c r="AD92" s="730"/>
      <c r="AE92" s="730"/>
      <c r="AF92" s="730"/>
      <c r="AG92" s="730"/>
      <c r="AH92" s="730"/>
      <c r="AI92" s="730"/>
      <c r="AJ92" s="730"/>
      <c r="AK92" s="730"/>
      <c r="AL92" s="730"/>
      <c r="AM92" s="730"/>
      <c r="AN92" s="730"/>
      <c r="AO92" s="730"/>
      <c r="AP92" s="730"/>
      <c r="AQ92" s="730"/>
      <c r="AR92" s="730"/>
      <c r="AS92" s="730"/>
      <c r="AT92" s="730"/>
      <c r="AU92" s="730"/>
      <c r="AV92" s="730"/>
      <c r="AW92" s="730"/>
      <c r="AX92" s="730"/>
      <c r="AY92" s="730"/>
      <c r="AZ92" s="730"/>
      <c r="BA92" s="730"/>
      <c r="BB92" s="730"/>
      <c r="BC92" s="730"/>
      <c r="BD92" s="730"/>
      <c r="BE92" s="730"/>
      <c r="BF92" s="730"/>
      <c r="BG92" s="730"/>
      <c r="BH92" s="730"/>
      <c r="BI92" s="730"/>
      <c r="BJ92" s="248"/>
      <c r="BK92" s="62"/>
      <c r="BL92" s="52"/>
      <c r="BM92" s="52"/>
    </row>
    <row r="93" spans="1:65" s="697" customFormat="1" x14ac:dyDescent="0.3">
      <c r="A93" s="673" t="str">
        <f>'PRESUPUESTO OFICIAL (Entidad)'!B99</f>
        <v>B6</v>
      </c>
      <c r="B93" s="674" t="str">
        <f>'PRESUPUESTO OFICIAL (Entidad)'!C99</f>
        <v>INSTALACIONES ELECTRICAS</v>
      </c>
      <c r="C93" s="673"/>
      <c r="D93" s="673"/>
      <c r="E93" s="734"/>
      <c r="F93" s="734"/>
      <c r="G93" s="734"/>
      <c r="H93" s="734"/>
      <c r="I93" s="734"/>
      <c r="J93" s="734"/>
      <c r="K93" s="734"/>
      <c r="L93" s="734"/>
      <c r="M93" s="734"/>
      <c r="N93" s="734"/>
      <c r="O93" s="734"/>
      <c r="P93" s="734"/>
      <c r="Q93" s="734"/>
      <c r="R93" s="734"/>
      <c r="S93" s="734"/>
      <c r="T93" s="734"/>
      <c r="U93" s="734"/>
      <c r="V93" s="734"/>
      <c r="W93" s="734"/>
      <c r="X93" s="734"/>
      <c r="Y93" s="734"/>
      <c r="Z93" s="734"/>
      <c r="AA93" s="734"/>
      <c r="AB93" s="734"/>
      <c r="AC93" s="734"/>
      <c r="AD93" s="734"/>
      <c r="AE93" s="734"/>
      <c r="AF93" s="734"/>
      <c r="AG93" s="734"/>
      <c r="AH93" s="734"/>
      <c r="AI93" s="734"/>
      <c r="AJ93" s="734"/>
      <c r="AK93" s="734"/>
      <c r="AL93" s="734"/>
      <c r="AM93" s="734"/>
      <c r="AN93" s="734"/>
      <c r="AO93" s="734"/>
      <c r="AP93" s="734"/>
      <c r="AQ93" s="734"/>
      <c r="AR93" s="734"/>
      <c r="AS93" s="734"/>
      <c r="AT93" s="734"/>
      <c r="AU93" s="734"/>
      <c r="AV93" s="734"/>
      <c r="AW93" s="734"/>
      <c r="AX93" s="734"/>
      <c r="AY93" s="734"/>
      <c r="AZ93" s="734"/>
      <c r="BA93" s="734"/>
      <c r="BB93" s="734"/>
      <c r="BC93" s="734"/>
      <c r="BD93" s="734"/>
      <c r="BE93" s="734"/>
      <c r="BF93" s="734"/>
      <c r="BG93" s="734"/>
      <c r="BH93" s="734"/>
      <c r="BI93" s="734"/>
      <c r="BJ93" s="678"/>
      <c r="BK93" s="693"/>
      <c r="BL93" s="696"/>
      <c r="BM93" s="696"/>
    </row>
    <row r="94" spans="1:65" x14ac:dyDescent="0.3">
      <c r="A94" s="469" t="str">
        <f>'PRESUPUESTO OFICIAL (Entidad)'!B100</f>
        <v>B6,1</v>
      </c>
      <c r="B94" s="470" t="str">
        <f>'PRESUPUESTO OFICIAL (Entidad)'!C100</f>
        <v>Suministro e instalación de Salida lampara incandesente, incluye bombillo.</v>
      </c>
      <c r="C94" s="469" t="str">
        <f>'PRESUPUESTO OFICIAL (Entidad)'!D100</f>
        <v>UND</v>
      </c>
      <c r="D94" s="469">
        <f>'PRESUPUESTO OFICIAL (Entidad)'!E100</f>
        <v>4</v>
      </c>
      <c r="E94" s="730"/>
      <c r="F94" s="730"/>
      <c r="G94" s="730"/>
      <c r="H94" s="730"/>
      <c r="I94" s="730"/>
      <c r="J94" s="730"/>
      <c r="K94" s="730"/>
      <c r="L94" s="730"/>
      <c r="M94" s="730"/>
      <c r="N94" s="730"/>
      <c r="O94" s="730"/>
      <c r="P94" s="730"/>
      <c r="Q94" s="730"/>
      <c r="R94" s="730"/>
      <c r="S94" s="739"/>
      <c r="T94" s="739"/>
      <c r="U94" s="739"/>
      <c r="V94" s="739"/>
      <c r="W94" s="739"/>
      <c r="X94" s="739"/>
      <c r="Y94" s="739"/>
      <c r="Z94" s="739"/>
      <c r="AA94" s="730"/>
      <c r="AB94" s="730"/>
      <c r="AC94" s="730"/>
      <c r="AD94" s="730"/>
      <c r="AE94" s="730"/>
      <c r="AF94" s="730"/>
      <c r="AG94" s="730"/>
      <c r="AH94" s="730"/>
      <c r="AI94" s="730"/>
      <c r="AJ94" s="730"/>
      <c r="AK94" s="730"/>
      <c r="AL94" s="730"/>
      <c r="AM94" s="730"/>
      <c r="AN94" s="730"/>
      <c r="AO94" s="730"/>
      <c r="AP94" s="730"/>
      <c r="AQ94" s="730"/>
      <c r="AR94" s="730"/>
      <c r="AS94" s="730"/>
      <c r="AT94" s="730"/>
      <c r="AU94" s="730"/>
      <c r="AV94" s="730"/>
      <c r="AW94" s="730"/>
      <c r="AX94" s="730"/>
      <c r="AY94" s="730"/>
      <c r="AZ94" s="730"/>
      <c r="BA94" s="730"/>
      <c r="BB94" s="730"/>
      <c r="BC94" s="730"/>
      <c r="BD94" s="730"/>
      <c r="BE94" s="730"/>
      <c r="BF94" s="730"/>
      <c r="BG94" s="730"/>
      <c r="BH94" s="730"/>
      <c r="BI94" s="730"/>
      <c r="BJ94" s="672"/>
      <c r="BK94" s="4"/>
      <c r="BL94" s="52"/>
      <c r="BM94" s="52"/>
    </row>
    <row r="95" spans="1:65" x14ac:dyDescent="0.3">
      <c r="A95" s="469" t="str">
        <f>'PRESUPUESTO OFICIAL (Entidad)'!B101</f>
        <v>B6,2</v>
      </c>
      <c r="B95" s="470" t="str">
        <f>'PRESUPUESTO OFICIAL (Entidad)'!C101</f>
        <v xml:space="preserve">Suministro e instalación de Salida Interruptor Doble 110 v. </v>
      </c>
      <c r="C95" s="469" t="str">
        <f>'PRESUPUESTO OFICIAL (Entidad)'!D101</f>
        <v>UND</v>
      </c>
      <c r="D95" s="469">
        <f>'PRESUPUESTO OFICIAL (Entidad)'!E101</f>
        <v>2</v>
      </c>
      <c r="E95" s="730"/>
      <c r="F95" s="730"/>
      <c r="G95" s="730"/>
      <c r="H95" s="730"/>
      <c r="I95" s="730"/>
      <c r="J95" s="730"/>
      <c r="K95" s="730"/>
      <c r="L95" s="730"/>
      <c r="M95" s="730"/>
      <c r="N95" s="730"/>
      <c r="O95" s="730"/>
      <c r="P95" s="730"/>
      <c r="Q95" s="730"/>
      <c r="R95" s="730"/>
      <c r="S95" s="739"/>
      <c r="T95" s="739"/>
      <c r="U95" s="739"/>
      <c r="V95" s="739"/>
      <c r="W95" s="739"/>
      <c r="X95" s="739"/>
      <c r="Y95" s="739"/>
      <c r="Z95" s="739"/>
      <c r="AA95" s="730"/>
      <c r="AB95" s="730"/>
      <c r="AC95" s="730"/>
      <c r="AD95" s="730"/>
      <c r="AE95" s="730"/>
      <c r="AF95" s="730"/>
      <c r="AG95" s="730"/>
      <c r="AH95" s="730"/>
      <c r="AI95" s="730"/>
      <c r="AJ95" s="730"/>
      <c r="AK95" s="730"/>
      <c r="AL95" s="730"/>
      <c r="AM95" s="730"/>
      <c r="AN95" s="730"/>
      <c r="AO95" s="730"/>
      <c r="AP95" s="730"/>
      <c r="AQ95" s="730"/>
      <c r="AR95" s="730"/>
      <c r="AS95" s="730"/>
      <c r="AT95" s="730"/>
      <c r="AU95" s="730"/>
      <c r="AV95" s="730"/>
      <c r="AW95" s="730"/>
      <c r="AX95" s="730"/>
      <c r="AY95" s="730"/>
      <c r="AZ95" s="730"/>
      <c r="BA95" s="730"/>
      <c r="BB95" s="730"/>
      <c r="BC95" s="730"/>
      <c r="BD95" s="730"/>
      <c r="BE95" s="730"/>
      <c r="BF95" s="730"/>
      <c r="BG95" s="730"/>
      <c r="BH95" s="730"/>
      <c r="BI95" s="730"/>
      <c r="BJ95" s="672"/>
      <c r="BK95" s="4"/>
      <c r="BL95" s="52"/>
      <c r="BM95" s="52"/>
    </row>
    <row r="96" spans="1:65" x14ac:dyDescent="0.3">
      <c r="A96" s="469" t="str">
        <f>'PRESUPUESTO OFICIAL (Entidad)'!B102</f>
        <v>B6,3</v>
      </c>
      <c r="B96" s="470" t="str">
        <f>'PRESUPUESTO OFICIAL (Entidad)'!C102</f>
        <v>Suministro e instalacion de tablero monofase 2 circuitos.</v>
      </c>
      <c r="C96" s="469" t="str">
        <f>'PRESUPUESTO OFICIAL (Entidad)'!D102</f>
        <v>UND</v>
      </c>
      <c r="D96" s="469">
        <f>'PRESUPUESTO OFICIAL (Entidad)'!E102</f>
        <v>1</v>
      </c>
      <c r="E96" s="730"/>
      <c r="F96" s="730"/>
      <c r="G96" s="730"/>
      <c r="H96" s="730"/>
      <c r="I96" s="730"/>
      <c r="J96" s="730"/>
      <c r="K96" s="730"/>
      <c r="L96" s="730"/>
      <c r="M96" s="730"/>
      <c r="N96" s="730"/>
      <c r="O96" s="730"/>
      <c r="P96" s="730"/>
      <c r="Q96" s="730"/>
      <c r="R96" s="730"/>
      <c r="S96" s="739"/>
      <c r="T96" s="739"/>
      <c r="U96" s="739"/>
      <c r="V96" s="739"/>
      <c r="W96" s="739"/>
      <c r="X96" s="739"/>
      <c r="Y96" s="739"/>
      <c r="Z96" s="739"/>
      <c r="AA96" s="730"/>
      <c r="AB96" s="730"/>
      <c r="AC96" s="730"/>
      <c r="AD96" s="730"/>
      <c r="AE96" s="730"/>
      <c r="AF96" s="730"/>
      <c r="AG96" s="730"/>
      <c r="AH96" s="730"/>
      <c r="AI96" s="730"/>
      <c r="AJ96" s="730"/>
      <c r="AK96" s="730"/>
      <c r="AL96" s="730"/>
      <c r="AM96" s="730"/>
      <c r="AN96" s="730"/>
      <c r="AO96" s="730"/>
      <c r="AP96" s="730"/>
      <c r="AQ96" s="730"/>
      <c r="AR96" s="730"/>
      <c r="AS96" s="730"/>
      <c r="AT96" s="730"/>
      <c r="AU96" s="730"/>
      <c r="AV96" s="730"/>
      <c r="AW96" s="730"/>
      <c r="AX96" s="730"/>
      <c r="AY96" s="730"/>
      <c r="AZ96" s="730"/>
      <c r="BA96" s="730"/>
      <c r="BB96" s="730"/>
      <c r="BC96" s="730"/>
      <c r="BD96" s="730"/>
      <c r="BE96" s="730"/>
      <c r="BF96" s="730"/>
      <c r="BG96" s="730"/>
      <c r="BH96" s="730"/>
      <c r="BI96" s="730"/>
      <c r="BJ96" s="672"/>
      <c r="BK96" s="8"/>
      <c r="BL96" s="52"/>
      <c r="BM96" s="52"/>
    </row>
    <row r="97" spans="1:65" ht="31.2" x14ac:dyDescent="0.3">
      <c r="A97" s="469" t="str">
        <f>'PRESUPUESTO OFICIAL (Entidad)'!B103</f>
        <v>B6,4</v>
      </c>
      <c r="B97" s="470" t="str">
        <f>'PRESUPUESTO OFICIAL (Entidad)'!C103</f>
        <v>Suministro e instalación de Red electrica en tuberia pvc de 1/2", incluye  1 N° 12 + neutro N° 12 para luminarias.</v>
      </c>
      <c r="C97" s="469" t="str">
        <f>'PRESUPUESTO OFICIAL (Entidad)'!D103</f>
        <v>ML</v>
      </c>
      <c r="D97" s="469">
        <f>'PRESUPUESTO OFICIAL (Entidad)'!E103</f>
        <v>7</v>
      </c>
      <c r="E97" s="730"/>
      <c r="F97" s="730"/>
      <c r="G97" s="730"/>
      <c r="H97" s="730"/>
      <c r="I97" s="730"/>
      <c r="J97" s="730"/>
      <c r="K97" s="730"/>
      <c r="L97" s="730"/>
      <c r="M97" s="730"/>
      <c r="N97" s="730"/>
      <c r="O97" s="730"/>
      <c r="P97" s="730"/>
      <c r="Q97" s="730"/>
      <c r="R97" s="730"/>
      <c r="S97" s="739"/>
      <c r="T97" s="739"/>
      <c r="U97" s="739"/>
      <c r="V97" s="739"/>
      <c r="W97" s="739"/>
      <c r="X97" s="739"/>
      <c r="Y97" s="739"/>
      <c r="Z97" s="739"/>
      <c r="AA97" s="730"/>
      <c r="AB97" s="730"/>
      <c r="AC97" s="730"/>
      <c r="AD97" s="730"/>
      <c r="AE97" s="730"/>
      <c r="AF97" s="730"/>
      <c r="AG97" s="730"/>
      <c r="AH97" s="730"/>
      <c r="AI97" s="730"/>
      <c r="AJ97" s="730"/>
      <c r="AK97" s="730"/>
      <c r="AL97" s="730"/>
      <c r="AM97" s="730"/>
      <c r="AN97" s="730"/>
      <c r="AO97" s="730"/>
      <c r="AP97" s="730"/>
      <c r="AQ97" s="730"/>
      <c r="AR97" s="730"/>
      <c r="AS97" s="730"/>
      <c r="AT97" s="730"/>
      <c r="AU97" s="730"/>
      <c r="AV97" s="730"/>
      <c r="AW97" s="730"/>
      <c r="AX97" s="730"/>
      <c r="AY97" s="730"/>
      <c r="AZ97" s="730"/>
      <c r="BA97" s="730"/>
      <c r="BB97" s="730"/>
      <c r="BC97" s="730"/>
      <c r="BD97" s="730"/>
      <c r="BE97" s="730"/>
      <c r="BF97" s="730"/>
      <c r="BG97" s="730"/>
      <c r="BH97" s="730"/>
      <c r="BI97" s="730"/>
      <c r="BJ97" s="672"/>
      <c r="BK97" s="8"/>
      <c r="BL97" s="52"/>
      <c r="BM97" s="52"/>
    </row>
    <row r="98" spans="1:65" x14ac:dyDescent="0.3">
      <c r="A98" s="469" t="str">
        <f>'PRESUPUESTO OFICIAL (Entidad)'!B104</f>
        <v>B6,5</v>
      </c>
      <c r="B98" s="470" t="str">
        <f>'PRESUPUESTO OFICIAL (Entidad)'!C104</f>
        <v>Suministro e instalación de Cable concentrico monofasico.</v>
      </c>
      <c r="C98" s="469" t="str">
        <f>'PRESUPUESTO OFICIAL (Entidad)'!D104</f>
        <v>ML</v>
      </c>
      <c r="D98" s="469">
        <f>'PRESUPUESTO OFICIAL (Entidad)'!E104</f>
        <v>5</v>
      </c>
      <c r="E98" s="730"/>
      <c r="F98" s="730"/>
      <c r="G98" s="730"/>
      <c r="H98" s="730"/>
      <c r="I98" s="730"/>
      <c r="J98" s="730"/>
      <c r="K98" s="730"/>
      <c r="L98" s="730"/>
      <c r="M98" s="730"/>
      <c r="N98" s="730"/>
      <c r="O98" s="730"/>
      <c r="P98" s="730"/>
      <c r="Q98" s="730"/>
      <c r="R98" s="730"/>
      <c r="S98" s="739"/>
      <c r="T98" s="739"/>
      <c r="U98" s="739"/>
      <c r="V98" s="739"/>
      <c r="W98" s="739"/>
      <c r="X98" s="739"/>
      <c r="Y98" s="739"/>
      <c r="Z98" s="739"/>
      <c r="AA98" s="730"/>
      <c r="AB98" s="730"/>
      <c r="AC98" s="730"/>
      <c r="AD98" s="730"/>
      <c r="AE98" s="730"/>
      <c r="AF98" s="730"/>
      <c r="AG98" s="730"/>
      <c r="AH98" s="730"/>
      <c r="AI98" s="730"/>
      <c r="AJ98" s="730"/>
      <c r="AK98" s="730"/>
      <c r="AL98" s="730"/>
      <c r="AM98" s="730"/>
      <c r="AN98" s="730"/>
      <c r="AO98" s="730"/>
      <c r="AP98" s="730"/>
      <c r="AQ98" s="730"/>
      <c r="AR98" s="730"/>
      <c r="AS98" s="730"/>
      <c r="AT98" s="730"/>
      <c r="AU98" s="730"/>
      <c r="AV98" s="730"/>
      <c r="AW98" s="730"/>
      <c r="AX98" s="730"/>
      <c r="AY98" s="730"/>
      <c r="AZ98" s="730"/>
      <c r="BA98" s="730"/>
      <c r="BB98" s="730"/>
      <c r="BC98" s="730"/>
      <c r="BD98" s="730"/>
      <c r="BE98" s="730"/>
      <c r="BF98" s="730"/>
      <c r="BG98" s="730"/>
      <c r="BH98" s="730"/>
      <c r="BI98" s="730"/>
      <c r="BJ98" s="672"/>
      <c r="BK98" s="276"/>
      <c r="BL98" s="52"/>
      <c r="BM98" s="52"/>
    </row>
    <row r="99" spans="1:65" s="697" customFormat="1" x14ac:dyDescent="0.3">
      <c r="A99" s="673" t="str">
        <f>'PRESUPUESTO OFICIAL (Entidad)'!B105</f>
        <v>B7</v>
      </c>
      <c r="B99" s="674" t="str">
        <f>'PRESUPUESTO OFICIAL (Entidad)'!C105</f>
        <v xml:space="preserve">INSTALACIONES HIDRAULICAS Y SANITARIAS </v>
      </c>
      <c r="C99" s="673"/>
      <c r="D99" s="673"/>
      <c r="E99" s="734"/>
      <c r="F99" s="734"/>
      <c r="G99" s="734"/>
      <c r="H99" s="734"/>
      <c r="I99" s="734"/>
      <c r="J99" s="734"/>
      <c r="K99" s="734"/>
      <c r="L99" s="734"/>
      <c r="M99" s="734"/>
      <c r="N99" s="734"/>
      <c r="O99" s="734"/>
      <c r="P99" s="734"/>
      <c r="Q99" s="734"/>
      <c r="R99" s="734"/>
      <c r="S99" s="734"/>
      <c r="T99" s="734"/>
      <c r="U99" s="734"/>
      <c r="V99" s="734"/>
      <c r="W99" s="734"/>
      <c r="X99" s="734"/>
      <c r="Y99" s="734"/>
      <c r="Z99" s="734"/>
      <c r="AA99" s="734"/>
      <c r="AB99" s="734"/>
      <c r="AC99" s="734"/>
      <c r="AD99" s="734"/>
      <c r="AE99" s="734"/>
      <c r="AF99" s="734"/>
      <c r="AG99" s="734"/>
      <c r="AH99" s="734"/>
      <c r="AI99" s="734"/>
      <c r="AJ99" s="734"/>
      <c r="AK99" s="734"/>
      <c r="AL99" s="734"/>
      <c r="AM99" s="734"/>
      <c r="AN99" s="734"/>
      <c r="AO99" s="734"/>
      <c r="AP99" s="734"/>
      <c r="AQ99" s="734"/>
      <c r="AR99" s="734"/>
      <c r="AS99" s="734"/>
      <c r="AT99" s="734"/>
      <c r="AU99" s="734"/>
      <c r="AV99" s="734"/>
      <c r="AW99" s="734"/>
      <c r="AX99" s="734"/>
      <c r="AY99" s="734"/>
      <c r="AZ99" s="734"/>
      <c r="BA99" s="734"/>
      <c r="BB99" s="734"/>
      <c r="BC99" s="734"/>
      <c r="BD99" s="734"/>
      <c r="BE99" s="734"/>
      <c r="BF99" s="734"/>
      <c r="BG99" s="734"/>
      <c r="BH99" s="734"/>
      <c r="BI99" s="734"/>
      <c r="BJ99" s="678"/>
      <c r="BK99" s="693"/>
      <c r="BL99" s="696"/>
      <c r="BM99" s="696"/>
    </row>
    <row r="100" spans="1:65" x14ac:dyDescent="0.3">
      <c r="A100" s="469" t="str">
        <f>'PRESUPUESTO OFICIAL (Entidad)'!B106</f>
        <v>B7,1</v>
      </c>
      <c r="B100" s="470" t="str">
        <f>'PRESUPUESTO OFICIAL (Entidad)'!C106</f>
        <v>Suministro e instalacion de Punto de desague en pvc 2", incluye tuberia.</v>
      </c>
      <c r="C100" s="469" t="str">
        <f>'PRESUPUESTO OFICIAL (Entidad)'!D106</f>
        <v>UND</v>
      </c>
      <c r="D100" s="469">
        <f>'PRESUPUESTO OFICIAL (Entidad)'!E106</f>
        <v>5</v>
      </c>
      <c r="E100" s="730"/>
      <c r="F100" s="730"/>
      <c r="G100" s="730"/>
      <c r="H100" s="730"/>
      <c r="I100" s="730"/>
      <c r="J100" s="730"/>
      <c r="K100" s="730"/>
      <c r="L100" s="730"/>
      <c r="M100" s="730"/>
      <c r="N100" s="730"/>
      <c r="O100" s="730"/>
      <c r="P100" s="730"/>
      <c r="Q100" s="730"/>
      <c r="R100" s="730"/>
      <c r="S100" s="739"/>
      <c r="T100" s="739"/>
      <c r="U100" s="739"/>
      <c r="V100" s="739"/>
      <c r="W100" s="739"/>
      <c r="X100" s="739"/>
      <c r="Y100" s="739"/>
      <c r="Z100" s="739"/>
      <c r="AA100" s="730"/>
      <c r="AB100" s="730"/>
      <c r="AC100" s="730"/>
      <c r="AD100" s="730"/>
      <c r="AE100" s="730"/>
      <c r="AF100" s="730"/>
      <c r="AG100" s="730"/>
      <c r="AH100" s="730"/>
      <c r="AI100" s="730"/>
      <c r="AJ100" s="730"/>
      <c r="AK100" s="730"/>
      <c r="AL100" s="730"/>
      <c r="AM100" s="730"/>
      <c r="AN100" s="730"/>
      <c r="AO100" s="730"/>
      <c r="AP100" s="730"/>
      <c r="AQ100" s="730"/>
      <c r="AR100" s="730"/>
      <c r="AS100" s="730"/>
      <c r="AT100" s="730"/>
      <c r="AU100" s="730"/>
      <c r="AV100" s="730"/>
      <c r="AW100" s="730"/>
      <c r="AX100" s="730"/>
      <c r="AY100" s="730"/>
      <c r="AZ100" s="730"/>
      <c r="BA100" s="730"/>
      <c r="BB100" s="730"/>
      <c r="BC100" s="730"/>
      <c r="BD100" s="730"/>
      <c r="BE100" s="730"/>
      <c r="BF100" s="730"/>
      <c r="BG100" s="730"/>
      <c r="BH100" s="730"/>
      <c r="BI100" s="730"/>
      <c r="BJ100" s="248"/>
      <c r="BK100" s="62"/>
      <c r="BL100" s="52"/>
      <c r="BM100" s="52"/>
    </row>
    <row r="101" spans="1:65" x14ac:dyDescent="0.3">
      <c r="A101" s="469" t="str">
        <f>'PRESUPUESTO OFICIAL (Entidad)'!B107</f>
        <v>B7,2</v>
      </c>
      <c r="B101" s="470" t="str">
        <f>'PRESUPUESTO OFICIAL (Entidad)'!C107</f>
        <v>Suministro e instalacion de Punto de desague en pvc 3", incluye tuberia.</v>
      </c>
      <c r="C101" s="469" t="str">
        <f>'PRESUPUESTO OFICIAL (Entidad)'!D107</f>
        <v>UND</v>
      </c>
      <c r="D101" s="469">
        <f>'PRESUPUESTO OFICIAL (Entidad)'!E107</f>
        <v>1</v>
      </c>
      <c r="E101" s="730"/>
      <c r="F101" s="730"/>
      <c r="G101" s="730"/>
      <c r="H101" s="730"/>
      <c r="I101" s="730"/>
      <c r="J101" s="730"/>
      <c r="K101" s="730"/>
      <c r="L101" s="730"/>
      <c r="M101" s="730"/>
      <c r="N101" s="730"/>
      <c r="O101" s="730"/>
      <c r="P101" s="730"/>
      <c r="Q101" s="730"/>
      <c r="R101" s="730"/>
      <c r="S101" s="739"/>
      <c r="T101" s="739"/>
      <c r="U101" s="739"/>
      <c r="V101" s="739"/>
      <c r="W101" s="739"/>
      <c r="X101" s="739"/>
      <c r="Y101" s="739"/>
      <c r="Z101" s="739"/>
      <c r="AA101" s="730"/>
      <c r="AB101" s="730"/>
      <c r="AC101" s="730"/>
      <c r="AD101" s="730"/>
      <c r="AE101" s="730"/>
      <c r="AF101" s="730"/>
      <c r="AG101" s="730"/>
      <c r="AH101" s="730"/>
      <c r="AI101" s="730"/>
      <c r="AJ101" s="730"/>
      <c r="AK101" s="730"/>
      <c r="AL101" s="730"/>
      <c r="AM101" s="730"/>
      <c r="AN101" s="730"/>
      <c r="AO101" s="730"/>
      <c r="AP101" s="730"/>
      <c r="AQ101" s="730"/>
      <c r="AR101" s="730"/>
      <c r="AS101" s="730"/>
      <c r="AT101" s="730"/>
      <c r="AU101" s="730"/>
      <c r="AV101" s="730"/>
      <c r="AW101" s="730"/>
      <c r="AX101" s="730"/>
      <c r="AY101" s="730"/>
      <c r="AZ101" s="730"/>
      <c r="BA101" s="730"/>
      <c r="BB101" s="730"/>
      <c r="BC101" s="730"/>
      <c r="BD101" s="730"/>
      <c r="BE101" s="730"/>
      <c r="BF101" s="730"/>
      <c r="BG101" s="730"/>
      <c r="BH101" s="730"/>
      <c r="BI101" s="730"/>
      <c r="BJ101" s="248"/>
      <c r="BK101" s="62"/>
      <c r="BL101" s="52"/>
      <c r="BM101" s="52"/>
    </row>
    <row r="102" spans="1:65" x14ac:dyDescent="0.3">
      <c r="A102" s="469" t="str">
        <f>'PRESUPUESTO OFICIAL (Entidad)'!B108</f>
        <v>B7,3</v>
      </c>
      <c r="B102" s="470" t="str">
        <f>'PRESUPUESTO OFICIAL (Entidad)'!C108</f>
        <v>Suministro e instalacion de Punto de desague en pvc 4", incluye tuberia.</v>
      </c>
      <c r="C102" s="469" t="str">
        <f>'PRESUPUESTO OFICIAL (Entidad)'!D108</f>
        <v>UND</v>
      </c>
      <c r="D102" s="469">
        <f>'PRESUPUESTO OFICIAL (Entidad)'!E108</f>
        <v>4</v>
      </c>
      <c r="E102" s="730"/>
      <c r="F102" s="730"/>
      <c r="G102" s="730"/>
      <c r="H102" s="730"/>
      <c r="I102" s="730"/>
      <c r="J102" s="730"/>
      <c r="K102" s="730"/>
      <c r="L102" s="730"/>
      <c r="M102" s="730"/>
      <c r="N102" s="730"/>
      <c r="O102" s="730"/>
      <c r="P102" s="730"/>
      <c r="Q102" s="730"/>
      <c r="R102" s="730"/>
      <c r="S102" s="739"/>
      <c r="T102" s="739"/>
      <c r="U102" s="739"/>
      <c r="V102" s="739"/>
      <c r="W102" s="739"/>
      <c r="X102" s="739"/>
      <c r="Y102" s="739"/>
      <c r="Z102" s="739"/>
      <c r="AA102" s="730"/>
      <c r="AB102" s="730"/>
      <c r="AC102" s="730"/>
      <c r="AD102" s="730"/>
      <c r="AE102" s="730"/>
      <c r="AF102" s="730"/>
      <c r="AG102" s="730"/>
      <c r="AH102" s="730"/>
      <c r="AI102" s="730"/>
      <c r="AJ102" s="730"/>
      <c r="AK102" s="730"/>
      <c r="AL102" s="730"/>
      <c r="AM102" s="730"/>
      <c r="AN102" s="730"/>
      <c r="AO102" s="730"/>
      <c r="AP102" s="730"/>
      <c r="AQ102" s="730"/>
      <c r="AR102" s="730"/>
      <c r="AS102" s="730"/>
      <c r="AT102" s="730"/>
      <c r="AU102" s="730"/>
      <c r="AV102" s="730"/>
      <c r="AW102" s="730"/>
      <c r="AX102" s="730"/>
      <c r="AY102" s="730"/>
      <c r="AZ102" s="730"/>
      <c r="BA102" s="730"/>
      <c r="BB102" s="730"/>
      <c r="BC102" s="730"/>
      <c r="BD102" s="730"/>
      <c r="BE102" s="730"/>
      <c r="BF102" s="730"/>
      <c r="BG102" s="730"/>
      <c r="BH102" s="730"/>
      <c r="BI102" s="730"/>
      <c r="BJ102" s="248"/>
      <c r="BK102" s="62"/>
      <c r="BL102" s="52"/>
      <c r="BM102" s="52"/>
    </row>
    <row r="103" spans="1:65" x14ac:dyDescent="0.3">
      <c r="A103" s="469" t="str">
        <f>'PRESUPUESTO OFICIAL (Entidad)'!B109</f>
        <v>B7,4</v>
      </c>
      <c r="B103" s="470" t="str">
        <f>'PRESUPUESTO OFICIAL (Entidad)'!C109</f>
        <v>Caja de inspeccion de 60x60 cm, ladrillo.</v>
      </c>
      <c r="C103" s="469" t="str">
        <f>'PRESUPUESTO OFICIAL (Entidad)'!D109</f>
        <v>UND</v>
      </c>
      <c r="D103" s="469">
        <f>'PRESUPUESTO OFICIAL (Entidad)'!E109</f>
        <v>1</v>
      </c>
      <c r="E103" s="730"/>
      <c r="F103" s="730"/>
      <c r="G103" s="730"/>
      <c r="H103" s="730"/>
      <c r="I103" s="730"/>
      <c r="J103" s="730"/>
      <c r="K103" s="730"/>
      <c r="L103" s="730"/>
      <c r="M103" s="730"/>
      <c r="N103" s="730"/>
      <c r="O103" s="730"/>
      <c r="P103" s="730"/>
      <c r="Q103" s="730"/>
      <c r="R103" s="730"/>
      <c r="S103" s="739"/>
      <c r="T103" s="739"/>
      <c r="U103" s="739"/>
      <c r="V103" s="739"/>
      <c r="W103" s="739"/>
      <c r="X103" s="739"/>
      <c r="Y103" s="739"/>
      <c r="Z103" s="739"/>
      <c r="AA103" s="730"/>
      <c r="AB103" s="730"/>
      <c r="AC103" s="730"/>
      <c r="AD103" s="730"/>
      <c r="AE103" s="730"/>
      <c r="AF103" s="730"/>
      <c r="AG103" s="730"/>
      <c r="AH103" s="730"/>
      <c r="AI103" s="730"/>
      <c r="AJ103" s="730"/>
      <c r="AK103" s="730"/>
      <c r="AL103" s="730"/>
      <c r="AM103" s="730"/>
      <c r="AN103" s="730"/>
      <c r="AO103" s="730"/>
      <c r="AP103" s="730"/>
      <c r="AQ103" s="730"/>
      <c r="AR103" s="730"/>
      <c r="AS103" s="730"/>
      <c r="AT103" s="730"/>
      <c r="AU103" s="730"/>
      <c r="AV103" s="730"/>
      <c r="AW103" s="730"/>
      <c r="AX103" s="730"/>
      <c r="AY103" s="730"/>
      <c r="AZ103" s="730"/>
      <c r="BA103" s="730"/>
      <c r="BB103" s="730"/>
      <c r="BC103" s="730"/>
      <c r="BD103" s="730"/>
      <c r="BE103" s="730"/>
      <c r="BF103" s="730"/>
      <c r="BG103" s="730"/>
      <c r="BH103" s="730"/>
      <c r="BI103" s="730"/>
      <c r="BJ103" s="248"/>
      <c r="BK103" s="8"/>
      <c r="BL103" s="52"/>
      <c r="BM103" s="52"/>
    </row>
    <row r="104" spans="1:65" x14ac:dyDescent="0.3">
      <c r="A104" s="469" t="str">
        <f>'PRESUPUESTO OFICIAL (Entidad)'!B110</f>
        <v>B7,5</v>
      </c>
      <c r="B104" s="470" t="str">
        <f>'PRESUPUESTO OFICIAL (Entidad)'!C110</f>
        <v>Suministro e instalacion de Punto agua fria de ½" PVC, incluye tuberia.</v>
      </c>
      <c r="C104" s="469" t="str">
        <f>'PRESUPUESTO OFICIAL (Entidad)'!D110</f>
        <v>UND</v>
      </c>
      <c r="D104" s="469">
        <f>'PRESUPUESTO OFICIAL (Entidad)'!E110</f>
        <v>9</v>
      </c>
      <c r="E104" s="730"/>
      <c r="F104" s="730"/>
      <c r="G104" s="730"/>
      <c r="H104" s="730"/>
      <c r="I104" s="730"/>
      <c r="J104" s="730"/>
      <c r="K104" s="730"/>
      <c r="L104" s="730"/>
      <c r="M104" s="730"/>
      <c r="N104" s="730"/>
      <c r="O104" s="730"/>
      <c r="P104" s="730"/>
      <c r="Q104" s="730"/>
      <c r="R104" s="730"/>
      <c r="S104" s="739"/>
      <c r="T104" s="739"/>
      <c r="U104" s="739"/>
      <c r="V104" s="739"/>
      <c r="W104" s="739"/>
      <c r="X104" s="739"/>
      <c r="Y104" s="739"/>
      <c r="Z104" s="739"/>
      <c r="AA104" s="730"/>
      <c r="AB104" s="730"/>
      <c r="AC104" s="730"/>
      <c r="AD104" s="730"/>
      <c r="AE104" s="730"/>
      <c r="AF104" s="730"/>
      <c r="AG104" s="730"/>
      <c r="AH104" s="730"/>
      <c r="AI104" s="730"/>
      <c r="AJ104" s="730"/>
      <c r="AK104" s="730"/>
      <c r="AL104" s="730"/>
      <c r="AM104" s="730"/>
      <c r="AN104" s="730"/>
      <c r="AO104" s="730"/>
      <c r="AP104" s="730"/>
      <c r="AQ104" s="730"/>
      <c r="AR104" s="730"/>
      <c r="AS104" s="730"/>
      <c r="AT104" s="730"/>
      <c r="AU104" s="730"/>
      <c r="AV104" s="730"/>
      <c r="AW104" s="730"/>
      <c r="AX104" s="730"/>
      <c r="AY104" s="730"/>
      <c r="AZ104" s="730"/>
      <c r="BA104" s="730"/>
      <c r="BB104" s="730"/>
      <c r="BC104" s="730"/>
      <c r="BD104" s="730"/>
      <c r="BE104" s="730"/>
      <c r="BF104" s="730"/>
      <c r="BG104" s="730"/>
      <c r="BH104" s="730"/>
      <c r="BI104" s="730"/>
      <c r="BJ104" s="248"/>
      <c r="BK104" s="62"/>
      <c r="BL104" s="52"/>
      <c r="BM104" s="52"/>
    </row>
    <row r="105" spans="1:65" x14ac:dyDescent="0.3">
      <c r="A105" s="469" t="str">
        <f>'PRESUPUESTO OFICIAL (Entidad)'!B111</f>
        <v>B7,6</v>
      </c>
      <c r="B105" s="470" t="str">
        <f>'PRESUPUESTO OFICIAL (Entidad)'!C111</f>
        <v>Suministro e instalacion de Registro de paso  directo  ½" (bola).</v>
      </c>
      <c r="C105" s="469" t="str">
        <f>'PRESUPUESTO OFICIAL (Entidad)'!D111</f>
        <v>UND</v>
      </c>
      <c r="D105" s="469">
        <f>'PRESUPUESTO OFICIAL (Entidad)'!E111</f>
        <v>1</v>
      </c>
      <c r="E105" s="730"/>
      <c r="F105" s="730"/>
      <c r="G105" s="730"/>
      <c r="H105" s="730"/>
      <c r="I105" s="730"/>
      <c r="J105" s="730"/>
      <c r="K105" s="730"/>
      <c r="L105" s="730"/>
      <c r="M105" s="730"/>
      <c r="N105" s="730"/>
      <c r="O105" s="730"/>
      <c r="P105" s="730"/>
      <c r="Q105" s="730"/>
      <c r="R105" s="730"/>
      <c r="S105" s="739"/>
      <c r="T105" s="739"/>
      <c r="U105" s="739"/>
      <c r="V105" s="739"/>
      <c r="W105" s="739"/>
      <c r="X105" s="739"/>
      <c r="Y105" s="739"/>
      <c r="Z105" s="739"/>
      <c r="AA105" s="730"/>
      <c r="AB105" s="730"/>
      <c r="AC105" s="730"/>
      <c r="AD105" s="730"/>
      <c r="AE105" s="730"/>
      <c r="AF105" s="730"/>
      <c r="AG105" s="730"/>
      <c r="AH105" s="730"/>
      <c r="AI105" s="730"/>
      <c r="AJ105" s="730"/>
      <c r="AK105" s="730"/>
      <c r="AL105" s="730"/>
      <c r="AM105" s="730"/>
      <c r="AN105" s="730"/>
      <c r="AO105" s="730"/>
      <c r="AP105" s="730"/>
      <c r="AQ105" s="730"/>
      <c r="AR105" s="730"/>
      <c r="AS105" s="730"/>
      <c r="AT105" s="730"/>
      <c r="AU105" s="730"/>
      <c r="AV105" s="730"/>
      <c r="AW105" s="730"/>
      <c r="AX105" s="730"/>
      <c r="AY105" s="730"/>
      <c r="AZ105" s="730"/>
      <c r="BA105" s="730"/>
      <c r="BB105" s="730"/>
      <c r="BC105" s="730"/>
      <c r="BD105" s="730"/>
      <c r="BE105" s="730"/>
      <c r="BF105" s="730"/>
      <c r="BG105" s="730"/>
      <c r="BH105" s="730"/>
      <c r="BI105" s="730"/>
      <c r="BJ105" s="248"/>
      <c r="BK105" s="62"/>
      <c r="BL105" s="52"/>
      <c r="BM105" s="52"/>
    </row>
    <row r="106" spans="1:65" x14ac:dyDescent="0.3">
      <c r="A106" s="469" t="str">
        <f>'PRESUPUESTO OFICIAL (Entidad)'!B112</f>
        <v>B7,7</v>
      </c>
      <c r="B106" s="470" t="str">
        <f>'PRESUPUESTO OFICIAL (Entidad)'!C112</f>
        <v>Suministro e instalacion de Acometida general de ½".</v>
      </c>
      <c r="C106" s="469" t="str">
        <f>'PRESUPUESTO OFICIAL (Entidad)'!D112</f>
        <v>UND</v>
      </c>
      <c r="D106" s="469">
        <f>'PRESUPUESTO OFICIAL (Entidad)'!E112</f>
        <v>1</v>
      </c>
      <c r="E106" s="730"/>
      <c r="F106" s="730"/>
      <c r="G106" s="730"/>
      <c r="H106" s="730"/>
      <c r="I106" s="730"/>
      <c r="J106" s="730"/>
      <c r="K106" s="730"/>
      <c r="L106" s="730"/>
      <c r="M106" s="730"/>
      <c r="N106" s="730"/>
      <c r="O106" s="730"/>
      <c r="P106" s="730"/>
      <c r="Q106" s="730"/>
      <c r="R106" s="730"/>
      <c r="S106" s="739"/>
      <c r="T106" s="739"/>
      <c r="U106" s="739"/>
      <c r="V106" s="739"/>
      <c r="W106" s="739"/>
      <c r="X106" s="739"/>
      <c r="Y106" s="739"/>
      <c r="Z106" s="739"/>
      <c r="AA106" s="730"/>
      <c r="AB106" s="730"/>
      <c r="AC106" s="730"/>
      <c r="AD106" s="730"/>
      <c r="AE106" s="730"/>
      <c r="AF106" s="730"/>
      <c r="AG106" s="730"/>
      <c r="AH106" s="730"/>
      <c r="AI106" s="730"/>
      <c r="AJ106" s="730"/>
      <c r="AK106" s="730"/>
      <c r="AL106" s="730"/>
      <c r="AM106" s="730"/>
      <c r="AN106" s="730"/>
      <c r="AO106" s="730"/>
      <c r="AP106" s="730"/>
      <c r="AQ106" s="730"/>
      <c r="AR106" s="730"/>
      <c r="AS106" s="730"/>
      <c r="AT106" s="730"/>
      <c r="AU106" s="730"/>
      <c r="AV106" s="730"/>
      <c r="AW106" s="730"/>
      <c r="AX106" s="730"/>
      <c r="AY106" s="730"/>
      <c r="AZ106" s="730"/>
      <c r="BA106" s="730"/>
      <c r="BB106" s="730"/>
      <c r="BC106" s="730"/>
      <c r="BD106" s="730"/>
      <c r="BE106" s="730"/>
      <c r="BF106" s="730"/>
      <c r="BG106" s="730"/>
      <c r="BH106" s="730"/>
      <c r="BI106" s="730"/>
      <c r="BJ106" s="248"/>
      <c r="BK106" s="62"/>
      <c r="BL106" s="52"/>
      <c r="BM106" s="52"/>
    </row>
    <row r="107" spans="1:65" x14ac:dyDescent="0.3">
      <c r="A107" s="469" t="str">
        <f>'PRESUPUESTO OFICIAL (Entidad)'!B113</f>
        <v>B7,8</v>
      </c>
      <c r="B107" s="470" t="str">
        <f>'PRESUPUESTO OFICIAL (Entidad)'!C113</f>
        <v>Suministro e instalacion de salida llave terminal de  ½".</v>
      </c>
      <c r="C107" s="469" t="str">
        <f>'PRESUPUESTO OFICIAL (Entidad)'!D113</f>
        <v>UND</v>
      </c>
      <c r="D107" s="469">
        <f>'PRESUPUESTO OFICIAL (Entidad)'!E113</f>
        <v>1</v>
      </c>
      <c r="E107" s="730"/>
      <c r="F107" s="730"/>
      <c r="G107" s="730"/>
      <c r="H107" s="730"/>
      <c r="I107" s="730"/>
      <c r="J107" s="730"/>
      <c r="K107" s="730"/>
      <c r="L107" s="730"/>
      <c r="M107" s="730"/>
      <c r="N107" s="730"/>
      <c r="O107" s="730"/>
      <c r="P107" s="730"/>
      <c r="Q107" s="730"/>
      <c r="R107" s="730"/>
      <c r="S107" s="739"/>
      <c r="T107" s="739"/>
      <c r="U107" s="739"/>
      <c r="V107" s="739"/>
      <c r="W107" s="739"/>
      <c r="X107" s="739"/>
      <c r="Y107" s="739"/>
      <c r="Z107" s="739"/>
      <c r="AA107" s="730"/>
      <c r="AB107" s="730"/>
      <c r="AC107" s="730"/>
      <c r="AD107" s="730"/>
      <c r="AE107" s="730"/>
      <c r="AF107" s="730"/>
      <c r="AG107" s="730"/>
      <c r="AH107" s="730"/>
      <c r="AI107" s="730"/>
      <c r="AJ107" s="730"/>
      <c r="AK107" s="730"/>
      <c r="AL107" s="730"/>
      <c r="AM107" s="730"/>
      <c r="AN107" s="730"/>
      <c r="AO107" s="730"/>
      <c r="AP107" s="730"/>
      <c r="AQ107" s="730"/>
      <c r="AR107" s="730"/>
      <c r="AS107" s="730"/>
      <c r="AT107" s="730"/>
      <c r="AU107" s="730"/>
      <c r="AV107" s="730"/>
      <c r="AW107" s="730"/>
      <c r="AX107" s="730"/>
      <c r="AY107" s="730"/>
      <c r="AZ107" s="730"/>
      <c r="BA107" s="730"/>
      <c r="BB107" s="730"/>
      <c r="BC107" s="730"/>
      <c r="BD107" s="730"/>
      <c r="BE107" s="730"/>
      <c r="BF107" s="730"/>
      <c r="BG107" s="730"/>
      <c r="BH107" s="730"/>
      <c r="BI107" s="730"/>
      <c r="BJ107" s="248"/>
      <c r="BK107" s="62"/>
      <c r="BL107" s="52"/>
      <c r="BM107" s="52"/>
    </row>
    <row r="108" spans="1:65" x14ac:dyDescent="0.3">
      <c r="A108" s="469" t="str">
        <f>'PRESUPUESTO OFICIAL (Entidad)'!B114</f>
        <v>B7,9</v>
      </c>
      <c r="B108" s="470" t="str">
        <f>'PRESUPUESTO OFICIAL (Entidad)'!C114</f>
        <v>Suministro e instalación de tanque 500 litros, incluye griferia y accesorios.</v>
      </c>
      <c r="C108" s="469" t="str">
        <f>'PRESUPUESTO OFICIAL (Entidad)'!D114</f>
        <v>UND</v>
      </c>
      <c r="D108" s="469">
        <f>'PRESUPUESTO OFICIAL (Entidad)'!E114</f>
        <v>1</v>
      </c>
      <c r="E108" s="730"/>
      <c r="F108" s="730"/>
      <c r="G108" s="730"/>
      <c r="H108" s="730"/>
      <c r="I108" s="730"/>
      <c r="J108" s="730"/>
      <c r="K108" s="730"/>
      <c r="L108" s="730"/>
      <c r="M108" s="730"/>
      <c r="N108" s="730"/>
      <c r="O108" s="730"/>
      <c r="P108" s="730"/>
      <c r="Q108" s="730"/>
      <c r="R108" s="730"/>
      <c r="S108" s="739"/>
      <c r="T108" s="739"/>
      <c r="U108" s="739"/>
      <c r="V108" s="739"/>
      <c r="W108" s="739"/>
      <c r="X108" s="739"/>
      <c r="Y108" s="739"/>
      <c r="Z108" s="739"/>
      <c r="AA108" s="730"/>
      <c r="AB108" s="730"/>
      <c r="AC108" s="730"/>
      <c r="AD108" s="730"/>
      <c r="AE108" s="730"/>
      <c r="AF108" s="730"/>
      <c r="AG108" s="730"/>
      <c r="AH108" s="730"/>
      <c r="AI108" s="730"/>
      <c r="AJ108" s="730"/>
      <c r="AK108" s="730"/>
      <c r="AL108" s="730"/>
      <c r="AM108" s="730"/>
      <c r="AN108" s="730"/>
      <c r="AO108" s="730"/>
      <c r="AP108" s="730"/>
      <c r="AQ108" s="730"/>
      <c r="AR108" s="730"/>
      <c r="AS108" s="730"/>
      <c r="AT108" s="730"/>
      <c r="AU108" s="730"/>
      <c r="AV108" s="730"/>
      <c r="AW108" s="730"/>
      <c r="AX108" s="730"/>
      <c r="AY108" s="730"/>
      <c r="AZ108" s="730"/>
      <c r="BA108" s="730"/>
      <c r="BB108" s="730"/>
      <c r="BC108" s="730"/>
      <c r="BD108" s="730"/>
      <c r="BE108" s="730"/>
      <c r="BF108" s="730"/>
      <c r="BG108" s="730"/>
      <c r="BH108" s="730"/>
      <c r="BI108" s="730"/>
      <c r="BJ108" s="248"/>
      <c r="BK108" s="62"/>
      <c r="BL108" s="52"/>
      <c r="BM108" s="392"/>
    </row>
    <row r="109" spans="1:65" x14ac:dyDescent="0.3">
      <c r="A109" s="469" t="str">
        <f>'PRESUPUESTO OFICIAL (Entidad)'!B115</f>
        <v>B7,11</v>
      </c>
      <c r="B109" s="470" t="str">
        <f>'PRESUPUESTO OFICIAL (Entidad)'!C115</f>
        <v>Suministro e instalacion de griferia lavamanos cromada.</v>
      </c>
      <c r="C109" s="469" t="str">
        <f>'PRESUPUESTO OFICIAL (Entidad)'!D115</f>
        <v>UND</v>
      </c>
      <c r="D109" s="469">
        <f>'PRESUPUESTO OFICIAL (Entidad)'!E115</f>
        <v>4</v>
      </c>
      <c r="E109" s="730"/>
      <c r="F109" s="730"/>
      <c r="G109" s="730"/>
      <c r="H109" s="730"/>
      <c r="I109" s="730"/>
      <c r="J109" s="730"/>
      <c r="K109" s="730"/>
      <c r="L109" s="730"/>
      <c r="M109" s="730"/>
      <c r="N109" s="730"/>
      <c r="O109" s="730"/>
      <c r="P109" s="730"/>
      <c r="Q109" s="730"/>
      <c r="R109" s="730"/>
      <c r="S109" s="739"/>
      <c r="T109" s="739"/>
      <c r="U109" s="739"/>
      <c r="V109" s="739"/>
      <c r="W109" s="739"/>
      <c r="X109" s="739"/>
      <c r="Y109" s="739"/>
      <c r="Z109" s="739"/>
      <c r="AA109" s="730"/>
      <c r="AB109" s="730"/>
      <c r="AC109" s="730"/>
      <c r="AD109" s="730"/>
      <c r="AE109" s="730"/>
      <c r="AF109" s="730"/>
      <c r="AG109" s="730"/>
      <c r="AH109" s="730"/>
      <c r="AI109" s="730"/>
      <c r="AJ109" s="730"/>
      <c r="AK109" s="730"/>
      <c r="AL109" s="730"/>
      <c r="AM109" s="730"/>
      <c r="AN109" s="730"/>
      <c r="AO109" s="730"/>
      <c r="AP109" s="730"/>
      <c r="AQ109" s="730"/>
      <c r="AR109" s="730"/>
      <c r="AS109" s="730"/>
      <c r="AT109" s="730"/>
      <c r="AU109" s="730"/>
      <c r="AV109" s="730"/>
      <c r="AW109" s="730"/>
      <c r="AX109" s="730"/>
      <c r="AY109" s="730"/>
      <c r="AZ109" s="730"/>
      <c r="BA109" s="730"/>
      <c r="BB109" s="730"/>
      <c r="BC109" s="730"/>
      <c r="BD109" s="730"/>
      <c r="BE109" s="730"/>
      <c r="BF109" s="730"/>
      <c r="BG109" s="730"/>
      <c r="BH109" s="730"/>
      <c r="BI109" s="730"/>
      <c r="BJ109" s="248"/>
      <c r="BK109" s="8"/>
      <c r="BL109" s="52"/>
      <c r="BM109" s="392"/>
    </row>
    <row r="110" spans="1:65" s="697" customFormat="1" x14ac:dyDescent="0.3">
      <c r="A110" s="673" t="str">
        <f>'PRESUPUESTO OFICIAL (Entidad)'!B116</f>
        <v>B8</v>
      </c>
      <c r="B110" s="674" t="str">
        <f>'PRESUPUESTO OFICIAL (Entidad)'!C116</f>
        <v xml:space="preserve">APARATOS SANITARIOS </v>
      </c>
      <c r="C110" s="673"/>
      <c r="D110" s="673"/>
      <c r="E110" s="734"/>
      <c r="F110" s="734"/>
      <c r="G110" s="734"/>
      <c r="H110" s="734"/>
      <c r="I110" s="734"/>
      <c r="J110" s="734"/>
      <c r="K110" s="734"/>
      <c r="L110" s="734"/>
      <c r="M110" s="734"/>
      <c r="N110" s="734"/>
      <c r="O110" s="734"/>
      <c r="P110" s="734"/>
      <c r="Q110" s="734"/>
      <c r="R110" s="734"/>
      <c r="S110" s="734"/>
      <c r="T110" s="734"/>
      <c r="U110" s="734"/>
      <c r="V110" s="734"/>
      <c r="W110" s="734"/>
      <c r="X110" s="734"/>
      <c r="Y110" s="734"/>
      <c r="Z110" s="734"/>
      <c r="AA110" s="734"/>
      <c r="AB110" s="734"/>
      <c r="AC110" s="734"/>
      <c r="AD110" s="734"/>
      <c r="AE110" s="734"/>
      <c r="AF110" s="734"/>
      <c r="AG110" s="734"/>
      <c r="AH110" s="734"/>
      <c r="AI110" s="734"/>
      <c r="AJ110" s="734"/>
      <c r="AK110" s="734"/>
      <c r="AL110" s="734"/>
      <c r="AM110" s="734"/>
      <c r="AN110" s="734"/>
      <c r="AO110" s="734"/>
      <c r="AP110" s="734"/>
      <c r="AQ110" s="734"/>
      <c r="AR110" s="734"/>
      <c r="AS110" s="734"/>
      <c r="AT110" s="734"/>
      <c r="AU110" s="734"/>
      <c r="AV110" s="734"/>
      <c r="AW110" s="734"/>
      <c r="AX110" s="734"/>
      <c r="AY110" s="734"/>
      <c r="AZ110" s="734"/>
      <c r="BA110" s="734"/>
      <c r="BB110" s="734"/>
      <c r="BC110" s="734"/>
      <c r="BD110" s="734"/>
      <c r="BE110" s="734"/>
      <c r="BF110" s="734"/>
      <c r="BG110" s="734"/>
      <c r="BH110" s="734"/>
      <c r="BI110" s="734"/>
      <c r="BJ110" s="678"/>
      <c r="BK110" s="694"/>
      <c r="BL110" s="696"/>
      <c r="BM110" s="696"/>
    </row>
    <row r="111" spans="1:65" x14ac:dyDescent="0.3">
      <c r="A111" s="469" t="str">
        <f>'PRESUPUESTO OFICIAL (Entidad)'!B117</f>
        <v>B8,1</v>
      </c>
      <c r="B111" s="470" t="str">
        <f>'PRESUPUESTO OFICIAL (Entidad)'!C117</f>
        <v>Suministro e instalación  de sanitario color blanco.</v>
      </c>
      <c r="C111" s="469" t="str">
        <f>'PRESUPUESTO OFICIAL (Entidad)'!D117</f>
        <v>UND</v>
      </c>
      <c r="D111" s="469">
        <f>'PRESUPUESTO OFICIAL (Entidad)'!E117</f>
        <v>3</v>
      </c>
      <c r="E111" s="730"/>
      <c r="F111" s="730"/>
      <c r="G111" s="730"/>
      <c r="H111" s="730"/>
      <c r="I111" s="730"/>
      <c r="J111" s="730"/>
      <c r="K111" s="730"/>
      <c r="L111" s="730"/>
      <c r="M111" s="730"/>
      <c r="N111" s="730"/>
      <c r="O111" s="730"/>
      <c r="P111" s="730"/>
      <c r="Q111" s="730"/>
      <c r="R111" s="730"/>
      <c r="S111" s="730"/>
      <c r="T111" s="730"/>
      <c r="U111" s="730"/>
      <c r="V111" s="730"/>
      <c r="W111" s="730"/>
      <c r="X111" s="730"/>
      <c r="Y111" s="730"/>
      <c r="Z111" s="730"/>
      <c r="AA111" s="730"/>
      <c r="AB111" s="730"/>
      <c r="AC111" s="730"/>
      <c r="AD111" s="730"/>
      <c r="AE111" s="730"/>
      <c r="AF111" s="730"/>
      <c r="AG111" s="730"/>
      <c r="AH111" s="730"/>
      <c r="AI111" s="730"/>
      <c r="AJ111" s="730"/>
      <c r="AK111" s="730"/>
      <c r="AL111" s="730"/>
      <c r="AM111" s="730"/>
      <c r="AN111" s="730"/>
      <c r="AO111" s="739"/>
      <c r="AP111" s="739"/>
      <c r="AQ111" s="739"/>
      <c r="AR111" s="739"/>
      <c r="AS111" s="739"/>
      <c r="AT111" s="739"/>
      <c r="AU111" s="739"/>
      <c r="AV111" s="730"/>
      <c r="AW111" s="730"/>
      <c r="AX111" s="730"/>
      <c r="AY111" s="730"/>
      <c r="AZ111" s="730"/>
      <c r="BA111" s="730"/>
      <c r="BB111" s="730"/>
      <c r="BC111" s="730"/>
      <c r="BD111" s="730"/>
      <c r="BE111" s="730"/>
      <c r="BF111" s="730"/>
      <c r="BG111" s="730"/>
      <c r="BH111" s="730"/>
      <c r="BI111" s="730"/>
      <c r="BJ111" s="248"/>
      <c r="BK111" s="4"/>
      <c r="BL111" s="52"/>
      <c r="BM111" s="392"/>
    </row>
    <row r="112" spans="1:65" x14ac:dyDescent="0.3">
      <c r="A112" s="469" t="str">
        <f>'PRESUPUESTO OFICIAL (Entidad)'!B118</f>
        <v>B8,2</v>
      </c>
      <c r="B112" s="470" t="str">
        <f>'PRESUPUESTO OFICIAL (Entidad)'!C118</f>
        <v>Suministro e instalación de Orinal color blanco.</v>
      </c>
      <c r="C112" s="469" t="str">
        <f>'PRESUPUESTO OFICIAL (Entidad)'!D118</f>
        <v>UND</v>
      </c>
      <c r="D112" s="469">
        <f>'PRESUPUESTO OFICIAL (Entidad)'!E118</f>
        <v>1</v>
      </c>
      <c r="E112" s="730"/>
      <c r="F112" s="730"/>
      <c r="G112" s="730"/>
      <c r="H112" s="730"/>
      <c r="I112" s="730"/>
      <c r="J112" s="730"/>
      <c r="K112" s="730"/>
      <c r="L112" s="730"/>
      <c r="M112" s="730"/>
      <c r="N112" s="730"/>
      <c r="O112" s="730"/>
      <c r="P112" s="730"/>
      <c r="Q112" s="730"/>
      <c r="R112" s="730"/>
      <c r="S112" s="730"/>
      <c r="T112" s="730"/>
      <c r="U112" s="730"/>
      <c r="V112" s="730"/>
      <c r="W112" s="730"/>
      <c r="X112" s="730"/>
      <c r="Y112" s="730"/>
      <c r="Z112" s="730"/>
      <c r="AA112" s="730"/>
      <c r="AB112" s="730"/>
      <c r="AC112" s="730"/>
      <c r="AD112" s="730"/>
      <c r="AE112" s="730"/>
      <c r="AF112" s="730"/>
      <c r="AG112" s="730"/>
      <c r="AH112" s="730"/>
      <c r="AI112" s="730"/>
      <c r="AJ112" s="730"/>
      <c r="AK112" s="730"/>
      <c r="AL112" s="730"/>
      <c r="AM112" s="730"/>
      <c r="AN112" s="730"/>
      <c r="AO112" s="739"/>
      <c r="AP112" s="739"/>
      <c r="AQ112" s="739"/>
      <c r="AR112" s="739"/>
      <c r="AS112" s="739"/>
      <c r="AT112" s="739"/>
      <c r="AU112" s="739"/>
      <c r="AV112" s="730"/>
      <c r="AW112" s="730"/>
      <c r="AX112" s="730"/>
      <c r="AY112" s="730"/>
      <c r="AZ112" s="730"/>
      <c r="BA112" s="730"/>
      <c r="BB112" s="730"/>
      <c r="BC112" s="730"/>
      <c r="BD112" s="730"/>
      <c r="BE112" s="730"/>
      <c r="BF112" s="730"/>
      <c r="BG112" s="730"/>
      <c r="BH112" s="730"/>
      <c r="BI112" s="730"/>
      <c r="BJ112" s="248"/>
      <c r="BK112" s="62"/>
      <c r="BL112" s="52"/>
      <c r="BM112" s="392"/>
    </row>
    <row r="113" spans="1:65" s="697" customFormat="1" x14ac:dyDescent="0.3">
      <c r="A113" s="673" t="str">
        <f>'PRESUPUESTO OFICIAL (Entidad)'!B119</f>
        <v>B9</v>
      </c>
      <c r="B113" s="674" t="str">
        <f>'PRESUPUESTO OFICIAL (Entidad)'!C119</f>
        <v>PAÑETES</v>
      </c>
      <c r="C113" s="673"/>
      <c r="D113" s="673"/>
      <c r="E113" s="734"/>
      <c r="F113" s="734"/>
      <c r="G113" s="734"/>
      <c r="H113" s="734"/>
      <c r="I113" s="734"/>
      <c r="J113" s="734"/>
      <c r="K113" s="734"/>
      <c r="L113" s="734"/>
      <c r="M113" s="734"/>
      <c r="N113" s="734"/>
      <c r="O113" s="734"/>
      <c r="P113" s="734"/>
      <c r="Q113" s="734"/>
      <c r="R113" s="734"/>
      <c r="S113" s="734"/>
      <c r="T113" s="734"/>
      <c r="U113" s="734"/>
      <c r="V113" s="734"/>
      <c r="W113" s="734"/>
      <c r="X113" s="734"/>
      <c r="Y113" s="734"/>
      <c r="Z113" s="734"/>
      <c r="AA113" s="734"/>
      <c r="AB113" s="734"/>
      <c r="AC113" s="734"/>
      <c r="AD113" s="734"/>
      <c r="AE113" s="734"/>
      <c r="AF113" s="734"/>
      <c r="AG113" s="734"/>
      <c r="AH113" s="734"/>
      <c r="AI113" s="734"/>
      <c r="AJ113" s="734"/>
      <c r="AK113" s="734"/>
      <c r="AL113" s="734"/>
      <c r="AM113" s="734"/>
      <c r="AN113" s="734"/>
      <c r="AO113" s="734"/>
      <c r="AP113" s="734"/>
      <c r="AQ113" s="734"/>
      <c r="AR113" s="734"/>
      <c r="AS113" s="734"/>
      <c r="AT113" s="734"/>
      <c r="AU113" s="734"/>
      <c r="AV113" s="734"/>
      <c r="AW113" s="734"/>
      <c r="AX113" s="734"/>
      <c r="AY113" s="734"/>
      <c r="AZ113" s="734"/>
      <c r="BA113" s="734"/>
      <c r="BB113" s="734"/>
      <c r="BC113" s="734"/>
      <c r="BD113" s="734"/>
      <c r="BE113" s="734"/>
      <c r="BF113" s="734"/>
      <c r="BG113" s="734"/>
      <c r="BH113" s="734"/>
      <c r="BI113" s="734"/>
      <c r="BJ113" s="678"/>
      <c r="BK113" s="691"/>
      <c r="BL113" s="696"/>
      <c r="BM113" s="696"/>
    </row>
    <row r="114" spans="1:65" x14ac:dyDescent="0.3">
      <c r="A114" s="469" t="str">
        <f>'PRESUPUESTO OFICIAL (Entidad)'!B120</f>
        <v>B9,1</v>
      </c>
      <c r="B114" s="470" t="str">
        <f>'PRESUPUESTO OFICIAL (Entidad)'!C120</f>
        <v>Suministro y aplicación de Pañete muros  1:4 Incluye Filos, carteras y Dilataciones.</v>
      </c>
      <c r="C114" s="469" t="str">
        <f>'PRESUPUESTO OFICIAL (Entidad)'!D120</f>
        <v>M2</v>
      </c>
      <c r="D114" s="469">
        <f>'PRESUPUESTO OFICIAL (Entidad)'!E120</f>
        <v>43.36</v>
      </c>
      <c r="E114" s="730"/>
      <c r="F114" s="730"/>
      <c r="G114" s="730"/>
      <c r="H114" s="730"/>
      <c r="I114" s="730"/>
      <c r="J114" s="730"/>
      <c r="K114" s="730"/>
      <c r="L114" s="730"/>
      <c r="M114" s="730"/>
      <c r="N114" s="730"/>
      <c r="O114" s="730"/>
      <c r="P114" s="730"/>
      <c r="Q114" s="730"/>
      <c r="R114" s="730"/>
      <c r="S114" s="730"/>
      <c r="T114" s="730"/>
      <c r="U114" s="730"/>
      <c r="V114" s="730"/>
      <c r="W114" s="730"/>
      <c r="X114" s="730"/>
      <c r="Y114" s="730"/>
      <c r="Z114" s="730"/>
      <c r="AA114" s="739"/>
      <c r="AB114" s="739"/>
      <c r="AC114" s="739"/>
      <c r="AD114" s="739"/>
      <c r="AE114" s="739"/>
      <c r="AF114" s="739"/>
      <c r="AG114" s="739"/>
      <c r="AH114" s="730"/>
      <c r="AI114" s="730"/>
      <c r="AJ114" s="730"/>
      <c r="AK114" s="730"/>
      <c r="AL114" s="730"/>
      <c r="AM114" s="730"/>
      <c r="AN114" s="730"/>
      <c r="AO114" s="730"/>
      <c r="AP114" s="730"/>
      <c r="AQ114" s="730"/>
      <c r="AR114" s="730"/>
      <c r="AS114" s="730"/>
      <c r="AT114" s="730"/>
      <c r="AU114" s="730"/>
      <c r="AV114" s="730"/>
      <c r="AW114" s="730"/>
      <c r="AX114" s="730"/>
      <c r="AY114" s="730"/>
      <c r="AZ114" s="730"/>
      <c r="BA114" s="730"/>
      <c r="BB114" s="730"/>
      <c r="BC114" s="730"/>
      <c r="BD114" s="730"/>
      <c r="BE114" s="730"/>
      <c r="BF114" s="730"/>
      <c r="BG114" s="730"/>
      <c r="BH114" s="730"/>
      <c r="BI114" s="730"/>
      <c r="BJ114" s="248"/>
      <c r="BK114" s="62"/>
      <c r="BL114" s="52"/>
      <c r="BM114" s="52"/>
    </row>
    <row r="115" spans="1:65" s="697" customFormat="1" x14ac:dyDescent="0.3">
      <c r="A115" s="673" t="str">
        <f>'PRESUPUESTO OFICIAL (Entidad)'!B121</f>
        <v>B10</v>
      </c>
      <c r="B115" s="674" t="str">
        <f>'PRESUPUESTO OFICIAL (Entidad)'!C121</f>
        <v>ENCHAPES</v>
      </c>
      <c r="C115" s="673"/>
      <c r="D115" s="673"/>
      <c r="E115" s="734"/>
      <c r="F115" s="734"/>
      <c r="G115" s="734"/>
      <c r="H115" s="734"/>
      <c r="I115" s="734"/>
      <c r="J115" s="734"/>
      <c r="K115" s="734"/>
      <c r="L115" s="734"/>
      <c r="M115" s="734"/>
      <c r="N115" s="734"/>
      <c r="O115" s="734"/>
      <c r="P115" s="734"/>
      <c r="Q115" s="734"/>
      <c r="R115" s="734"/>
      <c r="S115" s="734"/>
      <c r="T115" s="734"/>
      <c r="U115" s="734"/>
      <c r="V115" s="734"/>
      <c r="W115" s="734"/>
      <c r="X115" s="734"/>
      <c r="Y115" s="734"/>
      <c r="Z115" s="734"/>
      <c r="AA115" s="734"/>
      <c r="AB115" s="734"/>
      <c r="AC115" s="734"/>
      <c r="AD115" s="734"/>
      <c r="AE115" s="734"/>
      <c r="AF115" s="734"/>
      <c r="AG115" s="734"/>
      <c r="AH115" s="734"/>
      <c r="AI115" s="734"/>
      <c r="AJ115" s="734"/>
      <c r="AK115" s="734"/>
      <c r="AL115" s="734"/>
      <c r="AM115" s="734"/>
      <c r="AN115" s="734"/>
      <c r="AO115" s="734"/>
      <c r="AP115" s="734"/>
      <c r="AQ115" s="734"/>
      <c r="AR115" s="734"/>
      <c r="AS115" s="734"/>
      <c r="AT115" s="734"/>
      <c r="AU115" s="734"/>
      <c r="AV115" s="734"/>
      <c r="AW115" s="734"/>
      <c r="AX115" s="734"/>
      <c r="AY115" s="734"/>
      <c r="AZ115" s="734"/>
      <c r="BA115" s="734"/>
      <c r="BB115" s="734"/>
      <c r="BC115" s="734"/>
      <c r="BD115" s="734"/>
      <c r="BE115" s="734"/>
      <c r="BF115" s="734"/>
      <c r="BG115" s="734"/>
      <c r="BH115" s="734"/>
      <c r="BI115" s="734"/>
      <c r="BJ115" s="678"/>
      <c r="BK115" s="691"/>
      <c r="BL115" s="696"/>
      <c r="BM115" s="696"/>
    </row>
    <row r="116" spans="1:65" x14ac:dyDescent="0.3">
      <c r="A116" s="469" t="str">
        <f>'PRESUPUESTO OFICIAL (Entidad)'!B122</f>
        <v>B10,1</v>
      </c>
      <c r="B116" s="470" t="str">
        <f>'PRESUPUESTO OFICIAL (Entidad)'!C122</f>
        <v>Suministro e instalacion de Enchape de pares 0,20 x 0,25.</v>
      </c>
      <c r="C116" s="469" t="str">
        <f>'PRESUPUESTO OFICIAL (Entidad)'!D122</f>
        <v>M2</v>
      </c>
      <c r="D116" s="469">
        <f>'PRESUPUESTO OFICIAL (Entidad)'!E122</f>
        <v>36.76</v>
      </c>
      <c r="E116" s="730"/>
      <c r="F116" s="730"/>
      <c r="G116" s="730"/>
      <c r="H116" s="730"/>
      <c r="I116" s="730"/>
      <c r="J116" s="730"/>
      <c r="K116" s="730"/>
      <c r="L116" s="730"/>
      <c r="M116" s="730"/>
      <c r="N116" s="730"/>
      <c r="O116" s="730"/>
      <c r="P116" s="730"/>
      <c r="Q116" s="730"/>
      <c r="R116" s="730"/>
      <c r="S116" s="730"/>
      <c r="T116" s="730"/>
      <c r="U116" s="730"/>
      <c r="V116" s="730"/>
      <c r="W116" s="730"/>
      <c r="X116" s="730"/>
      <c r="Y116" s="730"/>
      <c r="Z116" s="730"/>
      <c r="AA116" s="730"/>
      <c r="AB116" s="730"/>
      <c r="AC116" s="730"/>
      <c r="AD116" s="730"/>
      <c r="AE116" s="730"/>
      <c r="AF116" s="730"/>
      <c r="AG116" s="730"/>
      <c r="AH116" s="739"/>
      <c r="AI116" s="739"/>
      <c r="AJ116" s="739"/>
      <c r="AK116" s="739"/>
      <c r="AL116" s="739"/>
      <c r="AM116" s="739"/>
      <c r="AN116" s="739"/>
      <c r="AO116" s="730"/>
      <c r="AP116" s="730"/>
      <c r="AQ116" s="730"/>
      <c r="AR116" s="730"/>
      <c r="AS116" s="730"/>
      <c r="AT116" s="730"/>
      <c r="AU116" s="730"/>
      <c r="AV116" s="730"/>
      <c r="AW116" s="730"/>
      <c r="AX116" s="730"/>
      <c r="AY116" s="730"/>
      <c r="AZ116" s="730"/>
      <c r="BA116" s="730"/>
      <c r="BB116" s="730"/>
      <c r="BC116" s="730"/>
      <c r="BD116" s="730"/>
      <c r="BE116" s="730"/>
      <c r="BF116" s="730"/>
      <c r="BG116" s="730"/>
      <c r="BH116" s="730"/>
      <c r="BI116" s="730"/>
      <c r="BJ116" s="248"/>
      <c r="BK116" s="62"/>
      <c r="BL116" s="52"/>
      <c r="BM116" s="52"/>
    </row>
    <row r="117" spans="1:65" x14ac:dyDescent="0.3">
      <c r="A117" s="469" t="str">
        <f>'PRESUPUESTO OFICIAL (Entidad)'!B123</f>
        <v>B10,2</v>
      </c>
      <c r="B117" s="470" t="str">
        <f>'PRESUPUESTO OFICIAL (Entidad)'!C123</f>
        <v>Construccion de Placa en concreto de 3000 PSI e=0,10 m.</v>
      </c>
      <c r="C117" s="469" t="str">
        <f>'PRESUPUESTO OFICIAL (Entidad)'!D123</f>
        <v>M2</v>
      </c>
      <c r="D117" s="469">
        <f>'PRESUPUESTO OFICIAL (Entidad)'!E123</f>
        <v>22.85</v>
      </c>
      <c r="E117" s="730"/>
      <c r="F117" s="730"/>
      <c r="G117" s="730"/>
      <c r="H117" s="730"/>
      <c r="I117" s="730"/>
      <c r="J117" s="730"/>
      <c r="K117" s="730"/>
      <c r="L117" s="730"/>
      <c r="M117" s="730"/>
      <c r="N117" s="730"/>
      <c r="O117" s="730"/>
      <c r="P117" s="730"/>
      <c r="Q117" s="730"/>
      <c r="R117" s="730"/>
      <c r="S117" s="730"/>
      <c r="T117" s="730"/>
      <c r="U117" s="730"/>
      <c r="V117" s="730"/>
      <c r="W117" s="730"/>
      <c r="X117" s="730"/>
      <c r="Y117" s="730"/>
      <c r="Z117" s="730"/>
      <c r="AA117" s="730"/>
      <c r="AB117" s="730"/>
      <c r="AC117" s="730"/>
      <c r="AD117" s="730"/>
      <c r="AE117" s="730"/>
      <c r="AF117" s="730"/>
      <c r="AG117" s="730"/>
      <c r="AH117" s="739"/>
      <c r="AI117" s="739"/>
      <c r="AJ117" s="739"/>
      <c r="AK117" s="739"/>
      <c r="AL117" s="739"/>
      <c r="AM117" s="739"/>
      <c r="AN117" s="739"/>
      <c r="AO117" s="730"/>
      <c r="AP117" s="730"/>
      <c r="AQ117" s="730"/>
      <c r="AR117" s="730"/>
      <c r="AS117" s="730"/>
      <c r="AT117" s="730"/>
      <c r="AU117" s="730"/>
      <c r="AV117" s="730"/>
      <c r="AW117" s="730"/>
      <c r="AX117" s="730"/>
      <c r="AY117" s="730"/>
      <c r="AZ117" s="730"/>
      <c r="BA117" s="730"/>
      <c r="BB117" s="730"/>
      <c r="BC117" s="730"/>
      <c r="BD117" s="730"/>
      <c r="BE117" s="730"/>
      <c r="BF117" s="730"/>
      <c r="BG117" s="730"/>
      <c r="BH117" s="730"/>
      <c r="BI117" s="730"/>
      <c r="BJ117" s="248"/>
      <c r="BK117" s="62"/>
      <c r="BL117" s="52"/>
      <c r="BM117" s="52"/>
    </row>
    <row r="118" spans="1:65" x14ac:dyDescent="0.3">
      <c r="A118" s="469" t="str">
        <f>'PRESUPUESTO OFICIAL (Entidad)'!B124</f>
        <v>B10,3</v>
      </c>
      <c r="B118" s="470" t="str">
        <f>'PRESUPUESTO OFICIAL (Entidad)'!C124</f>
        <v>Suministrar e instalar Piso en ceramica T-5.</v>
      </c>
      <c r="C118" s="469" t="str">
        <f>'PRESUPUESTO OFICIAL (Entidad)'!D124</f>
        <v>M2</v>
      </c>
      <c r="D118" s="469">
        <f>'PRESUPUESTO OFICIAL (Entidad)'!E124</f>
        <v>22.85</v>
      </c>
      <c r="E118" s="730"/>
      <c r="F118" s="730"/>
      <c r="G118" s="730"/>
      <c r="H118" s="730"/>
      <c r="I118" s="730"/>
      <c r="J118" s="730"/>
      <c r="K118" s="730"/>
      <c r="L118" s="730"/>
      <c r="M118" s="730"/>
      <c r="N118" s="730"/>
      <c r="O118" s="730"/>
      <c r="P118" s="730"/>
      <c r="Q118" s="730"/>
      <c r="R118" s="730"/>
      <c r="S118" s="730"/>
      <c r="T118" s="730"/>
      <c r="U118" s="730"/>
      <c r="V118" s="730"/>
      <c r="W118" s="730"/>
      <c r="X118" s="730"/>
      <c r="Y118" s="730"/>
      <c r="Z118" s="730"/>
      <c r="AA118" s="730"/>
      <c r="AB118" s="730"/>
      <c r="AC118" s="730"/>
      <c r="AD118" s="730"/>
      <c r="AE118" s="730"/>
      <c r="AF118" s="730"/>
      <c r="AG118" s="730"/>
      <c r="AH118" s="739"/>
      <c r="AI118" s="739"/>
      <c r="AJ118" s="739"/>
      <c r="AK118" s="739"/>
      <c r="AL118" s="739"/>
      <c r="AM118" s="739"/>
      <c r="AN118" s="739"/>
      <c r="AO118" s="730"/>
      <c r="AP118" s="730"/>
      <c r="AQ118" s="730"/>
      <c r="AR118" s="730"/>
      <c r="AS118" s="730"/>
      <c r="AT118" s="730"/>
      <c r="AU118" s="730"/>
      <c r="AV118" s="730"/>
      <c r="AW118" s="730"/>
      <c r="AX118" s="730"/>
      <c r="AY118" s="730"/>
      <c r="AZ118" s="730"/>
      <c r="BA118" s="730"/>
      <c r="BB118" s="730"/>
      <c r="BC118" s="730"/>
      <c r="BD118" s="730"/>
      <c r="BE118" s="730"/>
      <c r="BF118" s="730"/>
      <c r="BG118" s="730"/>
      <c r="BH118" s="730"/>
      <c r="BI118" s="730"/>
      <c r="BJ118" s="248"/>
      <c r="BK118" s="62"/>
      <c r="BL118" s="52"/>
      <c r="BM118" s="52"/>
    </row>
    <row r="119" spans="1:65" x14ac:dyDescent="0.3">
      <c r="A119" s="469" t="str">
        <f>'PRESUPUESTO OFICIAL (Entidad)'!B125</f>
        <v>B10,4</v>
      </c>
      <c r="B119" s="470" t="str">
        <f>'PRESUPUESTO OFICIAL (Entidad)'!C125</f>
        <v>Suministro e instalacion de Guardaescoba en cerámica   T-5.</v>
      </c>
      <c r="C119" s="469" t="str">
        <f>'PRESUPUESTO OFICIAL (Entidad)'!D125</f>
        <v>ML</v>
      </c>
      <c r="D119" s="469">
        <f>'PRESUPUESTO OFICIAL (Entidad)'!E125</f>
        <v>3</v>
      </c>
      <c r="E119" s="730"/>
      <c r="F119" s="730"/>
      <c r="G119" s="730"/>
      <c r="H119" s="730"/>
      <c r="I119" s="730"/>
      <c r="J119" s="730"/>
      <c r="K119" s="730"/>
      <c r="L119" s="730"/>
      <c r="M119" s="730"/>
      <c r="N119" s="730"/>
      <c r="O119" s="730"/>
      <c r="P119" s="730"/>
      <c r="Q119" s="730"/>
      <c r="R119" s="730"/>
      <c r="S119" s="730"/>
      <c r="T119" s="730"/>
      <c r="U119" s="730"/>
      <c r="V119" s="730"/>
      <c r="W119" s="730"/>
      <c r="X119" s="730"/>
      <c r="Y119" s="730"/>
      <c r="Z119" s="730"/>
      <c r="AA119" s="730"/>
      <c r="AB119" s="730"/>
      <c r="AC119" s="730"/>
      <c r="AD119" s="730"/>
      <c r="AE119" s="730"/>
      <c r="AF119" s="730"/>
      <c r="AG119" s="730"/>
      <c r="AH119" s="739"/>
      <c r="AI119" s="739"/>
      <c r="AJ119" s="739"/>
      <c r="AK119" s="739"/>
      <c r="AL119" s="739"/>
      <c r="AM119" s="739"/>
      <c r="AN119" s="739"/>
      <c r="AO119" s="730"/>
      <c r="AP119" s="730"/>
      <c r="AQ119" s="730"/>
      <c r="AR119" s="730"/>
      <c r="AS119" s="730"/>
      <c r="AT119" s="730"/>
      <c r="AU119" s="730"/>
      <c r="AV119" s="730"/>
      <c r="AW119" s="730"/>
      <c r="AX119" s="730"/>
      <c r="AY119" s="730"/>
      <c r="AZ119" s="730"/>
      <c r="BA119" s="730"/>
      <c r="BB119" s="730"/>
      <c r="BC119" s="730"/>
      <c r="BD119" s="730"/>
      <c r="BE119" s="730"/>
      <c r="BF119" s="730"/>
      <c r="BG119" s="730"/>
      <c r="BH119" s="730"/>
      <c r="BI119" s="730"/>
      <c r="BJ119" s="248"/>
      <c r="BK119" s="62"/>
      <c r="BL119" s="52"/>
      <c r="BM119" s="52"/>
    </row>
    <row r="120" spans="1:65" x14ac:dyDescent="0.3">
      <c r="A120" s="469" t="str">
        <f>'PRESUPUESTO OFICIAL (Entidad)'!B126</f>
        <v>B10,5</v>
      </c>
      <c r="B120" s="470" t="str">
        <f>'PRESUPUESTO OFICIAL (Entidad)'!C126</f>
        <v>Suministro e instalacion de Espejo flotado 4mm.</v>
      </c>
      <c r="C120" s="469" t="str">
        <f>'PRESUPUESTO OFICIAL (Entidad)'!D126</f>
        <v>M2</v>
      </c>
      <c r="D120" s="469">
        <f>'PRESUPUESTO OFICIAL (Entidad)'!E126</f>
        <v>3.32</v>
      </c>
      <c r="E120" s="730"/>
      <c r="F120" s="730"/>
      <c r="G120" s="730"/>
      <c r="H120" s="730"/>
      <c r="I120" s="730"/>
      <c r="J120" s="730"/>
      <c r="K120" s="730"/>
      <c r="L120" s="730"/>
      <c r="M120" s="730"/>
      <c r="N120" s="730"/>
      <c r="O120" s="730"/>
      <c r="P120" s="730"/>
      <c r="Q120" s="730"/>
      <c r="R120" s="730"/>
      <c r="S120" s="730"/>
      <c r="T120" s="730"/>
      <c r="U120" s="730"/>
      <c r="V120" s="730"/>
      <c r="W120" s="730"/>
      <c r="X120" s="730"/>
      <c r="Y120" s="730"/>
      <c r="Z120" s="730"/>
      <c r="AA120" s="730"/>
      <c r="AB120" s="730"/>
      <c r="AC120" s="730"/>
      <c r="AD120" s="730"/>
      <c r="AE120" s="730"/>
      <c r="AF120" s="730"/>
      <c r="AG120" s="730"/>
      <c r="AH120" s="739"/>
      <c r="AI120" s="739"/>
      <c r="AJ120" s="739"/>
      <c r="AK120" s="739"/>
      <c r="AL120" s="739"/>
      <c r="AM120" s="739"/>
      <c r="AN120" s="739"/>
      <c r="AO120" s="730"/>
      <c r="AP120" s="730"/>
      <c r="AQ120" s="730"/>
      <c r="AR120" s="730"/>
      <c r="AS120" s="730"/>
      <c r="AT120" s="730"/>
      <c r="AU120" s="730"/>
      <c r="AV120" s="730"/>
      <c r="AW120" s="730"/>
      <c r="AX120" s="730"/>
      <c r="AY120" s="730"/>
      <c r="AZ120" s="730"/>
      <c r="BA120" s="730"/>
      <c r="BB120" s="730"/>
      <c r="BC120" s="730"/>
      <c r="BD120" s="730"/>
      <c r="BE120" s="730"/>
      <c r="BF120" s="730"/>
      <c r="BG120" s="730"/>
      <c r="BH120" s="730"/>
      <c r="BI120" s="730"/>
      <c r="BJ120" s="248"/>
      <c r="BK120" s="62"/>
      <c r="BL120" s="52"/>
      <c r="BM120" s="392"/>
    </row>
    <row r="121" spans="1:65" s="697" customFormat="1" x14ac:dyDescent="0.3">
      <c r="A121" s="673" t="str">
        <f>'PRESUPUESTO OFICIAL (Entidad)'!B127</f>
        <v>B11</v>
      </c>
      <c r="B121" s="674" t="str">
        <f>'PRESUPUESTO OFICIAL (Entidad)'!C127</f>
        <v>CARPINTERIA</v>
      </c>
      <c r="C121" s="673"/>
      <c r="D121" s="673"/>
      <c r="E121" s="734"/>
      <c r="F121" s="734"/>
      <c r="G121" s="734"/>
      <c r="H121" s="734"/>
      <c r="I121" s="734"/>
      <c r="J121" s="734"/>
      <c r="K121" s="734"/>
      <c r="L121" s="734"/>
      <c r="M121" s="734"/>
      <c r="N121" s="734"/>
      <c r="O121" s="734"/>
      <c r="P121" s="734"/>
      <c r="Q121" s="734"/>
      <c r="R121" s="734"/>
      <c r="S121" s="734"/>
      <c r="T121" s="734"/>
      <c r="U121" s="734"/>
      <c r="V121" s="734"/>
      <c r="W121" s="734"/>
      <c r="X121" s="734"/>
      <c r="Y121" s="734"/>
      <c r="Z121" s="734"/>
      <c r="AA121" s="734"/>
      <c r="AB121" s="734"/>
      <c r="AC121" s="734"/>
      <c r="AD121" s="734"/>
      <c r="AE121" s="734"/>
      <c r="AF121" s="734"/>
      <c r="AG121" s="734"/>
      <c r="AH121" s="734"/>
      <c r="AI121" s="734"/>
      <c r="AJ121" s="734"/>
      <c r="AK121" s="734"/>
      <c r="AL121" s="734"/>
      <c r="AM121" s="734"/>
      <c r="AN121" s="734"/>
      <c r="AO121" s="734"/>
      <c r="AP121" s="734"/>
      <c r="AQ121" s="734"/>
      <c r="AR121" s="734"/>
      <c r="AS121" s="734"/>
      <c r="AT121" s="734"/>
      <c r="AU121" s="734"/>
      <c r="AV121" s="734"/>
      <c r="AW121" s="734"/>
      <c r="AX121" s="734"/>
      <c r="AY121" s="734"/>
      <c r="AZ121" s="734"/>
      <c r="BA121" s="734"/>
      <c r="BB121" s="734"/>
      <c r="BC121" s="734"/>
      <c r="BD121" s="734"/>
      <c r="BE121" s="734"/>
      <c r="BF121" s="734"/>
      <c r="BG121" s="734"/>
      <c r="BH121" s="734"/>
      <c r="BI121" s="734"/>
      <c r="BJ121" s="680"/>
      <c r="BK121" s="691"/>
      <c r="BL121" s="696"/>
      <c r="BM121" s="696"/>
    </row>
    <row r="122" spans="1:65" ht="31.2" x14ac:dyDescent="0.3">
      <c r="A122" s="469" t="str">
        <f>'PRESUPUESTO OFICIAL (Entidad)'!B128</f>
        <v>B11,1</v>
      </c>
      <c r="B122" s="470" t="str">
        <f>'PRESUPUESTO OFICIAL (Entidad)'!C128</f>
        <v>Suministro e instalación de Marco y Puerta en lamina Galvanizada C.18 de 0,70 x 1,60m. Incluye anticorrosivo y pintura.</v>
      </c>
      <c r="C122" s="469" t="str">
        <f>'PRESUPUESTO OFICIAL (Entidad)'!D128</f>
        <v>UND</v>
      </c>
      <c r="D122" s="469">
        <f>'PRESUPUESTO OFICIAL (Entidad)'!E128</f>
        <v>4</v>
      </c>
      <c r="E122" s="730"/>
      <c r="F122" s="730"/>
      <c r="G122" s="730"/>
      <c r="H122" s="730"/>
      <c r="I122" s="730"/>
      <c r="J122" s="730"/>
      <c r="K122" s="730"/>
      <c r="L122" s="730"/>
      <c r="M122" s="730"/>
      <c r="N122" s="730"/>
      <c r="O122" s="730"/>
      <c r="P122" s="730"/>
      <c r="Q122" s="730"/>
      <c r="R122" s="730"/>
      <c r="S122" s="730"/>
      <c r="T122" s="730"/>
      <c r="U122" s="730"/>
      <c r="V122" s="730"/>
      <c r="W122" s="730"/>
      <c r="X122" s="730"/>
      <c r="Y122" s="730"/>
      <c r="Z122" s="730"/>
      <c r="AA122" s="730"/>
      <c r="AB122" s="730"/>
      <c r="AC122" s="730"/>
      <c r="AD122" s="730"/>
      <c r="AE122" s="730"/>
      <c r="AF122" s="730"/>
      <c r="AG122" s="730"/>
      <c r="AH122" s="730"/>
      <c r="AI122" s="730"/>
      <c r="AJ122" s="730"/>
      <c r="AK122" s="730"/>
      <c r="AL122" s="730"/>
      <c r="AM122" s="730"/>
      <c r="AN122" s="730"/>
      <c r="AO122" s="730"/>
      <c r="AP122" s="730"/>
      <c r="AQ122" s="730"/>
      <c r="AR122" s="730"/>
      <c r="AS122" s="730"/>
      <c r="AT122" s="730"/>
      <c r="AU122" s="730"/>
      <c r="AV122" s="739"/>
      <c r="AW122" s="739"/>
      <c r="AX122" s="739"/>
      <c r="AY122" s="739"/>
      <c r="AZ122" s="739"/>
      <c r="BA122" s="739"/>
      <c r="BB122" s="739"/>
      <c r="BC122" s="730"/>
      <c r="BD122" s="730"/>
      <c r="BE122" s="730"/>
      <c r="BF122" s="730"/>
      <c r="BG122" s="730"/>
      <c r="BH122" s="730"/>
      <c r="BI122" s="730"/>
      <c r="BJ122" s="695"/>
      <c r="BK122" s="62"/>
      <c r="BL122" s="62"/>
      <c r="BM122" s="52"/>
    </row>
    <row r="123" spans="1:65" x14ac:dyDescent="0.3">
      <c r="A123" s="469" t="str">
        <f>'PRESUPUESTO OFICIAL (Entidad)'!B129</f>
        <v>B11,2</v>
      </c>
      <c r="B123" s="470" t="str">
        <f>'PRESUPUESTO OFICIAL (Entidad)'!C129</f>
        <v>Suministro e instalacion divisiones para sanitario en lamina galvanizada cal. 18.</v>
      </c>
      <c r="C123" s="469" t="str">
        <f>'PRESUPUESTO OFICIAL (Entidad)'!D129</f>
        <v>M2</v>
      </c>
      <c r="D123" s="469">
        <f>'PRESUPUESTO OFICIAL (Entidad)'!E129</f>
        <v>4.32</v>
      </c>
      <c r="E123" s="730"/>
      <c r="F123" s="730"/>
      <c r="G123" s="730"/>
      <c r="H123" s="730"/>
      <c r="I123" s="730"/>
      <c r="J123" s="730"/>
      <c r="K123" s="730"/>
      <c r="L123" s="730"/>
      <c r="M123" s="730"/>
      <c r="N123" s="730"/>
      <c r="O123" s="730"/>
      <c r="P123" s="730"/>
      <c r="Q123" s="730"/>
      <c r="R123" s="730"/>
      <c r="S123" s="730"/>
      <c r="T123" s="730"/>
      <c r="U123" s="730"/>
      <c r="V123" s="730"/>
      <c r="W123" s="730"/>
      <c r="X123" s="730"/>
      <c r="Y123" s="730"/>
      <c r="Z123" s="730"/>
      <c r="AA123" s="730"/>
      <c r="AB123" s="730"/>
      <c r="AC123" s="730"/>
      <c r="AD123" s="730"/>
      <c r="AE123" s="730"/>
      <c r="AF123" s="730"/>
      <c r="AG123" s="730"/>
      <c r="AH123" s="730"/>
      <c r="AI123" s="730"/>
      <c r="AJ123" s="730"/>
      <c r="AK123" s="730"/>
      <c r="AL123" s="730"/>
      <c r="AM123" s="730"/>
      <c r="AN123" s="730"/>
      <c r="AO123" s="730"/>
      <c r="AP123" s="730"/>
      <c r="AQ123" s="730"/>
      <c r="AR123" s="730"/>
      <c r="AS123" s="730"/>
      <c r="AT123" s="730"/>
      <c r="AU123" s="730"/>
      <c r="AV123" s="730"/>
      <c r="AW123" s="730"/>
      <c r="AX123" s="730"/>
      <c r="AY123" s="730"/>
      <c r="AZ123" s="730"/>
      <c r="BA123" s="730"/>
      <c r="BB123" s="730"/>
      <c r="BC123" s="730"/>
      <c r="BD123" s="730"/>
      <c r="BE123" s="730"/>
      <c r="BF123" s="730"/>
      <c r="BG123" s="730"/>
      <c r="BH123" s="730"/>
      <c r="BI123" s="730"/>
      <c r="BJ123" s="248"/>
      <c r="BK123" s="62"/>
      <c r="BL123" s="62"/>
      <c r="BM123" s="52"/>
    </row>
    <row r="124" spans="1:65" s="697" customFormat="1" x14ac:dyDescent="0.3">
      <c r="A124" s="673" t="str">
        <f>'PRESUPUESTO OFICIAL (Entidad)'!B130</f>
        <v>B12</v>
      </c>
      <c r="B124" s="674" t="str">
        <f>'PRESUPUESTO OFICIAL (Entidad)'!C130</f>
        <v>PINTURA GENERAL Y ACABADOS</v>
      </c>
      <c r="C124" s="673"/>
      <c r="D124" s="673"/>
      <c r="E124" s="734"/>
      <c r="F124" s="734"/>
      <c r="G124" s="734"/>
      <c r="H124" s="734"/>
      <c r="I124" s="734"/>
      <c r="J124" s="734"/>
      <c r="K124" s="734"/>
      <c r="L124" s="734"/>
      <c r="M124" s="734"/>
      <c r="N124" s="734"/>
      <c r="O124" s="734"/>
      <c r="P124" s="734"/>
      <c r="Q124" s="734"/>
      <c r="R124" s="734"/>
      <c r="S124" s="734"/>
      <c r="T124" s="734"/>
      <c r="U124" s="734"/>
      <c r="V124" s="734"/>
      <c r="W124" s="734"/>
      <c r="X124" s="734"/>
      <c r="Y124" s="734"/>
      <c r="Z124" s="734"/>
      <c r="AA124" s="734"/>
      <c r="AB124" s="734"/>
      <c r="AC124" s="734"/>
      <c r="AD124" s="734"/>
      <c r="AE124" s="734"/>
      <c r="AF124" s="734"/>
      <c r="AG124" s="734"/>
      <c r="AH124" s="734"/>
      <c r="AI124" s="734"/>
      <c r="AJ124" s="734"/>
      <c r="AK124" s="734"/>
      <c r="AL124" s="734"/>
      <c r="AM124" s="734"/>
      <c r="AN124" s="734"/>
      <c r="AO124" s="744"/>
      <c r="AP124" s="744"/>
      <c r="AQ124" s="744"/>
      <c r="AR124" s="744"/>
      <c r="AS124" s="744"/>
      <c r="AT124" s="744"/>
      <c r="AU124" s="744"/>
      <c r="AV124" s="734"/>
      <c r="AW124" s="734"/>
      <c r="AX124" s="734"/>
      <c r="AY124" s="734"/>
      <c r="AZ124" s="734"/>
      <c r="BA124" s="734"/>
      <c r="BB124" s="734"/>
      <c r="BC124" s="734"/>
      <c r="BD124" s="734"/>
      <c r="BE124" s="734"/>
      <c r="BF124" s="734"/>
      <c r="BG124" s="734"/>
      <c r="BH124" s="734"/>
      <c r="BI124" s="734"/>
      <c r="BJ124" s="678"/>
      <c r="BK124" s="691"/>
      <c r="BL124" s="696"/>
      <c r="BM124" s="696"/>
    </row>
    <row r="125" spans="1:65" x14ac:dyDescent="0.3">
      <c r="A125" s="469" t="str">
        <f>'PRESUPUESTO OFICIAL (Entidad)'!B131</f>
        <v>B12,1</v>
      </c>
      <c r="B125" s="470" t="str">
        <f>'PRESUPUESTO OFICIAL (Entidad)'!C131</f>
        <v>Suministrar y aplicar  Esgrafiado en Graniplast..</v>
      </c>
      <c r="C125" s="469" t="str">
        <f>'PRESUPUESTO OFICIAL (Entidad)'!D131</f>
        <v>M2</v>
      </c>
      <c r="D125" s="469">
        <f>'PRESUPUESTO OFICIAL (Entidad)'!E131</f>
        <v>6.6</v>
      </c>
      <c r="E125" s="730"/>
      <c r="F125" s="730"/>
      <c r="G125" s="730"/>
      <c r="H125" s="730"/>
      <c r="I125" s="730"/>
      <c r="J125" s="730"/>
      <c r="K125" s="730"/>
      <c r="L125" s="730"/>
      <c r="M125" s="730"/>
      <c r="N125" s="730"/>
      <c r="O125" s="730"/>
      <c r="P125" s="730"/>
      <c r="Q125" s="730"/>
      <c r="R125" s="730"/>
      <c r="S125" s="730"/>
      <c r="T125" s="730"/>
      <c r="U125" s="730"/>
      <c r="V125" s="730"/>
      <c r="W125" s="730"/>
      <c r="X125" s="730"/>
      <c r="Y125" s="730"/>
      <c r="Z125" s="730"/>
      <c r="AA125" s="730"/>
      <c r="AB125" s="730"/>
      <c r="AC125" s="730"/>
      <c r="AD125" s="730"/>
      <c r="AE125" s="730"/>
      <c r="AF125" s="730"/>
      <c r="AG125" s="730"/>
      <c r="AH125" s="730"/>
      <c r="AI125" s="730"/>
      <c r="AJ125" s="730"/>
      <c r="AK125" s="730"/>
      <c r="AL125" s="730"/>
      <c r="AM125" s="730"/>
      <c r="AN125" s="730"/>
      <c r="AO125" s="739"/>
      <c r="AP125" s="739"/>
      <c r="AQ125" s="739"/>
      <c r="AR125" s="739"/>
      <c r="AS125" s="739"/>
      <c r="AT125" s="739"/>
      <c r="AU125" s="739"/>
      <c r="AV125" s="730"/>
      <c r="AW125" s="730"/>
      <c r="AX125" s="730"/>
      <c r="AY125" s="730"/>
      <c r="AZ125" s="730"/>
      <c r="BA125" s="730"/>
      <c r="BB125" s="730"/>
      <c r="BC125" s="730"/>
      <c r="BD125" s="730"/>
      <c r="BE125" s="730"/>
      <c r="BF125" s="730"/>
      <c r="BG125" s="730"/>
      <c r="BH125" s="730"/>
      <c r="BI125" s="730"/>
      <c r="BJ125" s="248"/>
      <c r="BK125" s="62"/>
      <c r="BL125" s="52"/>
      <c r="BM125" s="392"/>
    </row>
    <row r="126" spans="1:65" s="697" customFormat="1" x14ac:dyDescent="0.3">
      <c r="A126" s="673" t="str">
        <f>'PRESUPUESTO OFICIAL (Entidad)'!B132</f>
        <v>B13</v>
      </c>
      <c r="B126" s="674" t="str">
        <f>'PRESUPUESTO OFICIAL (Entidad)'!C132</f>
        <v>POZO SÉPTICO</v>
      </c>
      <c r="C126" s="673"/>
      <c r="D126" s="673"/>
      <c r="E126" s="734"/>
      <c r="F126" s="734"/>
      <c r="G126" s="734"/>
      <c r="H126" s="734"/>
      <c r="I126" s="734"/>
      <c r="J126" s="734"/>
      <c r="K126" s="734"/>
      <c r="L126" s="734"/>
      <c r="M126" s="734"/>
      <c r="N126" s="734"/>
      <c r="O126" s="734"/>
      <c r="P126" s="734"/>
      <c r="Q126" s="734"/>
      <c r="R126" s="734"/>
      <c r="S126" s="734"/>
      <c r="T126" s="734"/>
      <c r="U126" s="734"/>
      <c r="V126" s="734"/>
      <c r="W126" s="734"/>
      <c r="X126" s="734"/>
      <c r="Y126" s="734"/>
      <c r="Z126" s="734"/>
      <c r="AA126" s="734"/>
      <c r="AB126" s="734"/>
      <c r="AC126" s="734"/>
      <c r="AD126" s="734"/>
      <c r="AE126" s="734"/>
      <c r="AF126" s="734"/>
      <c r="AG126" s="734"/>
      <c r="AH126" s="734"/>
      <c r="AI126" s="734"/>
      <c r="AJ126" s="734"/>
      <c r="AK126" s="734"/>
      <c r="AL126" s="734"/>
      <c r="AM126" s="734"/>
      <c r="AN126" s="734"/>
      <c r="AO126" s="734"/>
      <c r="AP126" s="734"/>
      <c r="AQ126" s="734"/>
      <c r="AR126" s="734"/>
      <c r="AS126" s="734"/>
      <c r="AT126" s="734"/>
      <c r="AU126" s="734"/>
      <c r="AV126" s="734"/>
      <c r="AW126" s="734"/>
      <c r="AX126" s="734"/>
      <c r="AY126" s="734"/>
      <c r="AZ126" s="734"/>
      <c r="BA126" s="734"/>
      <c r="BB126" s="734"/>
      <c r="BC126" s="734"/>
      <c r="BD126" s="734"/>
      <c r="BE126" s="734"/>
      <c r="BF126" s="734"/>
      <c r="BG126" s="734"/>
      <c r="BH126" s="734"/>
      <c r="BI126" s="734"/>
      <c r="BJ126" s="678"/>
      <c r="BK126" s="691"/>
      <c r="BL126" s="696"/>
      <c r="BM126" s="696"/>
    </row>
    <row r="127" spans="1:65" x14ac:dyDescent="0.3">
      <c r="A127" s="469" t="str">
        <f>'PRESUPUESTO OFICIAL (Entidad)'!B133</f>
        <v>B13,1</v>
      </c>
      <c r="B127" s="470" t="str">
        <f>'PRESUPUESTO OFICIAL (Entidad)'!C133</f>
        <v>Construir a todo costo Pozo séptico y filtro anaeróbico de 3,30 x 1,30 x 1,00 mts.</v>
      </c>
      <c r="C127" s="469" t="str">
        <f>'PRESUPUESTO OFICIAL (Entidad)'!D133</f>
        <v>UND</v>
      </c>
      <c r="D127" s="469">
        <f>'PRESUPUESTO OFICIAL (Entidad)'!E133</f>
        <v>1</v>
      </c>
      <c r="E127" s="730"/>
      <c r="F127" s="730"/>
      <c r="G127" s="730"/>
      <c r="H127" s="730"/>
      <c r="I127" s="730"/>
      <c r="J127" s="730"/>
      <c r="K127" s="730"/>
      <c r="L127" s="730"/>
      <c r="M127" s="730"/>
      <c r="N127" s="730"/>
      <c r="O127" s="730"/>
      <c r="P127" s="730"/>
      <c r="Q127" s="730"/>
      <c r="R127" s="730"/>
      <c r="S127" s="730"/>
      <c r="T127" s="730"/>
      <c r="U127" s="730"/>
      <c r="V127" s="730"/>
      <c r="W127" s="730"/>
      <c r="X127" s="730"/>
      <c r="Y127" s="730"/>
      <c r="Z127" s="730"/>
      <c r="AA127" s="730"/>
      <c r="AB127" s="730"/>
      <c r="AC127" s="730"/>
      <c r="AD127" s="730"/>
      <c r="AE127" s="730"/>
      <c r="AF127" s="730"/>
      <c r="AG127" s="730"/>
      <c r="AH127" s="730"/>
      <c r="AI127" s="730"/>
      <c r="AJ127" s="730"/>
      <c r="AK127" s="730"/>
      <c r="AL127" s="730"/>
      <c r="AM127" s="730"/>
      <c r="AN127" s="730"/>
      <c r="AO127" s="743"/>
      <c r="AP127" s="743"/>
      <c r="AQ127" s="743"/>
      <c r="AR127" s="743"/>
      <c r="AS127" s="743"/>
      <c r="AT127" s="743"/>
      <c r="AU127" s="743"/>
      <c r="AV127" s="739"/>
      <c r="AW127" s="739"/>
      <c r="AX127" s="739"/>
      <c r="AY127" s="739"/>
      <c r="AZ127" s="739"/>
      <c r="BA127" s="739"/>
      <c r="BB127" s="739"/>
      <c r="BC127" s="730"/>
      <c r="BD127" s="730"/>
      <c r="BE127" s="730"/>
      <c r="BF127" s="730"/>
      <c r="BG127" s="730"/>
      <c r="BH127" s="730"/>
      <c r="BI127" s="730"/>
      <c r="BJ127" s="248"/>
      <c r="BK127" s="63"/>
      <c r="BL127" s="52"/>
      <c r="BM127" s="392"/>
    </row>
    <row r="128" spans="1:65" s="697" customFormat="1" x14ac:dyDescent="0.3">
      <c r="A128" s="673" t="str">
        <f>'PRESUPUESTO OFICIAL (Entidad)'!B134</f>
        <v>B14</v>
      </c>
      <c r="B128" s="674" t="str">
        <f>'PRESUPUESTO OFICIAL (Entidad)'!C134</f>
        <v>LIMPIEZA GENERAL</v>
      </c>
      <c r="C128" s="673"/>
      <c r="D128" s="673"/>
      <c r="E128" s="734"/>
      <c r="F128" s="734"/>
      <c r="G128" s="734"/>
      <c r="H128" s="734"/>
      <c r="I128" s="734"/>
      <c r="J128" s="734"/>
      <c r="K128" s="734"/>
      <c r="L128" s="734"/>
      <c r="M128" s="734"/>
      <c r="N128" s="734"/>
      <c r="O128" s="734"/>
      <c r="P128" s="734"/>
      <c r="Q128" s="734"/>
      <c r="R128" s="734"/>
      <c r="S128" s="734"/>
      <c r="T128" s="734"/>
      <c r="U128" s="734"/>
      <c r="V128" s="734"/>
      <c r="W128" s="734"/>
      <c r="X128" s="734"/>
      <c r="Y128" s="734"/>
      <c r="Z128" s="734"/>
      <c r="AA128" s="734"/>
      <c r="AB128" s="734"/>
      <c r="AC128" s="734"/>
      <c r="AD128" s="734"/>
      <c r="AE128" s="734"/>
      <c r="AF128" s="734"/>
      <c r="AG128" s="734"/>
      <c r="AH128" s="734"/>
      <c r="AI128" s="734"/>
      <c r="AJ128" s="734"/>
      <c r="AK128" s="734"/>
      <c r="AL128" s="734"/>
      <c r="AM128" s="734"/>
      <c r="AN128" s="734"/>
      <c r="AO128" s="734"/>
      <c r="AP128" s="734"/>
      <c r="AQ128" s="734"/>
      <c r="AR128" s="734"/>
      <c r="AS128" s="734"/>
      <c r="AT128" s="734"/>
      <c r="AU128" s="734"/>
      <c r="AV128" s="734"/>
      <c r="AW128" s="734"/>
      <c r="AX128" s="734"/>
      <c r="AY128" s="734"/>
      <c r="AZ128" s="734"/>
      <c r="BA128" s="734"/>
      <c r="BB128" s="734"/>
      <c r="BC128" s="734"/>
      <c r="BD128" s="734"/>
      <c r="BE128" s="734"/>
      <c r="BF128" s="734"/>
      <c r="BG128" s="734"/>
      <c r="BH128" s="734"/>
      <c r="BI128" s="734"/>
      <c r="BJ128" s="680"/>
      <c r="BK128" s="691"/>
      <c r="BL128" s="696"/>
      <c r="BM128" s="696"/>
    </row>
    <row r="129" spans="1:66" x14ac:dyDescent="0.3">
      <c r="A129" s="469" t="str">
        <f>'PRESUPUESTO OFICIAL (Entidad)'!B135</f>
        <v>B14,1</v>
      </c>
      <c r="B129" s="470" t="str">
        <f>'PRESUPUESTO OFICIAL (Entidad)'!C135</f>
        <v>Aseo final de obra.</v>
      </c>
      <c r="C129" s="469" t="str">
        <f>'PRESUPUESTO OFICIAL (Entidad)'!D135</f>
        <v>M2</v>
      </c>
      <c r="D129" s="469">
        <f>'PRESUPUESTO OFICIAL (Entidad)'!E135</f>
        <v>24.25</v>
      </c>
      <c r="E129" s="730"/>
      <c r="F129" s="730"/>
      <c r="G129" s="730"/>
      <c r="H129" s="730"/>
      <c r="I129" s="730"/>
      <c r="J129" s="730"/>
      <c r="K129" s="730"/>
      <c r="L129" s="730"/>
      <c r="M129" s="730"/>
      <c r="N129" s="730"/>
      <c r="O129" s="730"/>
      <c r="P129" s="730"/>
      <c r="Q129" s="730"/>
      <c r="R129" s="730"/>
      <c r="S129" s="730"/>
      <c r="T129" s="730"/>
      <c r="U129" s="730"/>
      <c r="V129" s="730"/>
      <c r="W129" s="730"/>
      <c r="X129" s="730"/>
      <c r="Y129" s="730"/>
      <c r="Z129" s="730"/>
      <c r="AA129" s="730"/>
      <c r="AB129" s="730"/>
      <c r="AC129" s="730"/>
      <c r="AD129" s="730"/>
      <c r="AE129" s="730"/>
      <c r="AF129" s="730"/>
      <c r="AG129" s="730"/>
      <c r="AH129" s="730"/>
      <c r="AI129" s="730"/>
      <c r="AJ129" s="730"/>
      <c r="AK129" s="730"/>
      <c r="AL129" s="730"/>
      <c r="AM129" s="730"/>
      <c r="AN129" s="730"/>
      <c r="AO129" s="730"/>
      <c r="AP129" s="730"/>
      <c r="AQ129" s="730"/>
      <c r="AR129" s="730"/>
      <c r="AS129" s="730"/>
      <c r="AT129" s="730"/>
      <c r="AU129" s="730"/>
      <c r="AV129" s="730"/>
      <c r="AW129" s="730"/>
      <c r="AX129" s="730"/>
      <c r="AY129" s="730"/>
      <c r="AZ129" s="730"/>
      <c r="BA129" s="730"/>
      <c r="BB129" s="730"/>
      <c r="BC129" s="739"/>
      <c r="BD129" s="739"/>
      <c r="BE129" s="739"/>
      <c r="BF129" s="739"/>
      <c r="BG129" s="739"/>
      <c r="BH129" s="739"/>
      <c r="BI129" s="739"/>
      <c r="BJ129" s="248"/>
      <c r="BK129" s="62"/>
      <c r="BL129" s="52"/>
      <c r="BM129" s="392"/>
    </row>
    <row r="130" spans="1:66" ht="22.5" customHeight="1" x14ac:dyDescent="0.3">
      <c r="A130" s="471" t="str">
        <f>'PRESUPUESTO OFICIAL (Entidad)'!B136</f>
        <v>C</v>
      </c>
      <c r="B130" s="668" t="str">
        <f>'PRESUPUESTO OFICIAL (Entidad)'!C136</f>
        <v xml:space="preserve">CONSTRUCCION DE 2 AULAS EDUCATIVAS EN LA INSTITUCIÓN EDUCATIVA EL CAUCHAL SEDE PRINCIPAL </v>
      </c>
      <c r="C130" s="699"/>
      <c r="D130" s="699"/>
      <c r="E130" s="669"/>
      <c r="F130" s="669"/>
      <c r="G130" s="669"/>
      <c r="H130" s="669"/>
      <c r="I130" s="669"/>
      <c r="J130" s="669"/>
      <c r="K130" s="669"/>
      <c r="L130" s="669"/>
      <c r="M130" s="669"/>
      <c r="N130" s="669"/>
      <c r="O130" s="669"/>
      <c r="P130" s="669"/>
      <c r="Q130" s="669"/>
      <c r="R130" s="669"/>
      <c r="S130" s="669"/>
      <c r="T130" s="669"/>
      <c r="U130" s="669"/>
      <c r="V130" s="669"/>
      <c r="W130" s="669"/>
      <c r="X130" s="669"/>
      <c r="Y130" s="669"/>
      <c r="Z130" s="669"/>
      <c r="AA130" s="669"/>
      <c r="AB130" s="669"/>
      <c r="AC130" s="669"/>
      <c r="AD130" s="669"/>
      <c r="AE130" s="669"/>
      <c r="AF130" s="669"/>
      <c r="AG130" s="669"/>
      <c r="AH130" s="669"/>
      <c r="AI130" s="669"/>
      <c r="AJ130" s="669"/>
      <c r="AK130" s="669"/>
      <c r="AL130" s="669"/>
      <c r="AM130" s="669"/>
      <c r="AN130" s="669"/>
      <c r="AO130" s="669"/>
      <c r="AP130" s="669"/>
      <c r="AQ130" s="669"/>
      <c r="AR130" s="669"/>
      <c r="AS130" s="669"/>
      <c r="AT130" s="669"/>
      <c r="AU130" s="669"/>
      <c r="AV130" s="669"/>
      <c r="AW130" s="669"/>
      <c r="AX130" s="669"/>
      <c r="AY130" s="669"/>
      <c r="AZ130" s="669"/>
      <c r="BA130" s="669"/>
      <c r="BB130" s="669"/>
      <c r="BC130" s="669"/>
      <c r="BD130" s="669"/>
      <c r="BE130" s="669"/>
      <c r="BF130" s="669"/>
      <c r="BG130" s="669"/>
      <c r="BH130" s="669"/>
      <c r="BI130" s="669"/>
      <c r="BJ130" s="669"/>
      <c r="BK130" s="669"/>
      <c r="BL130" s="669"/>
      <c r="BM130" s="670"/>
      <c r="BN130" s="501"/>
    </row>
    <row r="131" spans="1:66" s="697" customFormat="1" x14ac:dyDescent="0.3">
      <c r="A131" s="667" t="str">
        <f>'PRESUPUESTO OFICIAL (Entidad)'!B137</f>
        <v>C1</v>
      </c>
      <c r="B131" s="700" t="str">
        <f>'PRESUPUESTO OFICIAL (Entidad)'!C137</f>
        <v>PRELIMINARES</v>
      </c>
      <c r="C131" s="701"/>
      <c r="D131" s="701"/>
      <c r="E131" s="734"/>
      <c r="F131" s="734"/>
      <c r="G131" s="734"/>
      <c r="H131" s="734"/>
      <c r="I131" s="734"/>
      <c r="J131" s="734"/>
      <c r="K131" s="734"/>
      <c r="L131" s="734"/>
      <c r="M131" s="734"/>
      <c r="N131" s="734"/>
      <c r="O131" s="734"/>
      <c r="P131" s="734"/>
      <c r="Q131" s="734"/>
      <c r="R131" s="734"/>
      <c r="S131" s="734"/>
      <c r="T131" s="734"/>
      <c r="U131" s="734"/>
      <c r="V131" s="734"/>
      <c r="W131" s="734"/>
      <c r="X131" s="734"/>
      <c r="Y131" s="734"/>
      <c r="Z131" s="734"/>
      <c r="AA131" s="734"/>
      <c r="AB131" s="734"/>
      <c r="AC131" s="734"/>
      <c r="AD131" s="734"/>
      <c r="AE131" s="734"/>
      <c r="AF131" s="734"/>
      <c r="AG131" s="734"/>
      <c r="AH131" s="734"/>
      <c r="AI131" s="734"/>
      <c r="AJ131" s="734"/>
      <c r="AK131" s="734"/>
      <c r="AL131" s="734"/>
      <c r="AM131" s="734"/>
      <c r="AN131" s="734"/>
      <c r="AO131" s="734"/>
      <c r="AP131" s="734"/>
      <c r="AQ131" s="734"/>
      <c r="AR131" s="734"/>
      <c r="AS131" s="734"/>
      <c r="AT131" s="734"/>
      <c r="AU131" s="734"/>
      <c r="AV131" s="734"/>
      <c r="AW131" s="734"/>
      <c r="AX131" s="734"/>
      <c r="AY131" s="734"/>
      <c r="AZ131" s="734"/>
      <c r="BA131" s="734"/>
      <c r="BB131" s="734"/>
      <c r="BC131" s="734"/>
      <c r="BD131" s="734"/>
      <c r="BE131" s="734"/>
      <c r="BF131" s="734"/>
      <c r="BG131" s="734"/>
      <c r="BH131" s="734"/>
      <c r="BI131" s="734"/>
      <c r="BJ131" s="678"/>
      <c r="BK131" s="696"/>
      <c r="BL131" s="696"/>
      <c r="BM131" s="696"/>
    </row>
    <row r="132" spans="1:66" x14ac:dyDescent="0.3">
      <c r="A132" s="156" t="str">
        <f>'PRESUPUESTO OFICIAL (Entidad)'!B138</f>
        <v>C1,1</v>
      </c>
      <c r="B132" s="111" t="str">
        <f>'PRESUPUESTO OFICIAL (Entidad)'!C138</f>
        <v>Localización y Replanteo manual.</v>
      </c>
      <c r="C132" s="158" t="str">
        <f>'PRESUPUESTO OFICIAL (Entidad)'!D138</f>
        <v>M2</v>
      </c>
      <c r="D132" s="158">
        <f>'PRESUPUESTO OFICIAL (Entidad)'!E138</f>
        <v>149.76</v>
      </c>
      <c r="E132" s="739"/>
      <c r="F132" s="739"/>
      <c r="G132" s="739"/>
      <c r="H132" s="739"/>
      <c r="I132" s="739"/>
      <c r="J132" s="739"/>
      <c r="K132" s="739"/>
      <c r="L132" s="730"/>
      <c r="M132" s="730"/>
      <c r="N132" s="730"/>
      <c r="O132" s="730"/>
      <c r="P132" s="730"/>
      <c r="Q132" s="730"/>
      <c r="R132" s="730"/>
      <c r="S132" s="730"/>
      <c r="T132" s="730"/>
      <c r="U132" s="730"/>
      <c r="V132" s="730"/>
      <c r="W132" s="730"/>
      <c r="X132" s="730"/>
      <c r="Y132" s="730"/>
      <c r="Z132" s="730"/>
      <c r="AA132" s="730"/>
      <c r="AB132" s="730"/>
      <c r="AC132" s="730"/>
      <c r="AD132" s="730"/>
      <c r="AE132" s="730"/>
      <c r="AF132" s="730"/>
      <c r="AG132" s="730"/>
      <c r="AH132" s="730"/>
      <c r="AI132" s="730"/>
      <c r="AJ132" s="730"/>
      <c r="AK132" s="730"/>
      <c r="AL132" s="730"/>
      <c r="AM132" s="730"/>
      <c r="AN132" s="730"/>
      <c r="AO132" s="742"/>
      <c r="AP132" s="742"/>
      <c r="AQ132" s="742"/>
      <c r="AR132" s="742"/>
      <c r="AS132" s="742"/>
      <c r="AT132" s="742"/>
      <c r="AU132" s="742"/>
      <c r="AV132" s="730"/>
      <c r="AW132" s="730"/>
      <c r="AX132" s="730"/>
      <c r="AY132" s="730"/>
      <c r="AZ132" s="730"/>
      <c r="BA132" s="730"/>
      <c r="BB132" s="730"/>
      <c r="BC132" s="730"/>
      <c r="BD132" s="730"/>
      <c r="BE132" s="730"/>
      <c r="BF132" s="730"/>
      <c r="BG132" s="730"/>
      <c r="BH132" s="730"/>
      <c r="BI132" s="730"/>
      <c r="BJ132" s="248"/>
      <c r="BK132" s="52"/>
      <c r="BL132" s="52"/>
      <c r="BM132" s="52"/>
    </row>
    <row r="133" spans="1:66" x14ac:dyDescent="0.3">
      <c r="A133" s="156" t="str">
        <f>'PRESUPUESTO OFICIAL (Entidad)'!B139</f>
        <v>C1,2</v>
      </c>
      <c r="B133" s="111" t="str">
        <f>'PRESUPUESTO OFICIAL (Entidad)'!C139</f>
        <v>Descapote manual  e=20cm incluye retiro.</v>
      </c>
      <c r="C133" s="158" t="str">
        <f>'PRESUPUESTO OFICIAL (Entidad)'!D139</f>
        <v>M2</v>
      </c>
      <c r="D133" s="158">
        <f>'PRESUPUESTO OFICIAL (Entidad)'!E139</f>
        <v>149.76</v>
      </c>
      <c r="E133" s="730"/>
      <c r="F133" s="730"/>
      <c r="G133" s="730"/>
      <c r="H133" s="730"/>
      <c r="I133" s="730"/>
      <c r="J133" s="730"/>
      <c r="K133" s="730"/>
      <c r="L133" s="730"/>
      <c r="M133" s="730"/>
      <c r="N133" s="730"/>
      <c r="O133" s="730"/>
      <c r="P133" s="730"/>
      <c r="Q133" s="730"/>
      <c r="R133" s="730"/>
      <c r="S133" s="730"/>
      <c r="T133" s="730"/>
      <c r="U133" s="730"/>
      <c r="V133" s="730"/>
      <c r="W133" s="730"/>
      <c r="X133" s="730"/>
      <c r="Y133" s="730"/>
      <c r="Z133" s="730"/>
      <c r="AA133" s="730"/>
      <c r="AB133" s="730"/>
      <c r="AC133" s="730"/>
      <c r="AD133" s="730"/>
      <c r="AE133" s="730"/>
      <c r="AF133" s="730"/>
      <c r="AG133" s="730"/>
      <c r="AH133" s="730"/>
      <c r="AI133" s="730"/>
      <c r="AJ133" s="730"/>
      <c r="AK133" s="730"/>
      <c r="AL133" s="730"/>
      <c r="AM133" s="730"/>
      <c r="AN133" s="730"/>
      <c r="AO133" s="730"/>
      <c r="AP133" s="730"/>
      <c r="AQ133" s="730"/>
      <c r="AR133" s="730"/>
      <c r="AS133" s="730"/>
      <c r="AT133" s="730"/>
      <c r="AU133" s="730"/>
      <c r="AV133" s="730"/>
      <c r="AW133" s="730"/>
      <c r="AX133" s="730"/>
      <c r="AY133" s="730"/>
      <c r="AZ133" s="730"/>
      <c r="BA133" s="730"/>
      <c r="BB133" s="730"/>
      <c r="BC133" s="730"/>
      <c r="BD133" s="730"/>
      <c r="BE133" s="730"/>
      <c r="BF133" s="730"/>
      <c r="BG133" s="730"/>
      <c r="BH133" s="730"/>
      <c r="BI133" s="730"/>
      <c r="BJ133" s="374"/>
      <c r="BK133" s="52"/>
      <c r="BL133" s="52"/>
      <c r="BM133" s="52"/>
    </row>
    <row r="134" spans="1:66" s="697" customFormat="1" x14ac:dyDescent="0.3">
      <c r="A134" s="667" t="str">
        <f>'PRESUPUESTO OFICIAL (Entidad)'!B140</f>
        <v>C2</v>
      </c>
      <c r="B134" s="700" t="str">
        <f>'PRESUPUESTO OFICIAL (Entidad)'!C140</f>
        <v>MOVIMIENTO DE TIERRA</v>
      </c>
      <c r="C134" s="701"/>
      <c r="D134" s="701"/>
      <c r="E134" s="734"/>
      <c r="F134" s="734"/>
      <c r="G134" s="734"/>
      <c r="H134" s="734"/>
      <c r="I134" s="734"/>
      <c r="J134" s="734"/>
      <c r="K134" s="734"/>
      <c r="L134" s="734"/>
      <c r="M134" s="734"/>
      <c r="N134" s="734"/>
      <c r="O134" s="734"/>
      <c r="P134" s="734"/>
      <c r="Q134" s="734"/>
      <c r="R134" s="734"/>
      <c r="S134" s="734"/>
      <c r="T134" s="734"/>
      <c r="U134" s="734"/>
      <c r="V134" s="734"/>
      <c r="W134" s="734"/>
      <c r="X134" s="734"/>
      <c r="Y134" s="734"/>
      <c r="Z134" s="734"/>
      <c r="AA134" s="734"/>
      <c r="AB134" s="734"/>
      <c r="AC134" s="734"/>
      <c r="AD134" s="734"/>
      <c r="AE134" s="734"/>
      <c r="AF134" s="734"/>
      <c r="AG134" s="734"/>
      <c r="AH134" s="734"/>
      <c r="AI134" s="734"/>
      <c r="AJ134" s="734"/>
      <c r="AK134" s="734"/>
      <c r="AL134" s="734"/>
      <c r="AM134" s="734"/>
      <c r="AN134" s="734"/>
      <c r="AO134" s="734"/>
      <c r="AP134" s="734"/>
      <c r="AQ134" s="734"/>
      <c r="AR134" s="734"/>
      <c r="AS134" s="734"/>
      <c r="AT134" s="734"/>
      <c r="AU134" s="734"/>
      <c r="AV134" s="734"/>
      <c r="AW134" s="734"/>
      <c r="AX134" s="734"/>
      <c r="AY134" s="734"/>
      <c r="AZ134" s="734"/>
      <c r="BA134" s="734"/>
      <c r="BB134" s="734"/>
      <c r="BC134" s="734"/>
      <c r="BD134" s="734"/>
      <c r="BE134" s="734"/>
      <c r="BF134" s="734"/>
      <c r="BG134" s="734"/>
      <c r="BH134" s="734"/>
      <c r="BI134" s="734"/>
      <c r="BJ134" s="680"/>
      <c r="BK134" s="696"/>
      <c r="BL134" s="696"/>
      <c r="BM134" s="696"/>
    </row>
    <row r="135" spans="1:66" x14ac:dyDescent="0.3">
      <c r="A135" s="156" t="str">
        <f>'PRESUPUESTO OFICIAL (Entidad)'!B141</f>
        <v>C2,1</v>
      </c>
      <c r="B135" s="111" t="str">
        <f>'PRESUPUESTO OFICIAL (Entidad)'!C141</f>
        <v xml:space="preserve">Excavacion manual. Incluye retiro del material. </v>
      </c>
      <c r="C135" s="158" t="str">
        <f>'PRESUPUESTO OFICIAL (Entidad)'!D141</f>
        <v>M3</v>
      </c>
      <c r="D135" s="158">
        <f>'PRESUPUESTO OFICIAL (Entidad)'!E141</f>
        <v>26.7</v>
      </c>
      <c r="E135" s="739"/>
      <c r="F135" s="739"/>
      <c r="G135" s="739"/>
      <c r="H135" s="739"/>
      <c r="I135" s="739"/>
      <c r="J135" s="739"/>
      <c r="K135" s="739"/>
      <c r="L135" s="730"/>
      <c r="M135" s="730"/>
      <c r="N135" s="730"/>
      <c r="O135" s="730"/>
      <c r="P135" s="730"/>
      <c r="Q135" s="730"/>
      <c r="R135" s="730"/>
      <c r="S135" s="730"/>
      <c r="T135" s="730"/>
      <c r="U135" s="730"/>
      <c r="V135" s="730"/>
      <c r="W135" s="730"/>
      <c r="X135" s="730"/>
      <c r="Y135" s="730"/>
      <c r="Z135" s="730"/>
      <c r="AA135" s="730"/>
      <c r="AB135" s="730"/>
      <c r="AC135" s="730"/>
      <c r="AD135" s="730"/>
      <c r="AE135" s="730"/>
      <c r="AF135" s="730"/>
      <c r="AG135" s="730"/>
      <c r="AH135" s="730"/>
      <c r="AI135" s="730"/>
      <c r="AJ135" s="730"/>
      <c r="AK135" s="730"/>
      <c r="AL135" s="730"/>
      <c r="AM135" s="730"/>
      <c r="AN135" s="730"/>
      <c r="AO135" s="730"/>
      <c r="AP135" s="730"/>
      <c r="AQ135" s="730"/>
      <c r="AR135" s="730"/>
      <c r="AS135" s="730"/>
      <c r="AT135" s="730"/>
      <c r="AU135" s="730"/>
      <c r="AV135" s="730"/>
      <c r="AW135" s="730"/>
      <c r="AX135" s="730"/>
      <c r="AY135" s="730"/>
      <c r="AZ135" s="730"/>
      <c r="BA135" s="730"/>
      <c r="BB135" s="730"/>
      <c r="BC135" s="730"/>
      <c r="BD135" s="730"/>
      <c r="BE135" s="730"/>
      <c r="BF135" s="730"/>
      <c r="BG135" s="730"/>
      <c r="BH135" s="730"/>
      <c r="BI135" s="730"/>
      <c r="BJ135" s="248"/>
      <c r="BK135" s="52"/>
      <c r="BL135" s="52"/>
      <c r="BM135" s="52"/>
    </row>
    <row r="136" spans="1:66" x14ac:dyDescent="0.3">
      <c r="A136" s="156" t="str">
        <f>'PRESUPUESTO OFICIAL (Entidad)'!B142</f>
        <v>C2,2</v>
      </c>
      <c r="B136" s="111" t="str">
        <f>'PRESUPUESTO OFICIAL (Entidad)'!C142</f>
        <v>Relleno en recebo compactado mecánicamente.</v>
      </c>
      <c r="C136" s="158" t="str">
        <f>'PRESUPUESTO OFICIAL (Entidad)'!D142</f>
        <v>M3</v>
      </c>
      <c r="D136" s="158">
        <f>'PRESUPUESTO OFICIAL (Entidad)'!E142</f>
        <v>5.87</v>
      </c>
      <c r="E136" s="739"/>
      <c r="F136" s="739"/>
      <c r="G136" s="739"/>
      <c r="H136" s="739"/>
      <c r="I136" s="739"/>
      <c r="J136" s="739"/>
      <c r="K136" s="739"/>
      <c r="L136" s="739"/>
      <c r="M136" s="739"/>
      <c r="N136" s="739"/>
      <c r="O136" s="739"/>
      <c r="P136" s="739"/>
      <c r="Q136" s="739"/>
      <c r="R136" s="739"/>
      <c r="S136" s="730"/>
      <c r="T136" s="730"/>
      <c r="U136" s="730"/>
      <c r="V136" s="730"/>
      <c r="W136" s="730"/>
      <c r="X136" s="730"/>
      <c r="Y136" s="730"/>
      <c r="Z136" s="730"/>
      <c r="AA136" s="730"/>
      <c r="AB136" s="730"/>
      <c r="AC136" s="730"/>
      <c r="AD136" s="730"/>
      <c r="AE136" s="730"/>
      <c r="AF136" s="730"/>
      <c r="AG136" s="730"/>
      <c r="AH136" s="730"/>
      <c r="AI136" s="730"/>
      <c r="AJ136" s="730"/>
      <c r="AK136" s="730"/>
      <c r="AL136" s="730"/>
      <c r="AM136" s="730"/>
      <c r="AN136" s="730"/>
      <c r="AO136" s="730"/>
      <c r="AP136" s="730"/>
      <c r="AQ136" s="730"/>
      <c r="AR136" s="730"/>
      <c r="AS136" s="730"/>
      <c r="AT136" s="730"/>
      <c r="AU136" s="730"/>
      <c r="AV136" s="730"/>
      <c r="AW136" s="730"/>
      <c r="AX136" s="730"/>
      <c r="AY136" s="730"/>
      <c r="AZ136" s="730"/>
      <c r="BA136" s="730"/>
      <c r="BB136" s="730"/>
      <c r="BC136" s="730"/>
      <c r="BD136" s="730"/>
      <c r="BE136" s="730"/>
      <c r="BF136" s="730"/>
      <c r="BG136" s="730"/>
      <c r="BH136" s="730"/>
      <c r="BI136" s="730"/>
      <c r="BJ136" s="373"/>
      <c r="BK136" s="52"/>
      <c r="BL136" s="52"/>
      <c r="BM136" s="52"/>
    </row>
    <row r="137" spans="1:66" s="697" customFormat="1" x14ac:dyDescent="0.3">
      <c r="A137" s="667" t="str">
        <f>'PRESUPUESTO OFICIAL (Entidad)'!B143</f>
        <v>C3</v>
      </c>
      <c r="B137" s="700" t="str">
        <f>'PRESUPUESTO OFICIAL (Entidad)'!C143</f>
        <v>CIMIENTOS</v>
      </c>
      <c r="C137" s="701"/>
      <c r="D137" s="701"/>
      <c r="E137" s="734"/>
      <c r="F137" s="734"/>
      <c r="G137" s="734"/>
      <c r="H137" s="734"/>
      <c r="I137" s="734"/>
      <c r="J137" s="734"/>
      <c r="K137" s="734"/>
      <c r="L137" s="734"/>
      <c r="M137" s="734"/>
      <c r="N137" s="734"/>
      <c r="O137" s="734"/>
      <c r="P137" s="734"/>
      <c r="Q137" s="734"/>
      <c r="R137" s="734"/>
      <c r="S137" s="734"/>
      <c r="T137" s="734"/>
      <c r="U137" s="734"/>
      <c r="V137" s="734"/>
      <c r="W137" s="734"/>
      <c r="X137" s="734"/>
      <c r="Y137" s="734"/>
      <c r="Z137" s="734"/>
      <c r="AA137" s="734"/>
      <c r="AB137" s="734"/>
      <c r="AC137" s="734"/>
      <c r="AD137" s="734"/>
      <c r="AE137" s="734"/>
      <c r="AF137" s="734"/>
      <c r="AG137" s="734"/>
      <c r="AH137" s="734"/>
      <c r="AI137" s="734"/>
      <c r="AJ137" s="734"/>
      <c r="AK137" s="734"/>
      <c r="AL137" s="734"/>
      <c r="AM137" s="734"/>
      <c r="AN137" s="734"/>
      <c r="AO137" s="744"/>
      <c r="AP137" s="744"/>
      <c r="AQ137" s="744"/>
      <c r="AR137" s="744"/>
      <c r="AS137" s="744"/>
      <c r="AT137" s="744"/>
      <c r="AU137" s="744"/>
      <c r="AV137" s="734"/>
      <c r="AW137" s="734"/>
      <c r="AX137" s="734"/>
      <c r="AY137" s="734"/>
      <c r="AZ137" s="734"/>
      <c r="BA137" s="734"/>
      <c r="BB137" s="734"/>
      <c r="BC137" s="734"/>
      <c r="BD137" s="734"/>
      <c r="BE137" s="734"/>
      <c r="BF137" s="734"/>
      <c r="BG137" s="734"/>
      <c r="BH137" s="734"/>
      <c r="BI137" s="734"/>
      <c r="BJ137" s="680"/>
      <c r="BK137" s="696"/>
      <c r="BL137" s="696"/>
      <c r="BM137" s="696"/>
    </row>
    <row r="138" spans="1:66" ht="31.2" x14ac:dyDescent="0.3">
      <c r="A138" s="156" t="str">
        <f>'PRESUPUESTO OFICIAL (Entidad)'!B144</f>
        <v>C3,1</v>
      </c>
      <c r="B138" s="111" t="str">
        <f>'PRESUPUESTO OFICIAL (Entidad)'!C144</f>
        <v>Concreto Ciclópeo (40% en piedra media zonga y 60% concreto 2500 PSI de 0,30*0,40 m).</v>
      </c>
      <c r="C138" s="158" t="str">
        <f>'PRESUPUESTO OFICIAL (Entidad)'!D144</f>
        <v>M3</v>
      </c>
      <c r="D138" s="158">
        <f>'PRESUPUESTO OFICIAL (Entidad)'!E144</f>
        <v>4.08</v>
      </c>
      <c r="E138" s="730"/>
      <c r="F138" s="730"/>
      <c r="G138" s="730"/>
      <c r="H138" s="730"/>
      <c r="I138" s="730"/>
      <c r="J138" s="730"/>
      <c r="K138" s="730"/>
      <c r="L138" s="739"/>
      <c r="M138" s="739"/>
      <c r="N138" s="739"/>
      <c r="O138" s="739"/>
      <c r="P138" s="739"/>
      <c r="Q138" s="739"/>
      <c r="R138" s="739"/>
      <c r="S138" s="730"/>
      <c r="T138" s="730"/>
      <c r="U138" s="730"/>
      <c r="V138" s="730"/>
      <c r="W138" s="730"/>
      <c r="X138" s="730"/>
      <c r="Y138" s="730"/>
      <c r="Z138" s="730"/>
      <c r="AA138" s="730"/>
      <c r="AB138" s="730"/>
      <c r="AC138" s="730"/>
      <c r="AD138" s="730"/>
      <c r="AE138" s="730"/>
      <c r="AF138" s="730"/>
      <c r="AG138" s="730"/>
      <c r="AH138" s="730"/>
      <c r="AI138" s="730"/>
      <c r="AJ138" s="730"/>
      <c r="AK138" s="730"/>
      <c r="AL138" s="730"/>
      <c r="AM138" s="730"/>
      <c r="AN138" s="730"/>
      <c r="AO138" s="730"/>
      <c r="AP138" s="730"/>
      <c r="AQ138" s="730"/>
      <c r="AR138" s="730"/>
      <c r="AS138" s="730"/>
      <c r="AT138" s="730"/>
      <c r="AU138" s="730"/>
      <c r="AV138" s="730"/>
      <c r="AW138" s="730"/>
      <c r="AX138" s="730"/>
      <c r="AY138" s="730"/>
      <c r="AZ138" s="730"/>
      <c r="BA138" s="730"/>
      <c r="BB138" s="730"/>
      <c r="BC138" s="730"/>
      <c r="BD138" s="730"/>
      <c r="BE138" s="730"/>
      <c r="BF138" s="730"/>
      <c r="BG138" s="730"/>
      <c r="BH138" s="730"/>
      <c r="BI138" s="730"/>
      <c r="BJ138" s="374"/>
      <c r="BK138" s="52"/>
      <c r="BL138" s="52"/>
      <c r="BM138" s="52"/>
    </row>
    <row r="139" spans="1:66" x14ac:dyDescent="0.3">
      <c r="A139" s="156" t="str">
        <f>'PRESUPUESTO OFICIAL (Entidad)'!B145</f>
        <v>C3,2</v>
      </c>
      <c r="B139" s="111" t="str">
        <f>'PRESUPUESTO OFICIAL (Entidad)'!C145</f>
        <v>Cimentación tipo zapatas en concreto de 3000 P.S.I (1,00*1,00*0,40 m).</v>
      </c>
      <c r="C139" s="158" t="str">
        <f>'PRESUPUESTO OFICIAL (Entidad)'!D145</f>
        <v>M3</v>
      </c>
      <c r="D139" s="158">
        <f>'PRESUPUESTO OFICIAL (Entidad)'!E145</f>
        <v>5.2</v>
      </c>
      <c r="E139" s="730"/>
      <c r="F139" s="730"/>
      <c r="G139" s="730"/>
      <c r="H139" s="730"/>
      <c r="I139" s="730"/>
      <c r="J139" s="730"/>
      <c r="K139" s="730"/>
      <c r="L139" s="739"/>
      <c r="M139" s="739"/>
      <c r="N139" s="739"/>
      <c r="O139" s="739"/>
      <c r="P139" s="739"/>
      <c r="Q139" s="739"/>
      <c r="R139" s="739"/>
      <c r="S139" s="730"/>
      <c r="T139" s="730"/>
      <c r="U139" s="730"/>
      <c r="V139" s="730"/>
      <c r="W139" s="730"/>
      <c r="X139" s="730"/>
      <c r="Y139" s="730"/>
      <c r="Z139" s="730"/>
      <c r="AA139" s="730"/>
      <c r="AB139" s="730"/>
      <c r="AC139" s="730"/>
      <c r="AD139" s="730"/>
      <c r="AE139" s="730"/>
      <c r="AF139" s="730"/>
      <c r="AG139" s="730"/>
      <c r="AH139" s="730"/>
      <c r="AI139" s="730"/>
      <c r="AJ139" s="730"/>
      <c r="AK139" s="730"/>
      <c r="AL139" s="730"/>
      <c r="AM139" s="730"/>
      <c r="AN139" s="730"/>
      <c r="AO139" s="730"/>
      <c r="AP139" s="730"/>
      <c r="AQ139" s="730"/>
      <c r="AR139" s="730"/>
      <c r="AS139" s="730"/>
      <c r="AT139" s="730"/>
      <c r="AU139" s="730"/>
      <c r="AV139" s="730"/>
      <c r="AW139" s="730"/>
      <c r="AX139" s="730"/>
      <c r="AY139" s="730"/>
      <c r="AZ139" s="730"/>
      <c r="BA139" s="730"/>
      <c r="BB139" s="730"/>
      <c r="BC139" s="730"/>
      <c r="BD139" s="730"/>
      <c r="BE139" s="730"/>
      <c r="BF139" s="730"/>
      <c r="BG139" s="730"/>
      <c r="BH139" s="730"/>
      <c r="BI139" s="730"/>
      <c r="BJ139" s="248"/>
      <c r="BK139" s="52"/>
      <c r="BL139" s="52"/>
      <c r="BM139" s="52"/>
    </row>
    <row r="140" spans="1:66" ht="31.2" x14ac:dyDescent="0.3">
      <c r="A140" s="156" t="str">
        <f>'PRESUPUESTO OFICIAL (Entidad)'!B146</f>
        <v>C3,3</v>
      </c>
      <c r="B140" s="111" t="str">
        <f>'PRESUPUESTO OFICIAL (Entidad)'!C146</f>
        <v>Viga de cimentacion en concreto de 3000 P.S.I.(0,30*0,30m), incluye acero de refuerzo de 60000 P.S.I (4Ø5/8" refuerzo y E=Ø3/8" c/d. 0,10 m).</v>
      </c>
      <c r="C140" s="158" t="str">
        <f>'PRESUPUESTO OFICIAL (Entidad)'!D146</f>
        <v>ML</v>
      </c>
      <c r="D140" s="158">
        <f>'PRESUPUESTO OFICIAL (Entidad)'!E146</f>
        <v>50.4</v>
      </c>
      <c r="E140" s="730"/>
      <c r="F140" s="730"/>
      <c r="G140" s="730"/>
      <c r="H140" s="730"/>
      <c r="I140" s="730"/>
      <c r="J140" s="730"/>
      <c r="K140" s="730"/>
      <c r="L140" s="739"/>
      <c r="M140" s="739"/>
      <c r="N140" s="739"/>
      <c r="O140" s="739"/>
      <c r="P140" s="739"/>
      <c r="Q140" s="739"/>
      <c r="R140" s="739"/>
      <c r="S140" s="730"/>
      <c r="T140" s="730"/>
      <c r="U140" s="730"/>
      <c r="V140" s="730"/>
      <c r="W140" s="730"/>
      <c r="X140" s="730"/>
      <c r="Y140" s="730"/>
      <c r="Z140" s="730"/>
      <c r="AA140" s="730"/>
      <c r="AB140" s="730"/>
      <c r="AC140" s="730"/>
      <c r="AD140" s="730"/>
      <c r="AE140" s="730"/>
      <c r="AF140" s="730"/>
      <c r="AG140" s="730"/>
      <c r="AH140" s="730"/>
      <c r="AI140" s="730"/>
      <c r="AJ140" s="730"/>
      <c r="AK140" s="730"/>
      <c r="AL140" s="730"/>
      <c r="AM140" s="730"/>
      <c r="AN140" s="730"/>
      <c r="AO140" s="730"/>
      <c r="AP140" s="730"/>
      <c r="AQ140" s="730"/>
      <c r="AR140" s="730"/>
      <c r="AS140" s="730"/>
      <c r="AT140" s="730"/>
      <c r="AU140" s="730"/>
      <c r="AV140" s="730"/>
      <c r="AW140" s="730"/>
      <c r="AX140" s="730"/>
      <c r="AY140" s="730"/>
      <c r="AZ140" s="730"/>
      <c r="BA140" s="730"/>
      <c r="BB140" s="730"/>
      <c r="BC140" s="730"/>
      <c r="BD140" s="730"/>
      <c r="BE140" s="730"/>
      <c r="BF140" s="730"/>
      <c r="BG140" s="730"/>
      <c r="BH140" s="730"/>
      <c r="BI140" s="730"/>
      <c r="BJ140" s="248"/>
      <c r="BK140" s="52"/>
      <c r="BL140" s="52"/>
      <c r="BM140" s="52"/>
    </row>
    <row r="141" spans="1:66" ht="31.2" x14ac:dyDescent="0.3">
      <c r="A141" s="156" t="str">
        <f>'PRESUPUESTO OFICIAL (Entidad)'!B147</f>
        <v>C3,4</v>
      </c>
      <c r="B141" s="111" t="str">
        <f>'PRESUPUESTO OFICIAL (Entidad)'!C147</f>
        <v>Acero de refuerzo de 60000 PSI,  para zapatas y nudos en arranque de coumnas (incluye refuezo figurado y armado).</v>
      </c>
      <c r="C141" s="158" t="str">
        <f>'PRESUPUESTO OFICIAL (Entidad)'!D147</f>
        <v>KG</v>
      </c>
      <c r="D141" s="158">
        <f>'PRESUPUESTO OFICIAL (Entidad)'!E147</f>
        <v>351.4</v>
      </c>
      <c r="E141" s="730"/>
      <c r="F141" s="730"/>
      <c r="G141" s="730"/>
      <c r="H141" s="730"/>
      <c r="I141" s="730"/>
      <c r="J141" s="730"/>
      <c r="K141" s="730"/>
      <c r="L141" s="739"/>
      <c r="M141" s="739"/>
      <c r="N141" s="739"/>
      <c r="O141" s="739"/>
      <c r="P141" s="739"/>
      <c r="Q141" s="739"/>
      <c r="R141" s="739"/>
      <c r="S141" s="730"/>
      <c r="T141" s="730"/>
      <c r="U141" s="730"/>
      <c r="V141" s="730"/>
      <c r="W141" s="730"/>
      <c r="X141" s="730"/>
      <c r="Y141" s="730"/>
      <c r="Z141" s="730"/>
      <c r="AA141" s="730"/>
      <c r="AB141" s="730"/>
      <c r="AC141" s="730"/>
      <c r="AD141" s="730"/>
      <c r="AE141" s="730"/>
      <c r="AF141" s="730"/>
      <c r="AG141" s="730"/>
      <c r="AH141" s="730"/>
      <c r="AI141" s="730"/>
      <c r="AJ141" s="730"/>
      <c r="AK141" s="730"/>
      <c r="AL141" s="730"/>
      <c r="AM141" s="730"/>
      <c r="AN141" s="730"/>
      <c r="AO141" s="730"/>
      <c r="AP141" s="730"/>
      <c r="AQ141" s="730"/>
      <c r="AR141" s="730"/>
      <c r="AS141" s="730"/>
      <c r="AT141" s="730"/>
      <c r="AU141" s="730"/>
      <c r="AV141" s="730"/>
      <c r="AW141" s="730"/>
      <c r="AX141" s="730"/>
      <c r="AY141" s="730"/>
      <c r="AZ141" s="730"/>
      <c r="BA141" s="730"/>
      <c r="BB141" s="730"/>
      <c r="BC141" s="730"/>
      <c r="BD141" s="730"/>
      <c r="BE141" s="730"/>
      <c r="BF141" s="730"/>
      <c r="BG141" s="730"/>
      <c r="BH141" s="730"/>
      <c r="BI141" s="730"/>
      <c r="BJ141" s="373"/>
      <c r="BK141" s="52"/>
      <c r="BL141" s="52"/>
      <c r="BM141" s="52"/>
    </row>
    <row r="142" spans="1:66" x14ac:dyDescent="0.3">
      <c r="A142" s="156" t="str">
        <f>'PRESUPUESTO OFICIAL (Entidad)'!B148</f>
        <v>C3,5</v>
      </c>
      <c r="B142" s="111" t="str">
        <f>'PRESUPUESTO OFICIAL (Entidad)'!C148</f>
        <v>Cimentación tipo solado de limpieza concreto 1700 psi e=0,05 m.</v>
      </c>
      <c r="C142" s="158" t="str">
        <f>'PRESUPUESTO OFICIAL (Entidad)'!D148</f>
        <v>M2</v>
      </c>
      <c r="D142" s="158">
        <f>'PRESUPUESTO OFICIAL (Entidad)'!E148</f>
        <v>13</v>
      </c>
      <c r="E142" s="730"/>
      <c r="F142" s="730"/>
      <c r="G142" s="730"/>
      <c r="H142" s="730"/>
      <c r="I142" s="730"/>
      <c r="J142" s="730"/>
      <c r="K142" s="730"/>
      <c r="L142" s="739"/>
      <c r="M142" s="739"/>
      <c r="N142" s="739"/>
      <c r="O142" s="739"/>
      <c r="P142" s="739"/>
      <c r="Q142" s="739"/>
      <c r="R142" s="739"/>
      <c r="S142" s="730"/>
      <c r="T142" s="730"/>
      <c r="U142" s="730"/>
      <c r="V142" s="730"/>
      <c r="W142" s="730"/>
      <c r="X142" s="730"/>
      <c r="Y142" s="730"/>
      <c r="Z142" s="730"/>
      <c r="AA142" s="730"/>
      <c r="AB142" s="730"/>
      <c r="AC142" s="730"/>
      <c r="AD142" s="730"/>
      <c r="AE142" s="730"/>
      <c r="AF142" s="730"/>
      <c r="AG142" s="730"/>
      <c r="AH142" s="730"/>
      <c r="AI142" s="730"/>
      <c r="AJ142" s="730"/>
      <c r="AK142" s="730"/>
      <c r="AL142" s="730"/>
      <c r="AM142" s="730"/>
      <c r="AN142" s="730"/>
      <c r="AO142" s="742"/>
      <c r="AP142" s="742"/>
      <c r="AQ142" s="742"/>
      <c r="AR142" s="742"/>
      <c r="AS142" s="742"/>
      <c r="AT142" s="742"/>
      <c r="AU142" s="742"/>
      <c r="AV142" s="730"/>
      <c r="AW142" s="730"/>
      <c r="AX142" s="730"/>
      <c r="AY142" s="730"/>
      <c r="AZ142" s="730"/>
      <c r="BA142" s="730"/>
      <c r="BB142" s="730"/>
      <c r="BC142" s="730"/>
      <c r="BD142" s="730"/>
      <c r="BE142" s="730"/>
      <c r="BF142" s="730"/>
      <c r="BG142" s="730"/>
      <c r="BH142" s="730"/>
      <c r="BI142" s="730"/>
      <c r="BJ142" s="248"/>
      <c r="BK142" s="52"/>
      <c r="BL142" s="52"/>
      <c r="BM142" s="52"/>
    </row>
    <row r="143" spans="1:66" s="697" customFormat="1" x14ac:dyDescent="0.3">
      <c r="A143" s="667" t="str">
        <f>'PRESUPUESTO OFICIAL (Entidad)'!B149</f>
        <v>C4</v>
      </c>
      <c r="B143" s="700" t="str">
        <f>'PRESUPUESTO OFICIAL (Entidad)'!C149</f>
        <v>ESTRUCTURA</v>
      </c>
      <c r="C143" s="701"/>
      <c r="D143" s="701"/>
      <c r="E143" s="734"/>
      <c r="F143" s="734"/>
      <c r="G143" s="734"/>
      <c r="H143" s="734"/>
      <c r="I143" s="734"/>
      <c r="J143" s="734"/>
      <c r="K143" s="734"/>
      <c r="L143" s="734"/>
      <c r="M143" s="734"/>
      <c r="N143" s="734"/>
      <c r="O143" s="734"/>
      <c r="P143" s="734"/>
      <c r="Q143" s="734"/>
      <c r="R143" s="734"/>
      <c r="S143" s="734"/>
      <c r="T143" s="734"/>
      <c r="U143" s="734"/>
      <c r="V143" s="734"/>
      <c r="W143" s="734"/>
      <c r="X143" s="734"/>
      <c r="Y143" s="734"/>
      <c r="Z143" s="734"/>
      <c r="AA143" s="734"/>
      <c r="AB143" s="734"/>
      <c r="AC143" s="734"/>
      <c r="AD143" s="734"/>
      <c r="AE143" s="734"/>
      <c r="AF143" s="734"/>
      <c r="AG143" s="734"/>
      <c r="AH143" s="734"/>
      <c r="AI143" s="734"/>
      <c r="AJ143" s="734"/>
      <c r="AK143" s="734"/>
      <c r="AL143" s="734"/>
      <c r="AM143" s="734"/>
      <c r="AN143" s="734"/>
      <c r="AO143" s="734"/>
      <c r="AP143" s="734"/>
      <c r="AQ143" s="734"/>
      <c r="AR143" s="734"/>
      <c r="AS143" s="734"/>
      <c r="AT143" s="734"/>
      <c r="AU143" s="734"/>
      <c r="AV143" s="734"/>
      <c r="AW143" s="734"/>
      <c r="AX143" s="734"/>
      <c r="AY143" s="734"/>
      <c r="AZ143" s="734"/>
      <c r="BA143" s="734"/>
      <c r="BB143" s="734"/>
      <c r="BC143" s="734"/>
      <c r="BD143" s="734"/>
      <c r="BE143" s="734"/>
      <c r="BF143" s="734"/>
      <c r="BG143" s="734"/>
      <c r="BH143" s="734"/>
      <c r="BI143" s="734"/>
      <c r="BJ143" s="680"/>
      <c r="BK143" s="696"/>
      <c r="BL143" s="696"/>
      <c r="BM143" s="696"/>
    </row>
    <row r="144" spans="1:66" ht="31.2" x14ac:dyDescent="0.3">
      <c r="A144" s="156" t="str">
        <f>'PRESUPUESTO OFICIAL (Entidad)'!B150</f>
        <v>C4,1</v>
      </c>
      <c r="B144" s="111" t="str">
        <f>'PRESUPUESTO OFICIAL (Entidad)'!C150</f>
        <v>Viga aerea en concreto de 3000 P.S.I  (0,30*0,30m),  incluye acero de refuerzo de 60000 P.S.I (4Ø5/8" refuerzo y E=Ø3/8" c/d. 0,10 m).</v>
      </c>
      <c r="C144" s="158" t="str">
        <f>'PRESUPUESTO OFICIAL (Entidad)'!D150</f>
        <v>ML</v>
      </c>
      <c r="D144" s="158">
        <f>'PRESUPUESTO OFICIAL (Entidad)'!E150</f>
        <v>56.3</v>
      </c>
      <c r="E144" s="730"/>
      <c r="F144" s="730"/>
      <c r="G144" s="730"/>
      <c r="H144" s="730"/>
      <c r="I144" s="730"/>
      <c r="J144" s="730"/>
      <c r="K144" s="730"/>
      <c r="L144" s="730"/>
      <c r="M144" s="730"/>
      <c r="N144" s="730"/>
      <c r="O144" s="730"/>
      <c r="P144" s="730"/>
      <c r="Q144" s="730"/>
      <c r="R144" s="730"/>
      <c r="S144" s="739"/>
      <c r="T144" s="739"/>
      <c r="U144" s="739"/>
      <c r="V144" s="739"/>
      <c r="W144" s="739"/>
      <c r="X144" s="739"/>
      <c r="Y144" s="739"/>
      <c r="Z144" s="739"/>
      <c r="AA144" s="730"/>
      <c r="AB144" s="730"/>
      <c r="AC144" s="730"/>
      <c r="AD144" s="730"/>
      <c r="AE144" s="730"/>
      <c r="AF144" s="730"/>
      <c r="AG144" s="730"/>
      <c r="AH144" s="730"/>
      <c r="AI144" s="730"/>
      <c r="AJ144" s="730"/>
      <c r="AK144" s="730"/>
      <c r="AL144" s="730"/>
      <c r="AM144" s="730"/>
      <c r="AN144" s="730"/>
      <c r="AO144" s="730"/>
      <c r="AP144" s="730"/>
      <c r="AQ144" s="730"/>
      <c r="AR144" s="730"/>
      <c r="AS144" s="730"/>
      <c r="AT144" s="730"/>
      <c r="AU144" s="730"/>
      <c r="AV144" s="730"/>
      <c r="AW144" s="730"/>
      <c r="AX144" s="730"/>
      <c r="AY144" s="730"/>
      <c r="AZ144" s="730"/>
      <c r="BA144" s="730"/>
      <c r="BB144" s="730"/>
      <c r="BC144" s="730"/>
      <c r="BD144" s="730"/>
      <c r="BE144" s="730"/>
      <c r="BF144" s="730"/>
      <c r="BG144" s="730"/>
      <c r="BH144" s="730"/>
      <c r="BI144" s="730"/>
      <c r="BJ144" s="248"/>
      <c r="BK144" s="52"/>
      <c r="BL144" s="52"/>
      <c r="BM144" s="52"/>
    </row>
    <row r="145" spans="1:65" ht="31.2" x14ac:dyDescent="0.3">
      <c r="A145" s="156" t="str">
        <f>'PRESUPUESTO OFICIAL (Entidad)'!B151</f>
        <v>C4,2</v>
      </c>
      <c r="B145" s="111" t="str">
        <f>'PRESUPUESTO OFICIAL (Entidad)'!C151</f>
        <v>Columna en concreto de 3000 PSI (0.30x0.30m),  incluye acero de refuerzo de 60000 P.S.I (4Ø5/8" refuerzo y E=Ø3/8" c/d. 0,10 m).</v>
      </c>
      <c r="C145" s="158" t="str">
        <f>'PRESUPUESTO OFICIAL (Entidad)'!D151</f>
        <v>ML</v>
      </c>
      <c r="D145" s="158">
        <f>'PRESUPUESTO OFICIAL (Entidad)'!E151</f>
        <v>30.18</v>
      </c>
      <c r="E145" s="730"/>
      <c r="F145" s="730"/>
      <c r="G145" s="730"/>
      <c r="H145" s="730"/>
      <c r="I145" s="730"/>
      <c r="J145" s="730"/>
      <c r="K145" s="730"/>
      <c r="L145" s="730"/>
      <c r="M145" s="730"/>
      <c r="N145" s="730"/>
      <c r="O145" s="730"/>
      <c r="P145" s="730"/>
      <c r="Q145" s="730"/>
      <c r="R145" s="730"/>
      <c r="S145" s="739"/>
      <c r="T145" s="739"/>
      <c r="U145" s="739"/>
      <c r="V145" s="739"/>
      <c r="W145" s="739"/>
      <c r="X145" s="739"/>
      <c r="Y145" s="739"/>
      <c r="Z145" s="739"/>
      <c r="AA145" s="730"/>
      <c r="AB145" s="730"/>
      <c r="AC145" s="730"/>
      <c r="AD145" s="730"/>
      <c r="AE145" s="730"/>
      <c r="AF145" s="730"/>
      <c r="AG145" s="730"/>
      <c r="AH145" s="730"/>
      <c r="AI145" s="730"/>
      <c r="AJ145" s="730"/>
      <c r="AK145" s="730"/>
      <c r="AL145" s="730"/>
      <c r="AM145" s="730"/>
      <c r="AN145" s="730"/>
      <c r="AO145" s="730"/>
      <c r="AP145" s="730"/>
      <c r="AQ145" s="730"/>
      <c r="AR145" s="730"/>
      <c r="AS145" s="730"/>
      <c r="AT145" s="730"/>
      <c r="AU145" s="730"/>
      <c r="AV145" s="730"/>
      <c r="AW145" s="730"/>
      <c r="AX145" s="730"/>
      <c r="AY145" s="730"/>
      <c r="AZ145" s="730"/>
      <c r="BA145" s="730"/>
      <c r="BB145" s="730"/>
      <c r="BC145" s="730"/>
      <c r="BD145" s="730"/>
      <c r="BE145" s="730"/>
      <c r="BF145" s="730"/>
      <c r="BG145" s="730"/>
      <c r="BH145" s="730"/>
      <c r="BI145" s="730"/>
      <c r="BJ145" s="248"/>
      <c r="BK145" s="52"/>
      <c r="BL145" s="52"/>
      <c r="BM145" s="52"/>
    </row>
    <row r="146" spans="1:65" ht="31.2" x14ac:dyDescent="0.3">
      <c r="A146" s="156" t="str">
        <f>'PRESUPUESTO OFICIAL (Entidad)'!B152</f>
        <v>C4,3</v>
      </c>
      <c r="B146" s="111" t="str">
        <f>'PRESUPUESTO OFICIAL (Entidad)'!C152</f>
        <v>Columna en concreto de 3000 PSI (0.30x0.30 m),  incluye acero de refuerzo de 60000 P.S.I (4Ø5/8" y 2Ø1/2" refuerzo y E=Ø3/8" c/d. 0,10 m).</v>
      </c>
      <c r="C146" s="158" t="str">
        <f>'PRESUPUESTO OFICIAL (Entidad)'!D152</f>
        <v>ML</v>
      </c>
      <c r="D146" s="158">
        <f>'PRESUPUESTO OFICIAL (Entidad)'!E152</f>
        <v>12</v>
      </c>
      <c r="E146" s="730"/>
      <c r="F146" s="730"/>
      <c r="G146" s="730"/>
      <c r="H146" s="730"/>
      <c r="I146" s="730"/>
      <c r="J146" s="730"/>
      <c r="K146" s="730"/>
      <c r="L146" s="730"/>
      <c r="M146" s="730"/>
      <c r="N146" s="730"/>
      <c r="O146" s="730"/>
      <c r="P146" s="730"/>
      <c r="Q146" s="730"/>
      <c r="R146" s="730"/>
      <c r="S146" s="739"/>
      <c r="T146" s="739"/>
      <c r="U146" s="739"/>
      <c r="V146" s="739"/>
      <c r="W146" s="739"/>
      <c r="X146" s="739"/>
      <c r="Y146" s="739"/>
      <c r="Z146" s="739"/>
      <c r="AA146" s="730"/>
      <c r="AB146" s="730"/>
      <c r="AC146" s="730"/>
      <c r="AD146" s="730"/>
      <c r="AE146" s="730"/>
      <c r="AF146" s="730"/>
      <c r="AG146" s="730"/>
      <c r="AH146" s="730"/>
      <c r="AI146" s="730"/>
      <c r="AJ146" s="730"/>
      <c r="AK146" s="730"/>
      <c r="AL146" s="730"/>
      <c r="AM146" s="730"/>
      <c r="AN146" s="730"/>
      <c r="AO146" s="730"/>
      <c r="AP146" s="730"/>
      <c r="AQ146" s="730"/>
      <c r="AR146" s="730"/>
      <c r="AS146" s="730"/>
      <c r="AT146" s="730"/>
      <c r="AU146" s="730"/>
      <c r="AV146" s="730"/>
      <c r="AW146" s="730"/>
      <c r="AX146" s="730"/>
      <c r="AY146" s="730"/>
      <c r="AZ146" s="730"/>
      <c r="BA146" s="730"/>
      <c r="BB146" s="730"/>
      <c r="BC146" s="730"/>
      <c r="BD146" s="730"/>
      <c r="BE146" s="730"/>
      <c r="BF146" s="730"/>
      <c r="BG146" s="730"/>
      <c r="BH146" s="730"/>
      <c r="BI146" s="730"/>
      <c r="BJ146" s="373"/>
      <c r="BK146" s="52"/>
      <c r="BL146" s="52"/>
      <c r="BM146" s="52"/>
    </row>
    <row r="147" spans="1:65" x14ac:dyDescent="0.3">
      <c r="A147" s="156" t="str">
        <f>'PRESUPUESTO OFICIAL (Entidad)'!B153</f>
        <v>C4,4</v>
      </c>
      <c r="B147" s="111" t="str">
        <f>'PRESUPUESTO OFICIAL (Entidad)'!C153</f>
        <v>Viga culata 0.20x0.10 m, incl. Acero (2- 3/8, E-1/4" c/d. 0,10 m).</v>
      </c>
      <c r="C147" s="158" t="str">
        <f>'PRESUPUESTO OFICIAL (Entidad)'!D153</f>
        <v>ML</v>
      </c>
      <c r="D147" s="158">
        <f>'PRESUPUESTO OFICIAL (Entidad)'!E153</f>
        <v>30.36</v>
      </c>
      <c r="E147" s="730"/>
      <c r="F147" s="730"/>
      <c r="G147" s="730"/>
      <c r="H147" s="730"/>
      <c r="I147" s="730"/>
      <c r="J147" s="730"/>
      <c r="K147" s="730"/>
      <c r="L147" s="730"/>
      <c r="M147" s="730"/>
      <c r="N147" s="730"/>
      <c r="O147" s="730"/>
      <c r="P147" s="730"/>
      <c r="Q147" s="730"/>
      <c r="R147" s="730"/>
      <c r="S147" s="739"/>
      <c r="T147" s="739"/>
      <c r="U147" s="739"/>
      <c r="V147" s="739"/>
      <c r="W147" s="739"/>
      <c r="X147" s="739"/>
      <c r="Y147" s="739"/>
      <c r="Z147" s="739"/>
      <c r="AA147" s="730"/>
      <c r="AB147" s="730"/>
      <c r="AC147" s="730"/>
      <c r="AD147" s="730"/>
      <c r="AE147" s="730"/>
      <c r="AF147" s="730"/>
      <c r="AG147" s="730"/>
      <c r="AH147" s="730"/>
      <c r="AI147" s="730"/>
      <c r="AJ147" s="730"/>
      <c r="AK147" s="730"/>
      <c r="AL147" s="730"/>
      <c r="AM147" s="730"/>
      <c r="AN147" s="730"/>
      <c r="AO147" s="742"/>
      <c r="AP147" s="742"/>
      <c r="AQ147" s="742"/>
      <c r="AR147" s="742"/>
      <c r="AS147" s="742"/>
      <c r="AT147" s="742"/>
      <c r="AU147" s="742"/>
      <c r="AV147" s="730"/>
      <c r="AW147" s="730"/>
      <c r="AX147" s="730"/>
      <c r="AY147" s="730"/>
      <c r="AZ147" s="730"/>
      <c r="BA147" s="730"/>
      <c r="BB147" s="730"/>
      <c r="BC147" s="730"/>
      <c r="BD147" s="730"/>
      <c r="BE147" s="730"/>
      <c r="BF147" s="730"/>
      <c r="BG147" s="730"/>
      <c r="BH147" s="730"/>
      <c r="BI147" s="730"/>
      <c r="BJ147" s="248"/>
      <c r="BK147" s="52"/>
      <c r="BL147" s="52"/>
      <c r="BM147" s="52"/>
    </row>
    <row r="148" spans="1:65" ht="31.2" x14ac:dyDescent="0.3">
      <c r="A148" s="156" t="str">
        <f>'PRESUPUESTO OFICIAL (Entidad)'!B154</f>
        <v>C4,5</v>
      </c>
      <c r="B148" s="111" t="str">
        <f>'PRESUPUESTO OFICIAL (Entidad)'!C154</f>
        <v>Columneta 0,20x0,20 m, en concreto de 3000 psi,  incluye acero de refuerzo de 60000 P.S.I (4Ø1/2" y 2Ø3/8" refuerzo y E=Ø3/8" c/d. 0,10 m).</v>
      </c>
      <c r="C148" s="158" t="str">
        <f>'PRESUPUESTO OFICIAL (Entidad)'!D154</f>
        <v>ML</v>
      </c>
      <c r="D148" s="158">
        <f>'PRESUPUESTO OFICIAL (Entidad)'!E154</f>
        <v>4.8</v>
      </c>
      <c r="E148" s="730"/>
      <c r="F148" s="730"/>
      <c r="G148" s="730"/>
      <c r="H148" s="730"/>
      <c r="I148" s="730"/>
      <c r="J148" s="730"/>
      <c r="K148" s="730"/>
      <c r="L148" s="730"/>
      <c r="M148" s="730"/>
      <c r="N148" s="730"/>
      <c r="O148" s="730"/>
      <c r="P148" s="730"/>
      <c r="Q148" s="730"/>
      <c r="R148" s="730"/>
      <c r="S148" s="739"/>
      <c r="T148" s="739"/>
      <c r="U148" s="739"/>
      <c r="V148" s="739"/>
      <c r="W148" s="739"/>
      <c r="X148" s="739"/>
      <c r="Y148" s="739"/>
      <c r="Z148" s="739"/>
      <c r="AA148" s="730"/>
      <c r="AB148" s="730"/>
      <c r="AC148" s="730"/>
      <c r="AD148" s="730"/>
      <c r="AE148" s="730"/>
      <c r="AF148" s="730"/>
      <c r="AG148" s="730"/>
      <c r="AH148" s="730"/>
      <c r="AI148" s="730"/>
      <c r="AJ148" s="730"/>
      <c r="AK148" s="730"/>
      <c r="AL148" s="730"/>
      <c r="AM148" s="730"/>
      <c r="AN148" s="730"/>
      <c r="AO148" s="730"/>
      <c r="AP148" s="730"/>
      <c r="AQ148" s="730"/>
      <c r="AR148" s="730"/>
      <c r="AS148" s="730"/>
      <c r="AT148" s="730"/>
      <c r="AU148" s="730"/>
      <c r="AV148" s="730"/>
      <c r="AW148" s="730"/>
      <c r="AX148" s="730"/>
      <c r="AY148" s="730"/>
      <c r="AZ148" s="730"/>
      <c r="BA148" s="730"/>
      <c r="BB148" s="730"/>
      <c r="BC148" s="730"/>
      <c r="BD148" s="730"/>
      <c r="BE148" s="730"/>
      <c r="BF148" s="730"/>
      <c r="BG148" s="730"/>
      <c r="BH148" s="730"/>
      <c r="BI148" s="730"/>
      <c r="BJ148" s="374"/>
      <c r="BK148" s="52"/>
      <c r="BL148" s="52"/>
      <c r="BM148" s="52"/>
    </row>
    <row r="149" spans="1:65" s="697" customFormat="1" x14ac:dyDescent="0.3">
      <c r="A149" s="667" t="str">
        <f>'PRESUPUESTO OFICIAL (Entidad)'!B155</f>
        <v>C5</v>
      </c>
      <c r="B149" s="700" t="str">
        <f>'PRESUPUESTO OFICIAL (Entidad)'!C155</f>
        <v>MAMPOSTERIA</v>
      </c>
      <c r="C149" s="701">
        <f>'PRESUPUESTO OFICIAL (Entidad)'!D155</f>
        <v>0</v>
      </c>
      <c r="D149" s="701">
        <f>'PRESUPUESTO OFICIAL (Entidad)'!E155</f>
        <v>0</v>
      </c>
      <c r="E149" s="734"/>
      <c r="F149" s="734"/>
      <c r="G149" s="734"/>
      <c r="H149" s="734"/>
      <c r="I149" s="734"/>
      <c r="J149" s="734"/>
      <c r="K149" s="734"/>
      <c r="L149" s="734"/>
      <c r="M149" s="734"/>
      <c r="N149" s="734"/>
      <c r="O149" s="734"/>
      <c r="P149" s="734"/>
      <c r="Q149" s="734"/>
      <c r="R149" s="734"/>
      <c r="S149" s="734"/>
      <c r="T149" s="734"/>
      <c r="U149" s="734"/>
      <c r="V149" s="734"/>
      <c r="W149" s="734"/>
      <c r="X149" s="734"/>
      <c r="Y149" s="734"/>
      <c r="Z149" s="734"/>
      <c r="AA149" s="734"/>
      <c r="AB149" s="734"/>
      <c r="AC149" s="734"/>
      <c r="AD149" s="734"/>
      <c r="AE149" s="734"/>
      <c r="AF149" s="734"/>
      <c r="AG149" s="734"/>
      <c r="AH149" s="734"/>
      <c r="AI149" s="734"/>
      <c r="AJ149" s="734"/>
      <c r="AK149" s="734"/>
      <c r="AL149" s="734"/>
      <c r="AM149" s="734"/>
      <c r="AN149" s="734"/>
      <c r="AO149" s="734"/>
      <c r="AP149" s="734"/>
      <c r="AQ149" s="734"/>
      <c r="AR149" s="734"/>
      <c r="AS149" s="734"/>
      <c r="AT149" s="734"/>
      <c r="AU149" s="734"/>
      <c r="AV149" s="734"/>
      <c r="AW149" s="734"/>
      <c r="AX149" s="734"/>
      <c r="AY149" s="734"/>
      <c r="AZ149" s="734"/>
      <c r="BA149" s="734"/>
      <c r="BB149" s="734"/>
      <c r="BC149" s="734"/>
      <c r="BD149" s="734"/>
      <c r="BE149" s="734"/>
      <c r="BF149" s="734"/>
      <c r="BG149" s="734"/>
      <c r="BH149" s="734"/>
      <c r="BI149" s="734"/>
      <c r="BJ149" s="680"/>
      <c r="BK149" s="696"/>
      <c r="BL149" s="696"/>
      <c r="BM149" s="696"/>
    </row>
    <row r="150" spans="1:65" ht="31.2" x14ac:dyDescent="0.3">
      <c r="A150" s="156" t="str">
        <f>'PRESUPUESTO OFICIAL (Entidad)'!B156</f>
        <v>C5,1</v>
      </c>
      <c r="B150" s="111" t="str">
        <f>'PRESUPUESTO OFICIAL (Entidad)'!C156</f>
        <v>Construccion de Muro en Bloque de arcilla #5 (12x20x30cm) Incluye mortero de pega y bloque.</v>
      </c>
      <c r="C150" s="158" t="str">
        <f>'PRESUPUESTO OFICIAL (Entidad)'!D156</f>
        <v>M2</v>
      </c>
      <c r="D150" s="158">
        <f>'PRESUPUESTO OFICIAL (Entidad)'!E156</f>
        <v>88.52</v>
      </c>
      <c r="E150" s="730"/>
      <c r="F150" s="730"/>
      <c r="G150" s="730"/>
      <c r="H150" s="730"/>
      <c r="I150" s="730"/>
      <c r="J150" s="730"/>
      <c r="K150" s="730"/>
      <c r="L150" s="730"/>
      <c r="M150" s="730"/>
      <c r="N150" s="730"/>
      <c r="O150" s="730"/>
      <c r="P150" s="730"/>
      <c r="Q150" s="730"/>
      <c r="R150" s="730"/>
      <c r="S150" s="739"/>
      <c r="T150" s="739"/>
      <c r="U150" s="739"/>
      <c r="V150" s="739"/>
      <c r="W150" s="739"/>
      <c r="X150" s="739"/>
      <c r="Y150" s="739"/>
      <c r="Z150" s="739"/>
      <c r="AA150" s="730"/>
      <c r="AB150" s="730"/>
      <c r="AC150" s="730"/>
      <c r="AD150" s="730"/>
      <c r="AE150" s="730"/>
      <c r="AF150" s="730"/>
      <c r="AG150" s="730"/>
      <c r="AH150" s="730"/>
      <c r="AI150" s="730"/>
      <c r="AJ150" s="730"/>
      <c r="AK150" s="730"/>
      <c r="AL150" s="730"/>
      <c r="AM150" s="730"/>
      <c r="AN150" s="730"/>
      <c r="AO150" s="742"/>
      <c r="AP150" s="742"/>
      <c r="AQ150" s="742"/>
      <c r="AR150" s="742"/>
      <c r="AS150" s="742"/>
      <c r="AT150" s="742"/>
      <c r="AU150" s="742"/>
      <c r="AV150" s="730"/>
      <c r="AW150" s="730"/>
      <c r="AX150" s="730"/>
      <c r="AY150" s="730"/>
      <c r="AZ150" s="730"/>
      <c r="BA150" s="730"/>
      <c r="BB150" s="730"/>
      <c r="BC150" s="730"/>
      <c r="BD150" s="730"/>
      <c r="BE150" s="730"/>
      <c r="BF150" s="730"/>
      <c r="BG150" s="730"/>
      <c r="BH150" s="730"/>
      <c r="BI150" s="730"/>
      <c r="BJ150" s="248"/>
      <c r="BK150" s="52"/>
      <c r="BL150" s="52"/>
      <c r="BM150" s="52"/>
    </row>
    <row r="151" spans="1:65" ht="31.2" x14ac:dyDescent="0.3">
      <c r="A151" s="156" t="str">
        <f>'PRESUPUESTO OFICIAL (Entidad)'!B157</f>
        <v>C5,2</v>
      </c>
      <c r="B151" s="111" t="str">
        <f>'PRESUPUESTO OFICIAL (Entidad)'!C157</f>
        <v>Construccion de Alfajía en Concreto 3000 PSI, E= 0.15X0.25 MTS – Incluye: Acero de refuerzo de 60000 PSI (2Ø3/8" refuerzo y E=Ø1/4" c. 0,35 m).</v>
      </c>
      <c r="C151" s="158" t="str">
        <f>'PRESUPUESTO OFICIAL (Entidad)'!D157</f>
        <v>ML</v>
      </c>
      <c r="D151" s="158">
        <f>'PRESUPUESTO OFICIAL (Entidad)'!E157</f>
        <v>26.9</v>
      </c>
      <c r="E151" s="730"/>
      <c r="F151" s="730"/>
      <c r="G151" s="730"/>
      <c r="H151" s="730"/>
      <c r="I151" s="730"/>
      <c r="J151" s="730"/>
      <c r="K151" s="730"/>
      <c r="L151" s="730"/>
      <c r="M151" s="730"/>
      <c r="N151" s="730"/>
      <c r="O151" s="730"/>
      <c r="P151" s="730"/>
      <c r="Q151" s="730"/>
      <c r="R151" s="730"/>
      <c r="S151" s="730"/>
      <c r="T151" s="730"/>
      <c r="U151" s="730"/>
      <c r="V151" s="730"/>
      <c r="W151" s="730"/>
      <c r="X151" s="730"/>
      <c r="Y151" s="730"/>
      <c r="Z151" s="730"/>
      <c r="AA151" s="739"/>
      <c r="AB151" s="739"/>
      <c r="AC151" s="739"/>
      <c r="AD151" s="739"/>
      <c r="AE151" s="739"/>
      <c r="AF151" s="739"/>
      <c r="AG151" s="739"/>
      <c r="AH151" s="730"/>
      <c r="AI151" s="730"/>
      <c r="AJ151" s="730"/>
      <c r="AK151" s="730"/>
      <c r="AL151" s="730"/>
      <c r="AM151" s="730"/>
      <c r="AN151" s="730"/>
      <c r="AO151" s="730"/>
      <c r="AP151" s="730"/>
      <c r="AQ151" s="730"/>
      <c r="AR151" s="730"/>
      <c r="AS151" s="730"/>
      <c r="AT151" s="730"/>
      <c r="AU151" s="730"/>
      <c r="AV151" s="730"/>
      <c r="AW151" s="730"/>
      <c r="AX151" s="730"/>
      <c r="AY151" s="730"/>
      <c r="AZ151" s="730"/>
      <c r="BA151" s="730"/>
      <c r="BB151" s="730"/>
      <c r="BC151" s="730"/>
      <c r="BD151" s="730"/>
      <c r="BE151" s="730"/>
      <c r="BF151" s="730"/>
      <c r="BG151" s="730"/>
      <c r="BH151" s="730"/>
      <c r="BI151" s="730"/>
      <c r="BJ151" s="374"/>
      <c r="BK151" s="52"/>
      <c r="BL151" s="52"/>
      <c r="BM151" s="52"/>
    </row>
    <row r="152" spans="1:65" s="697" customFormat="1" x14ac:dyDescent="0.3">
      <c r="A152" s="667" t="str">
        <f>'PRESUPUESTO OFICIAL (Entidad)'!B158</f>
        <v>C6</v>
      </c>
      <c r="B152" s="700" t="str">
        <f>'PRESUPUESTO OFICIAL (Entidad)'!C158</f>
        <v>INSTALACIONES ELÉCTRICAS</v>
      </c>
      <c r="C152" s="701"/>
      <c r="D152" s="701"/>
      <c r="E152" s="734"/>
      <c r="F152" s="734"/>
      <c r="G152" s="734"/>
      <c r="H152" s="734"/>
      <c r="I152" s="734"/>
      <c r="J152" s="734"/>
      <c r="K152" s="734"/>
      <c r="L152" s="734"/>
      <c r="M152" s="734"/>
      <c r="N152" s="734"/>
      <c r="O152" s="734"/>
      <c r="P152" s="734"/>
      <c r="Q152" s="734"/>
      <c r="R152" s="734"/>
      <c r="S152" s="734"/>
      <c r="T152" s="734"/>
      <c r="U152" s="734"/>
      <c r="V152" s="734"/>
      <c r="W152" s="734"/>
      <c r="X152" s="734"/>
      <c r="Y152" s="734"/>
      <c r="Z152" s="734"/>
      <c r="AA152" s="734"/>
      <c r="AB152" s="734"/>
      <c r="AC152" s="734"/>
      <c r="AD152" s="734"/>
      <c r="AE152" s="734"/>
      <c r="AF152" s="734"/>
      <c r="AG152" s="734"/>
      <c r="AH152" s="734"/>
      <c r="AI152" s="734"/>
      <c r="AJ152" s="734"/>
      <c r="AK152" s="734"/>
      <c r="AL152" s="734"/>
      <c r="AM152" s="734"/>
      <c r="AN152" s="734"/>
      <c r="AO152" s="734"/>
      <c r="AP152" s="734"/>
      <c r="AQ152" s="734"/>
      <c r="AR152" s="734"/>
      <c r="AS152" s="734"/>
      <c r="AT152" s="734"/>
      <c r="AU152" s="734"/>
      <c r="AV152" s="734"/>
      <c r="AW152" s="734"/>
      <c r="AX152" s="734"/>
      <c r="AY152" s="734"/>
      <c r="AZ152" s="734"/>
      <c r="BA152" s="734"/>
      <c r="BB152" s="734"/>
      <c r="BC152" s="734"/>
      <c r="BD152" s="734"/>
      <c r="BE152" s="734"/>
      <c r="BF152" s="734"/>
      <c r="BG152" s="734"/>
      <c r="BH152" s="734"/>
      <c r="BI152" s="734"/>
      <c r="BJ152" s="680"/>
      <c r="BK152" s="696"/>
      <c r="BL152" s="696"/>
      <c r="BM152" s="696"/>
    </row>
    <row r="153" spans="1:65" ht="31.2" x14ac:dyDescent="0.3">
      <c r="A153" s="156" t="str">
        <f>'PRESUPUESTO OFICIAL (Entidad)'!B159</f>
        <v>C6,1</v>
      </c>
      <c r="B153" s="111" t="str">
        <f>'PRESUPUESTO OFICIAL (Entidad)'!C159</f>
        <v>Suministro e instalación de Salida lampara fluorescente electrónica 2 X 48 w, incluye lampara.</v>
      </c>
      <c r="C153" s="158" t="str">
        <f>'PRESUPUESTO OFICIAL (Entidad)'!D159</f>
        <v>UND</v>
      </c>
      <c r="D153" s="158">
        <f>'PRESUPUESTO OFICIAL (Entidad)'!E159</f>
        <v>8</v>
      </c>
      <c r="E153" s="730"/>
      <c r="F153" s="730"/>
      <c r="G153" s="730"/>
      <c r="H153" s="730"/>
      <c r="I153" s="730"/>
      <c r="J153" s="730"/>
      <c r="K153" s="730"/>
      <c r="L153" s="730"/>
      <c r="M153" s="730"/>
      <c r="N153" s="730"/>
      <c r="O153" s="730"/>
      <c r="P153" s="730"/>
      <c r="Q153" s="730"/>
      <c r="R153" s="730"/>
      <c r="S153" s="730"/>
      <c r="T153" s="730"/>
      <c r="U153" s="730"/>
      <c r="V153" s="730"/>
      <c r="W153" s="730"/>
      <c r="X153" s="730"/>
      <c r="Y153" s="730"/>
      <c r="Z153" s="730"/>
      <c r="AA153" s="739"/>
      <c r="AB153" s="739"/>
      <c r="AC153" s="739"/>
      <c r="AD153" s="739"/>
      <c r="AE153" s="739"/>
      <c r="AF153" s="739"/>
      <c r="AG153" s="739"/>
      <c r="AH153" s="730"/>
      <c r="AI153" s="730"/>
      <c r="AJ153" s="730"/>
      <c r="AK153" s="730"/>
      <c r="AL153" s="730"/>
      <c r="AM153" s="730"/>
      <c r="AN153" s="730"/>
      <c r="AO153" s="730"/>
      <c r="AP153" s="730"/>
      <c r="AQ153" s="730"/>
      <c r="AR153" s="730"/>
      <c r="AS153" s="730"/>
      <c r="AT153" s="730"/>
      <c r="AU153" s="730"/>
      <c r="AV153" s="730"/>
      <c r="AW153" s="730"/>
      <c r="AX153" s="730"/>
      <c r="AY153" s="730"/>
      <c r="AZ153" s="730"/>
      <c r="BA153" s="730"/>
      <c r="BB153" s="730"/>
      <c r="BC153" s="730"/>
      <c r="BD153" s="730"/>
      <c r="BE153" s="730"/>
      <c r="BF153" s="730"/>
      <c r="BG153" s="730"/>
      <c r="BH153" s="730"/>
      <c r="BI153" s="730"/>
      <c r="BJ153" s="248"/>
      <c r="BK153" s="52"/>
      <c r="BL153" s="52"/>
      <c r="BM153" s="52"/>
    </row>
    <row r="154" spans="1:65" x14ac:dyDescent="0.3">
      <c r="A154" s="156" t="str">
        <f>'PRESUPUESTO OFICIAL (Entidad)'!B160</f>
        <v>C6,2</v>
      </c>
      <c r="B154" s="111" t="str">
        <f>'PRESUPUESTO OFICIAL (Entidad)'!C160</f>
        <v>Suministro e instalación de Salida tomacorriente doble 110 v.</v>
      </c>
      <c r="C154" s="158" t="str">
        <f>'PRESUPUESTO OFICIAL (Entidad)'!D160</f>
        <v>UND</v>
      </c>
      <c r="D154" s="158">
        <f>'PRESUPUESTO OFICIAL (Entidad)'!E160</f>
        <v>22</v>
      </c>
      <c r="E154" s="730"/>
      <c r="F154" s="730"/>
      <c r="G154" s="730"/>
      <c r="H154" s="730"/>
      <c r="I154" s="730"/>
      <c r="J154" s="730"/>
      <c r="K154" s="730"/>
      <c r="L154" s="730"/>
      <c r="M154" s="730"/>
      <c r="N154" s="730"/>
      <c r="O154" s="730"/>
      <c r="P154" s="730"/>
      <c r="Q154" s="730"/>
      <c r="R154" s="730"/>
      <c r="S154" s="730"/>
      <c r="T154" s="730"/>
      <c r="U154" s="730"/>
      <c r="V154" s="730"/>
      <c r="W154" s="730"/>
      <c r="X154" s="730"/>
      <c r="Y154" s="730"/>
      <c r="Z154" s="730"/>
      <c r="AA154" s="739"/>
      <c r="AB154" s="739"/>
      <c r="AC154" s="739"/>
      <c r="AD154" s="739"/>
      <c r="AE154" s="739"/>
      <c r="AF154" s="739"/>
      <c r="AG154" s="739"/>
      <c r="AH154" s="730"/>
      <c r="AI154" s="730"/>
      <c r="AJ154" s="730"/>
      <c r="AK154" s="730"/>
      <c r="AL154" s="730"/>
      <c r="AM154" s="730"/>
      <c r="AN154" s="730"/>
      <c r="AO154" s="730"/>
      <c r="AP154" s="730"/>
      <c r="AQ154" s="730"/>
      <c r="AR154" s="730"/>
      <c r="AS154" s="730"/>
      <c r="AT154" s="730"/>
      <c r="AU154" s="730"/>
      <c r="AV154" s="730"/>
      <c r="AW154" s="730"/>
      <c r="AX154" s="730"/>
      <c r="AY154" s="730"/>
      <c r="AZ154" s="730"/>
      <c r="BA154" s="730"/>
      <c r="BB154" s="730"/>
      <c r="BC154" s="730"/>
      <c r="BD154" s="730"/>
      <c r="BE154" s="730"/>
      <c r="BF154" s="730"/>
      <c r="BG154" s="730"/>
      <c r="BH154" s="730"/>
      <c r="BI154" s="730"/>
      <c r="BJ154" s="373"/>
      <c r="BK154" s="52"/>
      <c r="BL154" s="52"/>
      <c r="BM154" s="52"/>
    </row>
    <row r="155" spans="1:65" x14ac:dyDescent="0.3">
      <c r="A155" s="156" t="str">
        <f>'PRESUPUESTO OFICIAL (Entidad)'!B161</f>
        <v>C6,3</v>
      </c>
      <c r="B155" s="111" t="str">
        <f>'PRESUPUESTO OFICIAL (Entidad)'!C161</f>
        <v>Suministro e instalación de Salida interruptor doble 110 v.</v>
      </c>
      <c r="C155" s="158" t="str">
        <f>'PRESUPUESTO OFICIAL (Entidad)'!D161</f>
        <v>UND</v>
      </c>
      <c r="D155" s="158">
        <f>'PRESUPUESTO OFICIAL (Entidad)'!E161</f>
        <v>2</v>
      </c>
      <c r="E155" s="730"/>
      <c r="F155" s="730"/>
      <c r="G155" s="730"/>
      <c r="H155" s="730"/>
      <c r="I155" s="730"/>
      <c r="J155" s="730"/>
      <c r="K155" s="730"/>
      <c r="L155" s="730"/>
      <c r="M155" s="730"/>
      <c r="N155" s="730"/>
      <c r="O155" s="730"/>
      <c r="P155" s="730"/>
      <c r="Q155" s="730"/>
      <c r="R155" s="730"/>
      <c r="S155" s="730"/>
      <c r="T155" s="730"/>
      <c r="U155" s="730"/>
      <c r="V155" s="730"/>
      <c r="W155" s="730"/>
      <c r="X155" s="730"/>
      <c r="Y155" s="730"/>
      <c r="Z155" s="730"/>
      <c r="AA155" s="739"/>
      <c r="AB155" s="739"/>
      <c r="AC155" s="739"/>
      <c r="AD155" s="739"/>
      <c r="AE155" s="739"/>
      <c r="AF155" s="739"/>
      <c r="AG155" s="739"/>
      <c r="AH155" s="730"/>
      <c r="AI155" s="730"/>
      <c r="AJ155" s="730"/>
      <c r="AK155" s="730"/>
      <c r="AL155" s="730"/>
      <c r="AM155" s="730"/>
      <c r="AN155" s="730"/>
      <c r="AO155" s="742"/>
      <c r="AP155" s="742"/>
      <c r="AQ155" s="742"/>
      <c r="AR155" s="742"/>
      <c r="AS155" s="742"/>
      <c r="AT155" s="742"/>
      <c r="AU155" s="742"/>
      <c r="AV155" s="730"/>
      <c r="AW155" s="730"/>
      <c r="AX155" s="730"/>
      <c r="AY155" s="730"/>
      <c r="AZ155" s="730"/>
      <c r="BA155" s="730"/>
      <c r="BB155" s="730"/>
      <c r="BC155" s="730"/>
      <c r="BD155" s="730"/>
      <c r="BE155" s="730"/>
      <c r="BF155" s="730"/>
      <c r="BG155" s="730"/>
      <c r="BH155" s="730"/>
      <c r="BI155" s="730"/>
      <c r="BJ155" s="248"/>
      <c r="BK155" s="52"/>
      <c r="BL155" s="52"/>
      <c r="BM155" s="52"/>
    </row>
    <row r="156" spans="1:65" ht="31.2" x14ac:dyDescent="0.3">
      <c r="A156" s="156" t="str">
        <f>'PRESUPUESTO OFICIAL (Entidad)'!B162</f>
        <v>C6,4</v>
      </c>
      <c r="B156" s="111" t="str">
        <f>'PRESUPUESTO OFICIAL (Entidad)'!C162</f>
        <v>Suministro e instalación de Red electrica en tuberia pvc de 1/2", incluye  1 N° 12 + neutro N° 12 para luminarias.</v>
      </c>
      <c r="C156" s="158" t="str">
        <f>'PRESUPUESTO OFICIAL (Entidad)'!D162</f>
        <v>ML</v>
      </c>
      <c r="D156" s="158">
        <f>'PRESUPUESTO OFICIAL (Entidad)'!E162</f>
        <v>36.200000000000003</v>
      </c>
      <c r="E156" s="730"/>
      <c r="F156" s="730"/>
      <c r="G156" s="730"/>
      <c r="H156" s="730"/>
      <c r="I156" s="730"/>
      <c r="J156" s="730"/>
      <c r="K156" s="730"/>
      <c r="L156" s="730"/>
      <c r="M156" s="730"/>
      <c r="N156" s="730"/>
      <c r="O156" s="730"/>
      <c r="P156" s="730"/>
      <c r="Q156" s="730"/>
      <c r="R156" s="730"/>
      <c r="S156" s="730"/>
      <c r="T156" s="730"/>
      <c r="U156" s="730"/>
      <c r="V156" s="730"/>
      <c r="W156" s="730"/>
      <c r="X156" s="730"/>
      <c r="Y156" s="730"/>
      <c r="Z156" s="730"/>
      <c r="AA156" s="739"/>
      <c r="AB156" s="739"/>
      <c r="AC156" s="739"/>
      <c r="AD156" s="739"/>
      <c r="AE156" s="739"/>
      <c r="AF156" s="739"/>
      <c r="AG156" s="739"/>
      <c r="AH156" s="730"/>
      <c r="AI156" s="730"/>
      <c r="AJ156" s="730"/>
      <c r="AK156" s="730"/>
      <c r="AL156" s="730"/>
      <c r="AM156" s="730"/>
      <c r="AN156" s="730"/>
      <c r="AO156" s="730"/>
      <c r="AP156" s="730"/>
      <c r="AQ156" s="730"/>
      <c r="AR156" s="730"/>
      <c r="AS156" s="730"/>
      <c r="AT156" s="730"/>
      <c r="AU156" s="730"/>
      <c r="AV156" s="730"/>
      <c r="AW156" s="730"/>
      <c r="AX156" s="730"/>
      <c r="AY156" s="730"/>
      <c r="AZ156" s="730"/>
      <c r="BA156" s="730"/>
      <c r="BB156" s="730"/>
      <c r="BC156" s="730"/>
      <c r="BD156" s="730"/>
      <c r="BE156" s="730"/>
      <c r="BF156" s="730"/>
      <c r="BG156" s="730"/>
      <c r="BH156" s="730"/>
      <c r="BI156" s="730"/>
      <c r="BJ156" s="374"/>
      <c r="BK156" s="52"/>
      <c r="BL156" s="52"/>
      <c r="BM156" s="52"/>
    </row>
    <row r="157" spans="1:65" ht="31.2" x14ac:dyDescent="0.3">
      <c r="A157" s="156" t="str">
        <f>'PRESUPUESTO OFICIAL (Entidad)'!B163</f>
        <v>C6,5</v>
      </c>
      <c r="B157" s="111" t="str">
        <f>'PRESUPUESTO OFICIAL (Entidad)'!C163</f>
        <v>Suministro e instalación de Red electrica en tuberia pvc de 1/2", incluye 1 linea No 10 + 1 neutro No 10 + 1 Linea No 14  para toma corrientes.</v>
      </c>
      <c r="C157" s="158" t="str">
        <f>'PRESUPUESTO OFICIAL (Entidad)'!D163</f>
        <v>ML</v>
      </c>
      <c r="D157" s="158">
        <f>'PRESUPUESTO OFICIAL (Entidad)'!E163</f>
        <v>52.72</v>
      </c>
      <c r="E157" s="730"/>
      <c r="F157" s="730"/>
      <c r="G157" s="730"/>
      <c r="H157" s="730"/>
      <c r="I157" s="730"/>
      <c r="J157" s="730"/>
      <c r="K157" s="730"/>
      <c r="L157" s="730"/>
      <c r="M157" s="730"/>
      <c r="N157" s="730"/>
      <c r="O157" s="730"/>
      <c r="P157" s="730"/>
      <c r="Q157" s="730"/>
      <c r="R157" s="730"/>
      <c r="S157" s="730"/>
      <c r="T157" s="730"/>
      <c r="U157" s="730"/>
      <c r="V157" s="730"/>
      <c r="W157" s="730"/>
      <c r="X157" s="730"/>
      <c r="Y157" s="730"/>
      <c r="Z157" s="730"/>
      <c r="AA157" s="739"/>
      <c r="AB157" s="739"/>
      <c r="AC157" s="739"/>
      <c r="AD157" s="739"/>
      <c r="AE157" s="739"/>
      <c r="AF157" s="739"/>
      <c r="AG157" s="739"/>
      <c r="AH157" s="730"/>
      <c r="AI157" s="730"/>
      <c r="AJ157" s="730"/>
      <c r="AK157" s="730"/>
      <c r="AL157" s="730"/>
      <c r="AM157" s="730"/>
      <c r="AN157" s="730"/>
      <c r="AO157" s="730"/>
      <c r="AP157" s="730"/>
      <c r="AQ157" s="730"/>
      <c r="AR157" s="730"/>
      <c r="AS157" s="730"/>
      <c r="AT157" s="730"/>
      <c r="AU157" s="730"/>
      <c r="AV157" s="730"/>
      <c r="AW157" s="730"/>
      <c r="AX157" s="730"/>
      <c r="AY157" s="730"/>
      <c r="AZ157" s="730"/>
      <c r="BA157" s="730"/>
      <c r="BB157" s="730"/>
      <c r="BC157" s="730"/>
      <c r="BD157" s="730"/>
      <c r="BE157" s="730"/>
      <c r="BF157" s="730"/>
      <c r="BG157" s="730"/>
      <c r="BH157" s="730"/>
      <c r="BI157" s="730"/>
      <c r="BJ157" s="248"/>
      <c r="BK157" s="52"/>
      <c r="BL157" s="52"/>
      <c r="BM157" s="52"/>
    </row>
    <row r="158" spans="1:65" ht="31.2" x14ac:dyDescent="0.3">
      <c r="A158" s="156" t="str">
        <f>'PRESUPUESTO OFICIAL (Entidad)'!B164</f>
        <v>C6,6</v>
      </c>
      <c r="B158" s="111" t="str">
        <f>'PRESUPUESTO OFICIAL (Entidad)'!C164</f>
        <v>Suministro e instalación de Puesta a tierra de tablero de distribicion, polo a tierra, varilla C. W. 2,40 ml.</v>
      </c>
      <c r="C158" s="158" t="str">
        <f>'PRESUPUESTO OFICIAL (Entidad)'!D164</f>
        <v>UND</v>
      </c>
      <c r="D158" s="158">
        <f>'PRESUPUESTO OFICIAL (Entidad)'!E164</f>
        <v>2</v>
      </c>
      <c r="E158" s="730"/>
      <c r="F158" s="730"/>
      <c r="G158" s="730"/>
      <c r="H158" s="730"/>
      <c r="I158" s="730"/>
      <c r="J158" s="730"/>
      <c r="K158" s="730"/>
      <c r="L158" s="730"/>
      <c r="M158" s="730"/>
      <c r="N158" s="730"/>
      <c r="O158" s="730"/>
      <c r="P158" s="730"/>
      <c r="Q158" s="730"/>
      <c r="R158" s="730"/>
      <c r="S158" s="730"/>
      <c r="T158" s="730"/>
      <c r="U158" s="730"/>
      <c r="V158" s="730"/>
      <c r="W158" s="730"/>
      <c r="X158" s="730"/>
      <c r="Y158" s="730"/>
      <c r="Z158" s="730"/>
      <c r="AA158" s="739"/>
      <c r="AB158" s="739"/>
      <c r="AC158" s="739"/>
      <c r="AD158" s="739"/>
      <c r="AE158" s="739"/>
      <c r="AF158" s="739"/>
      <c r="AG158" s="739"/>
      <c r="AH158" s="730"/>
      <c r="AI158" s="730"/>
      <c r="AJ158" s="730"/>
      <c r="AK158" s="730"/>
      <c r="AL158" s="730"/>
      <c r="AM158" s="730"/>
      <c r="AN158" s="730"/>
      <c r="AO158" s="730"/>
      <c r="AP158" s="730"/>
      <c r="AQ158" s="730"/>
      <c r="AR158" s="730"/>
      <c r="AS158" s="730"/>
      <c r="AT158" s="730"/>
      <c r="AU158" s="730"/>
      <c r="AV158" s="730"/>
      <c r="AW158" s="730"/>
      <c r="AX158" s="730"/>
      <c r="AY158" s="730"/>
      <c r="AZ158" s="730"/>
      <c r="BA158" s="730"/>
      <c r="BB158" s="730"/>
      <c r="BC158" s="730"/>
      <c r="BD158" s="730"/>
      <c r="BE158" s="730"/>
      <c r="BF158" s="730"/>
      <c r="BG158" s="730"/>
      <c r="BH158" s="730"/>
      <c r="BI158" s="730"/>
      <c r="BJ158" s="248"/>
      <c r="BK158" s="52"/>
      <c r="BL158" s="52"/>
      <c r="BM158" s="52"/>
    </row>
    <row r="159" spans="1:65" x14ac:dyDescent="0.3">
      <c r="A159" s="156" t="str">
        <f>'PRESUPUESTO OFICIAL (Entidad)'!B165</f>
        <v>C6,7</v>
      </c>
      <c r="B159" s="111" t="str">
        <f>'PRESUPUESTO OFICIAL (Entidad)'!C165</f>
        <v>Suministro e instalación de Tablero monofásico 4 circuitos.</v>
      </c>
      <c r="C159" s="158" t="str">
        <f>'PRESUPUESTO OFICIAL (Entidad)'!D165</f>
        <v>UND</v>
      </c>
      <c r="D159" s="158">
        <f>'PRESUPUESTO OFICIAL (Entidad)'!E165</f>
        <v>2</v>
      </c>
      <c r="E159" s="730"/>
      <c r="F159" s="730"/>
      <c r="G159" s="730"/>
      <c r="H159" s="730"/>
      <c r="I159" s="730"/>
      <c r="J159" s="730"/>
      <c r="K159" s="730"/>
      <c r="L159" s="730"/>
      <c r="M159" s="730"/>
      <c r="N159" s="730"/>
      <c r="O159" s="730"/>
      <c r="P159" s="730"/>
      <c r="Q159" s="730"/>
      <c r="R159" s="730"/>
      <c r="S159" s="730"/>
      <c r="T159" s="730"/>
      <c r="U159" s="730"/>
      <c r="V159" s="730"/>
      <c r="W159" s="730"/>
      <c r="X159" s="730"/>
      <c r="Y159" s="730"/>
      <c r="Z159" s="730"/>
      <c r="AA159" s="739"/>
      <c r="AB159" s="739"/>
      <c r="AC159" s="739"/>
      <c r="AD159" s="739"/>
      <c r="AE159" s="739"/>
      <c r="AF159" s="739"/>
      <c r="AG159" s="739"/>
      <c r="AH159" s="730"/>
      <c r="AI159" s="730"/>
      <c r="AJ159" s="730"/>
      <c r="AK159" s="730"/>
      <c r="AL159" s="730"/>
      <c r="AM159" s="730"/>
      <c r="AN159" s="730"/>
      <c r="AO159" s="730"/>
      <c r="AP159" s="730"/>
      <c r="AQ159" s="730"/>
      <c r="AR159" s="730"/>
      <c r="AS159" s="730"/>
      <c r="AT159" s="730"/>
      <c r="AU159" s="730"/>
      <c r="AV159" s="730"/>
      <c r="AW159" s="730"/>
      <c r="AX159" s="730"/>
      <c r="AY159" s="730"/>
      <c r="AZ159" s="730"/>
      <c r="BA159" s="730"/>
      <c r="BB159" s="730"/>
      <c r="BC159" s="730"/>
      <c r="BD159" s="730"/>
      <c r="BE159" s="730"/>
      <c r="BF159" s="730"/>
      <c r="BG159" s="730"/>
      <c r="BH159" s="730"/>
      <c r="BI159" s="730"/>
      <c r="BJ159" s="373"/>
      <c r="BK159" s="52"/>
      <c r="BL159" s="52"/>
      <c r="BM159" s="52"/>
    </row>
    <row r="160" spans="1:65" x14ac:dyDescent="0.3">
      <c r="A160" s="156" t="str">
        <f>'PRESUPUESTO OFICIAL (Entidad)'!B166</f>
        <v>C6,8</v>
      </c>
      <c r="B160" s="111" t="str">
        <f>'PRESUPUESTO OFICIAL (Entidad)'!C166</f>
        <v>Suministro e instalación de Cable concentrico monofasico.</v>
      </c>
      <c r="C160" s="158" t="str">
        <f>'PRESUPUESTO OFICIAL (Entidad)'!D166</f>
        <v>ML</v>
      </c>
      <c r="D160" s="158">
        <f>'PRESUPUESTO OFICIAL (Entidad)'!E166</f>
        <v>35</v>
      </c>
      <c r="E160" s="730"/>
      <c r="F160" s="730"/>
      <c r="G160" s="730"/>
      <c r="H160" s="730"/>
      <c r="I160" s="730"/>
      <c r="J160" s="730"/>
      <c r="K160" s="730"/>
      <c r="L160" s="730"/>
      <c r="M160" s="730"/>
      <c r="N160" s="730"/>
      <c r="O160" s="730"/>
      <c r="P160" s="730"/>
      <c r="Q160" s="730"/>
      <c r="R160" s="730"/>
      <c r="S160" s="730"/>
      <c r="T160" s="730"/>
      <c r="U160" s="730"/>
      <c r="V160" s="730"/>
      <c r="W160" s="730"/>
      <c r="X160" s="730"/>
      <c r="Y160" s="730"/>
      <c r="Z160" s="730"/>
      <c r="AA160" s="739"/>
      <c r="AB160" s="739"/>
      <c r="AC160" s="739"/>
      <c r="AD160" s="739"/>
      <c r="AE160" s="739"/>
      <c r="AF160" s="739"/>
      <c r="AG160" s="739"/>
      <c r="AH160" s="730"/>
      <c r="AI160" s="730"/>
      <c r="AJ160" s="730"/>
      <c r="AK160" s="730"/>
      <c r="AL160" s="730"/>
      <c r="AM160" s="730"/>
      <c r="AN160" s="730"/>
      <c r="AO160" s="742"/>
      <c r="AP160" s="742"/>
      <c r="AQ160" s="742"/>
      <c r="AR160" s="742"/>
      <c r="AS160" s="742"/>
      <c r="AT160" s="742"/>
      <c r="AU160" s="742"/>
      <c r="AV160" s="730"/>
      <c r="AW160" s="730"/>
      <c r="AX160" s="730"/>
      <c r="AY160" s="730"/>
      <c r="AZ160" s="730"/>
      <c r="BA160" s="730"/>
      <c r="BB160" s="730"/>
      <c r="BC160" s="730"/>
      <c r="BD160" s="730"/>
      <c r="BE160" s="730"/>
      <c r="BF160" s="730"/>
      <c r="BG160" s="730"/>
      <c r="BH160" s="730"/>
      <c r="BI160" s="730"/>
      <c r="BJ160" s="248"/>
      <c r="BK160" s="52"/>
      <c r="BL160" s="52"/>
      <c r="BM160" s="52"/>
    </row>
    <row r="161" spans="1:65" s="697" customFormat="1" x14ac:dyDescent="0.3">
      <c r="A161" s="667" t="str">
        <f>'PRESUPUESTO OFICIAL (Entidad)'!B167</f>
        <v>C7</v>
      </c>
      <c r="B161" s="700" t="str">
        <f>'PRESUPUESTO OFICIAL (Entidad)'!C167</f>
        <v>PAÑETES</v>
      </c>
      <c r="C161" s="701"/>
      <c r="D161" s="701"/>
      <c r="E161" s="734"/>
      <c r="F161" s="734"/>
      <c r="G161" s="734"/>
      <c r="H161" s="734"/>
      <c r="I161" s="734"/>
      <c r="J161" s="734"/>
      <c r="K161" s="734"/>
      <c r="L161" s="734"/>
      <c r="M161" s="734"/>
      <c r="N161" s="734"/>
      <c r="O161" s="734"/>
      <c r="P161" s="734"/>
      <c r="Q161" s="734"/>
      <c r="R161" s="734"/>
      <c r="S161" s="734"/>
      <c r="T161" s="734"/>
      <c r="U161" s="734"/>
      <c r="V161" s="734"/>
      <c r="W161" s="734"/>
      <c r="X161" s="734"/>
      <c r="Y161" s="734"/>
      <c r="Z161" s="734"/>
      <c r="AA161" s="734"/>
      <c r="AB161" s="734"/>
      <c r="AC161" s="734"/>
      <c r="AD161" s="734"/>
      <c r="AE161" s="734"/>
      <c r="AF161" s="734"/>
      <c r="AG161" s="734"/>
      <c r="AH161" s="734"/>
      <c r="AI161" s="734"/>
      <c r="AJ161" s="734"/>
      <c r="AK161" s="734"/>
      <c r="AL161" s="734"/>
      <c r="AM161" s="734"/>
      <c r="AN161" s="734"/>
      <c r="AO161" s="734"/>
      <c r="AP161" s="734"/>
      <c r="AQ161" s="734"/>
      <c r="AR161" s="734"/>
      <c r="AS161" s="734"/>
      <c r="AT161" s="734"/>
      <c r="AU161" s="734"/>
      <c r="AV161" s="734"/>
      <c r="AW161" s="734"/>
      <c r="AX161" s="734"/>
      <c r="AY161" s="734"/>
      <c r="AZ161" s="734"/>
      <c r="BA161" s="734"/>
      <c r="BB161" s="734"/>
      <c r="BC161" s="734"/>
      <c r="BD161" s="734"/>
      <c r="BE161" s="734"/>
      <c r="BF161" s="734"/>
      <c r="BG161" s="734"/>
      <c r="BH161" s="734"/>
      <c r="BI161" s="734"/>
      <c r="BJ161" s="680"/>
      <c r="BK161" s="696"/>
      <c r="BL161" s="696"/>
      <c r="BM161" s="696"/>
    </row>
    <row r="162" spans="1:65" x14ac:dyDescent="0.3">
      <c r="A162" s="156" t="str">
        <f>'PRESUPUESTO OFICIAL (Entidad)'!B168</f>
        <v>C7,1</v>
      </c>
      <c r="B162" s="111" t="str">
        <f>'PRESUPUESTO OFICIAL (Entidad)'!C168</f>
        <v>Suministro y aplicación de Pañete muros  1:4 Incluye Filos, carteras y Dilataciones.</v>
      </c>
      <c r="C162" s="158" t="str">
        <f>'PRESUPUESTO OFICIAL (Entidad)'!D168</f>
        <v>M2</v>
      </c>
      <c r="D162" s="158">
        <f>'PRESUPUESTO OFICIAL (Entidad)'!E168</f>
        <v>285.2</v>
      </c>
      <c r="E162" s="730"/>
      <c r="F162" s="730"/>
      <c r="G162" s="730"/>
      <c r="H162" s="730"/>
      <c r="I162" s="730"/>
      <c r="J162" s="730"/>
      <c r="K162" s="730"/>
      <c r="L162" s="730"/>
      <c r="M162" s="730"/>
      <c r="N162" s="730"/>
      <c r="O162" s="730"/>
      <c r="P162" s="730"/>
      <c r="Q162" s="730"/>
      <c r="R162" s="730"/>
      <c r="S162" s="730"/>
      <c r="T162" s="730"/>
      <c r="U162" s="730"/>
      <c r="V162" s="730"/>
      <c r="W162" s="730"/>
      <c r="X162" s="730"/>
      <c r="Y162" s="730"/>
      <c r="Z162" s="730"/>
      <c r="AA162" s="739"/>
      <c r="AB162" s="739"/>
      <c r="AC162" s="739"/>
      <c r="AD162" s="739"/>
      <c r="AE162" s="739"/>
      <c r="AF162" s="739"/>
      <c r="AG162" s="739"/>
      <c r="AH162" s="730"/>
      <c r="AI162" s="730"/>
      <c r="AJ162" s="730"/>
      <c r="AK162" s="730"/>
      <c r="AL162" s="730"/>
      <c r="AM162" s="730"/>
      <c r="AN162" s="730"/>
      <c r="AO162" s="730"/>
      <c r="AP162" s="730"/>
      <c r="AQ162" s="730"/>
      <c r="AR162" s="730"/>
      <c r="AS162" s="730"/>
      <c r="AT162" s="730"/>
      <c r="AU162" s="730"/>
      <c r="AV162" s="730"/>
      <c r="AW162" s="730"/>
      <c r="AX162" s="730"/>
      <c r="AY162" s="730"/>
      <c r="AZ162" s="730"/>
      <c r="BA162" s="730"/>
      <c r="BB162" s="730"/>
      <c r="BC162" s="730"/>
      <c r="BD162" s="730"/>
      <c r="BE162" s="730"/>
      <c r="BF162" s="730"/>
      <c r="BG162" s="730"/>
      <c r="BH162" s="730"/>
      <c r="BI162" s="730"/>
      <c r="BJ162" s="248"/>
      <c r="BK162" s="52"/>
      <c r="BL162" s="52"/>
      <c r="BM162" s="52"/>
    </row>
    <row r="163" spans="1:65" s="697" customFormat="1" x14ac:dyDescent="0.3">
      <c r="A163" s="667" t="str">
        <f>'PRESUPUESTO OFICIAL (Entidad)'!B169</f>
        <v>C8</v>
      </c>
      <c r="B163" s="700" t="str">
        <f>'PRESUPUESTO OFICIAL (Entidad)'!C169</f>
        <v>CUBIERTA  Y   ESTRUCTURA DE CUBIERTA</v>
      </c>
      <c r="C163" s="701"/>
      <c r="D163" s="701"/>
      <c r="E163" s="734"/>
      <c r="F163" s="734"/>
      <c r="G163" s="734"/>
      <c r="H163" s="734"/>
      <c r="I163" s="734"/>
      <c r="J163" s="734"/>
      <c r="K163" s="734"/>
      <c r="L163" s="734"/>
      <c r="M163" s="734"/>
      <c r="N163" s="734"/>
      <c r="O163" s="734"/>
      <c r="P163" s="734"/>
      <c r="Q163" s="734"/>
      <c r="R163" s="734"/>
      <c r="S163" s="734"/>
      <c r="T163" s="734"/>
      <c r="U163" s="734"/>
      <c r="V163" s="734"/>
      <c r="W163" s="734"/>
      <c r="X163" s="734"/>
      <c r="Y163" s="734"/>
      <c r="Z163" s="734"/>
      <c r="AA163" s="734"/>
      <c r="AB163" s="734"/>
      <c r="AC163" s="734"/>
      <c r="AD163" s="734"/>
      <c r="AE163" s="734"/>
      <c r="AF163" s="734"/>
      <c r="AG163" s="734"/>
      <c r="AH163" s="734"/>
      <c r="AI163" s="734"/>
      <c r="AJ163" s="734"/>
      <c r="AK163" s="734"/>
      <c r="AL163" s="734"/>
      <c r="AM163" s="734"/>
      <c r="AN163" s="734"/>
      <c r="AO163" s="734"/>
      <c r="AP163" s="734"/>
      <c r="AQ163" s="734"/>
      <c r="AR163" s="734"/>
      <c r="AS163" s="734"/>
      <c r="AT163" s="734"/>
      <c r="AU163" s="734"/>
      <c r="AV163" s="734"/>
      <c r="AW163" s="734"/>
      <c r="AX163" s="734"/>
      <c r="AY163" s="734"/>
      <c r="AZ163" s="734"/>
      <c r="BA163" s="734"/>
      <c r="BB163" s="734"/>
      <c r="BC163" s="734"/>
      <c r="BD163" s="734"/>
      <c r="BE163" s="734"/>
      <c r="BF163" s="734"/>
      <c r="BG163" s="734"/>
      <c r="BH163" s="734"/>
      <c r="BI163" s="734"/>
      <c r="BJ163" s="680"/>
      <c r="BK163" s="696"/>
      <c r="BL163" s="696"/>
      <c r="BM163" s="696"/>
    </row>
    <row r="164" spans="1:65" ht="31.2" x14ac:dyDescent="0.3">
      <c r="A164" s="156" t="str">
        <f>'PRESUPUESTO OFICIAL (Entidad)'!B170</f>
        <v>C8,1</v>
      </c>
      <c r="B164" s="111" t="str">
        <f>'PRESUPUESTO OFICIAL (Entidad)'!C170</f>
        <v xml:space="preserve">Suministro e instalación de cubierta en teja master 1000 Arquitectónica color, CAL 28. Incluye tornillos autoperforantes. </v>
      </c>
      <c r="C164" s="158" t="str">
        <f>'PRESUPUESTO OFICIAL (Entidad)'!D170</f>
        <v>M2</v>
      </c>
      <c r="D164" s="158">
        <f>'PRESUPUESTO OFICIAL (Entidad)'!E170</f>
        <v>172</v>
      </c>
      <c r="E164" s="730"/>
      <c r="F164" s="730"/>
      <c r="G164" s="730"/>
      <c r="H164" s="730"/>
      <c r="I164" s="730"/>
      <c r="J164" s="730"/>
      <c r="K164" s="730"/>
      <c r="L164" s="730"/>
      <c r="M164" s="730"/>
      <c r="N164" s="730"/>
      <c r="O164" s="730"/>
      <c r="P164" s="730"/>
      <c r="Q164" s="730"/>
      <c r="R164" s="730"/>
      <c r="S164" s="730"/>
      <c r="T164" s="730"/>
      <c r="U164" s="730"/>
      <c r="V164" s="730"/>
      <c r="W164" s="730"/>
      <c r="X164" s="730"/>
      <c r="Y164" s="730"/>
      <c r="Z164" s="730"/>
      <c r="AA164" s="739"/>
      <c r="AB164" s="739"/>
      <c r="AC164" s="739"/>
      <c r="AD164" s="739"/>
      <c r="AE164" s="739"/>
      <c r="AF164" s="739"/>
      <c r="AG164" s="739"/>
      <c r="AH164" s="730"/>
      <c r="AI164" s="730"/>
      <c r="AJ164" s="730"/>
      <c r="AK164" s="730"/>
      <c r="AL164" s="730"/>
      <c r="AM164" s="730"/>
      <c r="AN164" s="730"/>
      <c r="AO164" s="730"/>
      <c r="AP164" s="730"/>
      <c r="AQ164" s="730"/>
      <c r="AR164" s="730"/>
      <c r="AS164" s="730"/>
      <c r="AT164" s="730"/>
      <c r="AU164" s="730"/>
      <c r="AV164" s="730"/>
      <c r="AW164" s="730"/>
      <c r="AX164" s="730"/>
      <c r="AY164" s="730"/>
      <c r="AZ164" s="730"/>
      <c r="BA164" s="730"/>
      <c r="BB164" s="730"/>
      <c r="BC164" s="730"/>
      <c r="BD164" s="730"/>
      <c r="BE164" s="730"/>
      <c r="BF164" s="730"/>
      <c r="BG164" s="730"/>
      <c r="BH164" s="730"/>
      <c r="BI164" s="730"/>
      <c r="BJ164" s="373"/>
      <c r="BK164" s="52"/>
      <c r="BL164" s="52"/>
      <c r="BM164" s="52"/>
    </row>
    <row r="165" spans="1:65" x14ac:dyDescent="0.3">
      <c r="A165" s="156" t="str">
        <f>'PRESUPUESTO OFICIAL (Entidad)'!B171</f>
        <v>C8,2</v>
      </c>
      <c r="B165" s="111" t="str">
        <f>'PRESUPUESTO OFICIAL (Entidad)'!C171</f>
        <v>Suministro e instalación de Caballete termoacustic, incluye tornillos autoperforantes.</v>
      </c>
      <c r="C165" s="158" t="str">
        <f>'PRESUPUESTO OFICIAL (Entidad)'!D171</f>
        <v>ML</v>
      </c>
      <c r="D165" s="158">
        <f>'PRESUPUESTO OFICIAL (Entidad)'!E171</f>
        <v>16</v>
      </c>
      <c r="E165" s="730"/>
      <c r="F165" s="730"/>
      <c r="G165" s="730"/>
      <c r="H165" s="730"/>
      <c r="I165" s="730"/>
      <c r="J165" s="730"/>
      <c r="K165" s="730"/>
      <c r="L165" s="730"/>
      <c r="M165" s="730"/>
      <c r="N165" s="730"/>
      <c r="O165" s="730"/>
      <c r="P165" s="730"/>
      <c r="Q165" s="730"/>
      <c r="R165" s="730"/>
      <c r="S165" s="730"/>
      <c r="T165" s="730"/>
      <c r="U165" s="730"/>
      <c r="V165" s="730"/>
      <c r="W165" s="730"/>
      <c r="X165" s="730"/>
      <c r="Y165" s="730"/>
      <c r="Z165" s="730"/>
      <c r="AA165" s="739"/>
      <c r="AB165" s="739"/>
      <c r="AC165" s="739"/>
      <c r="AD165" s="739"/>
      <c r="AE165" s="739"/>
      <c r="AF165" s="739"/>
      <c r="AG165" s="739"/>
      <c r="AH165" s="730"/>
      <c r="AI165" s="730"/>
      <c r="AJ165" s="730"/>
      <c r="AK165" s="730"/>
      <c r="AL165" s="730"/>
      <c r="AM165" s="730"/>
      <c r="AN165" s="730"/>
      <c r="AO165" s="742"/>
      <c r="AP165" s="742"/>
      <c r="AQ165" s="742"/>
      <c r="AR165" s="742"/>
      <c r="AS165" s="742"/>
      <c r="AT165" s="742"/>
      <c r="AU165" s="742"/>
      <c r="AV165" s="730"/>
      <c r="AW165" s="730"/>
      <c r="AX165" s="730"/>
      <c r="AY165" s="730"/>
      <c r="AZ165" s="730"/>
      <c r="BA165" s="730"/>
      <c r="BB165" s="730"/>
      <c r="BC165" s="730"/>
      <c r="BD165" s="730"/>
      <c r="BE165" s="730"/>
      <c r="BF165" s="730"/>
      <c r="BG165" s="730"/>
      <c r="BH165" s="730"/>
      <c r="BI165" s="730"/>
      <c r="BJ165" s="248"/>
      <c r="BK165" s="52"/>
      <c r="BL165" s="52"/>
      <c r="BM165" s="52"/>
    </row>
    <row r="166" spans="1:65" ht="31.2" x14ac:dyDescent="0.3">
      <c r="A166" s="156" t="str">
        <f>'PRESUPUESTO OFICIAL (Entidad)'!B172</f>
        <v>C8,3</v>
      </c>
      <c r="B166" s="111" t="str">
        <f>'PRESUPUESTO OFICIAL (Entidad)'!C172</f>
        <v xml:space="preserve">Suministro e instalación de Cercha Metalica 2&gt;2"x1/8" superior y 2&gt;1 1/2x3/16 inferior, celosia en &lt;1 1/4X1/8" y varilla 1/2". </v>
      </c>
      <c r="C166" s="158" t="str">
        <f>'PRESUPUESTO OFICIAL (Entidad)'!D172</f>
        <v>ML</v>
      </c>
      <c r="D166" s="158">
        <f>'PRESUPUESTO OFICIAL (Entidad)'!E172</f>
        <v>20.68</v>
      </c>
      <c r="E166" s="730"/>
      <c r="F166" s="730"/>
      <c r="G166" s="730"/>
      <c r="H166" s="730"/>
      <c r="I166" s="730"/>
      <c r="J166" s="730"/>
      <c r="K166" s="730"/>
      <c r="L166" s="730"/>
      <c r="M166" s="730"/>
      <c r="N166" s="730"/>
      <c r="O166" s="730"/>
      <c r="P166" s="730"/>
      <c r="Q166" s="730"/>
      <c r="R166" s="730"/>
      <c r="S166" s="730"/>
      <c r="T166" s="730"/>
      <c r="U166" s="730"/>
      <c r="V166" s="730"/>
      <c r="W166" s="730"/>
      <c r="X166" s="730"/>
      <c r="Y166" s="730"/>
      <c r="Z166" s="730"/>
      <c r="AA166" s="739"/>
      <c r="AB166" s="739"/>
      <c r="AC166" s="739"/>
      <c r="AD166" s="739"/>
      <c r="AE166" s="739"/>
      <c r="AF166" s="739"/>
      <c r="AG166" s="739"/>
      <c r="AH166" s="730"/>
      <c r="AI166" s="730"/>
      <c r="AJ166" s="730"/>
      <c r="AK166" s="730"/>
      <c r="AL166" s="730"/>
      <c r="AM166" s="730"/>
      <c r="AN166" s="730"/>
      <c r="AO166" s="730"/>
      <c r="AP166" s="730"/>
      <c r="AQ166" s="730"/>
      <c r="AR166" s="730"/>
      <c r="AS166" s="730"/>
      <c r="AT166" s="730"/>
      <c r="AU166" s="730"/>
      <c r="AV166" s="730"/>
      <c r="AW166" s="730"/>
      <c r="AX166" s="730"/>
      <c r="AY166" s="730"/>
      <c r="AZ166" s="730"/>
      <c r="BA166" s="730"/>
      <c r="BB166" s="730"/>
      <c r="BC166" s="730"/>
      <c r="BD166" s="730"/>
      <c r="BE166" s="730"/>
      <c r="BF166" s="730"/>
      <c r="BG166" s="730"/>
      <c r="BH166" s="730"/>
      <c r="BI166" s="730"/>
      <c r="BJ166" s="374"/>
      <c r="BK166" s="52"/>
      <c r="BL166" s="52"/>
      <c r="BM166" s="52"/>
    </row>
    <row r="167" spans="1:65" x14ac:dyDescent="0.3">
      <c r="A167" s="156" t="str">
        <f>'PRESUPUESTO OFICIAL (Entidad)'!B173</f>
        <v>C8,4</v>
      </c>
      <c r="B167" s="111" t="str">
        <f>'PRESUPUESTO OFICIAL (Entidad)'!C173</f>
        <v>Suministro e instalación de Correa en perfil metálico de 3"X1 1/2", cal.18.</v>
      </c>
      <c r="C167" s="158" t="str">
        <f>'PRESUPUESTO OFICIAL (Entidad)'!D173</f>
        <v>ML</v>
      </c>
      <c r="D167" s="158">
        <f>'PRESUPUESTO OFICIAL (Entidad)'!E173</f>
        <v>140.4</v>
      </c>
      <c r="E167" s="730"/>
      <c r="F167" s="730"/>
      <c r="G167" s="730"/>
      <c r="H167" s="730"/>
      <c r="I167" s="730"/>
      <c r="J167" s="730"/>
      <c r="K167" s="730"/>
      <c r="L167" s="730"/>
      <c r="M167" s="730"/>
      <c r="N167" s="730"/>
      <c r="O167" s="730"/>
      <c r="P167" s="730"/>
      <c r="Q167" s="730"/>
      <c r="R167" s="730"/>
      <c r="S167" s="730"/>
      <c r="T167" s="730"/>
      <c r="U167" s="730"/>
      <c r="V167" s="730"/>
      <c r="W167" s="730"/>
      <c r="X167" s="730"/>
      <c r="Y167" s="730"/>
      <c r="Z167" s="730"/>
      <c r="AA167" s="739"/>
      <c r="AB167" s="739"/>
      <c r="AC167" s="739"/>
      <c r="AD167" s="739"/>
      <c r="AE167" s="739"/>
      <c r="AF167" s="739"/>
      <c r="AG167" s="739"/>
      <c r="AH167" s="730"/>
      <c r="AI167" s="730"/>
      <c r="AJ167" s="730"/>
      <c r="AK167" s="730"/>
      <c r="AL167" s="730"/>
      <c r="AM167" s="730"/>
      <c r="AN167" s="730"/>
      <c r="AO167" s="730"/>
      <c r="AP167" s="730"/>
      <c r="AQ167" s="730"/>
      <c r="AR167" s="730"/>
      <c r="AS167" s="730"/>
      <c r="AT167" s="730"/>
      <c r="AU167" s="730"/>
      <c r="AV167" s="730"/>
      <c r="AW167" s="730"/>
      <c r="AX167" s="730"/>
      <c r="AY167" s="730"/>
      <c r="AZ167" s="730"/>
      <c r="BA167" s="730"/>
      <c r="BB167" s="730"/>
      <c r="BC167" s="730"/>
      <c r="BD167" s="730"/>
      <c r="BE167" s="730"/>
      <c r="BF167" s="730"/>
      <c r="BG167" s="730"/>
      <c r="BH167" s="730"/>
      <c r="BI167" s="730"/>
      <c r="BJ167" s="248"/>
      <c r="BK167" s="52"/>
      <c r="BL167" s="52"/>
      <c r="BM167" s="52"/>
    </row>
    <row r="168" spans="1:65" x14ac:dyDescent="0.3">
      <c r="A168" s="156" t="str">
        <f>'PRESUPUESTO OFICIAL (Entidad)'!B174</f>
        <v>C8,5</v>
      </c>
      <c r="B168" s="111" t="str">
        <f>'PRESUPUESTO OFICIAL (Entidad)'!C174</f>
        <v>Suministro e instalación de Bajante ALL PVC 4". Incluye accesorios y mano de obra.</v>
      </c>
      <c r="C168" s="158" t="str">
        <f>'PRESUPUESTO OFICIAL (Entidad)'!D174</f>
        <v>ML</v>
      </c>
      <c r="D168" s="158">
        <f>'PRESUPUESTO OFICIAL (Entidad)'!E174</f>
        <v>12</v>
      </c>
      <c r="E168" s="730"/>
      <c r="F168" s="730"/>
      <c r="G168" s="730"/>
      <c r="H168" s="730"/>
      <c r="I168" s="730"/>
      <c r="J168" s="730"/>
      <c r="K168" s="730"/>
      <c r="L168" s="730"/>
      <c r="M168" s="730"/>
      <c r="N168" s="730"/>
      <c r="O168" s="730"/>
      <c r="P168" s="730"/>
      <c r="Q168" s="730"/>
      <c r="R168" s="730"/>
      <c r="S168" s="730"/>
      <c r="T168" s="730"/>
      <c r="U168" s="730"/>
      <c r="V168" s="730"/>
      <c r="W168" s="730"/>
      <c r="X168" s="730"/>
      <c r="Y168" s="730"/>
      <c r="Z168" s="730"/>
      <c r="AA168" s="739"/>
      <c r="AB168" s="739"/>
      <c r="AC168" s="739"/>
      <c r="AD168" s="739"/>
      <c r="AE168" s="739"/>
      <c r="AF168" s="739"/>
      <c r="AG168" s="739"/>
      <c r="AH168" s="730"/>
      <c r="AI168" s="730"/>
      <c r="AJ168" s="730"/>
      <c r="AK168" s="730"/>
      <c r="AL168" s="730"/>
      <c r="AM168" s="730"/>
      <c r="AN168" s="730"/>
      <c r="AO168" s="730"/>
      <c r="AP168" s="730"/>
      <c r="AQ168" s="730"/>
      <c r="AR168" s="730"/>
      <c r="AS168" s="730"/>
      <c r="AT168" s="730"/>
      <c r="AU168" s="730"/>
      <c r="AV168" s="730"/>
      <c r="AW168" s="730"/>
      <c r="AX168" s="730"/>
      <c r="AY168" s="730"/>
      <c r="AZ168" s="730"/>
      <c r="BA168" s="730"/>
      <c r="BB168" s="730"/>
      <c r="BC168" s="730"/>
      <c r="BD168" s="730"/>
      <c r="BE168" s="730"/>
      <c r="BF168" s="730"/>
      <c r="BG168" s="730"/>
      <c r="BH168" s="730"/>
      <c r="BI168" s="730"/>
      <c r="BJ168" s="248"/>
      <c r="BK168" s="52"/>
      <c r="BL168" s="52"/>
      <c r="BM168" s="52"/>
    </row>
    <row r="169" spans="1:65" s="697" customFormat="1" x14ac:dyDescent="0.3">
      <c r="A169" s="667" t="str">
        <f>'PRESUPUESTO OFICIAL (Entidad)'!B175</f>
        <v>C9</v>
      </c>
      <c r="B169" s="700" t="str">
        <f>'PRESUPUESTO OFICIAL (Entidad)'!C175</f>
        <v>PISOS Y ENCHAPE</v>
      </c>
      <c r="C169" s="701"/>
      <c r="D169" s="701"/>
      <c r="E169" s="734"/>
      <c r="F169" s="734"/>
      <c r="G169" s="734"/>
      <c r="H169" s="734"/>
      <c r="I169" s="734"/>
      <c r="J169" s="734"/>
      <c r="K169" s="734"/>
      <c r="L169" s="734"/>
      <c r="M169" s="734"/>
      <c r="N169" s="734"/>
      <c r="O169" s="734"/>
      <c r="P169" s="734"/>
      <c r="Q169" s="734"/>
      <c r="R169" s="734"/>
      <c r="S169" s="734"/>
      <c r="T169" s="734"/>
      <c r="U169" s="734"/>
      <c r="V169" s="734"/>
      <c r="W169" s="734"/>
      <c r="X169" s="734"/>
      <c r="Y169" s="734"/>
      <c r="Z169" s="734"/>
      <c r="AA169" s="734"/>
      <c r="AB169" s="734"/>
      <c r="AC169" s="734"/>
      <c r="AD169" s="734"/>
      <c r="AE169" s="734"/>
      <c r="AF169" s="734"/>
      <c r="AG169" s="734"/>
      <c r="AH169" s="734"/>
      <c r="AI169" s="734"/>
      <c r="AJ169" s="734"/>
      <c r="AK169" s="734"/>
      <c r="AL169" s="734"/>
      <c r="AM169" s="734"/>
      <c r="AN169" s="734"/>
      <c r="AO169" s="734"/>
      <c r="AP169" s="734"/>
      <c r="AQ169" s="734"/>
      <c r="AR169" s="734"/>
      <c r="AS169" s="734"/>
      <c r="AT169" s="734"/>
      <c r="AU169" s="734"/>
      <c r="AV169" s="734"/>
      <c r="AW169" s="734"/>
      <c r="AX169" s="734"/>
      <c r="AY169" s="734"/>
      <c r="AZ169" s="734"/>
      <c r="BA169" s="734"/>
      <c r="BB169" s="734"/>
      <c r="BC169" s="734"/>
      <c r="BD169" s="734"/>
      <c r="BE169" s="734"/>
      <c r="BF169" s="734"/>
      <c r="BG169" s="734"/>
      <c r="BH169" s="734"/>
      <c r="BI169" s="734"/>
      <c r="BJ169" s="678"/>
      <c r="BK169" s="696"/>
      <c r="BL169" s="696"/>
      <c r="BM169" s="696"/>
    </row>
    <row r="170" spans="1:65" x14ac:dyDescent="0.3">
      <c r="A170" s="156" t="str">
        <f>'PRESUPUESTO OFICIAL (Entidad)'!B176</f>
        <v>C9,1</v>
      </c>
      <c r="B170" s="111" t="str">
        <f>'PRESUPUESTO OFICIAL (Entidad)'!C176</f>
        <v>Construccion de Placa en concreto de 3000 PSI e=0,10 m.</v>
      </c>
      <c r="C170" s="158" t="str">
        <f>'PRESUPUESTO OFICIAL (Entidad)'!D176</f>
        <v>M2</v>
      </c>
      <c r="D170" s="158">
        <f>'PRESUPUESTO OFICIAL (Entidad)'!E176</f>
        <v>115.79</v>
      </c>
      <c r="E170" s="730"/>
      <c r="F170" s="730"/>
      <c r="G170" s="730"/>
      <c r="H170" s="730"/>
      <c r="I170" s="730"/>
      <c r="J170" s="730"/>
      <c r="K170" s="730"/>
      <c r="L170" s="730"/>
      <c r="M170" s="730"/>
      <c r="N170" s="730"/>
      <c r="O170" s="730"/>
      <c r="P170" s="730"/>
      <c r="Q170" s="730"/>
      <c r="R170" s="730"/>
      <c r="S170" s="730"/>
      <c r="T170" s="730"/>
      <c r="U170" s="730"/>
      <c r="V170" s="730"/>
      <c r="W170" s="730"/>
      <c r="X170" s="730"/>
      <c r="Y170" s="730"/>
      <c r="Z170" s="730"/>
      <c r="AA170" s="730"/>
      <c r="AB170" s="730"/>
      <c r="AC170" s="730"/>
      <c r="AD170" s="730"/>
      <c r="AE170" s="730"/>
      <c r="AF170" s="730"/>
      <c r="AG170" s="730"/>
      <c r="AH170" s="739"/>
      <c r="AI170" s="739"/>
      <c r="AJ170" s="739"/>
      <c r="AK170" s="739"/>
      <c r="AL170" s="739"/>
      <c r="AM170" s="739"/>
      <c r="AN170" s="739"/>
      <c r="AO170" s="742"/>
      <c r="AP170" s="742"/>
      <c r="AQ170" s="742"/>
      <c r="AR170" s="742"/>
      <c r="AS170" s="742"/>
      <c r="AT170" s="742"/>
      <c r="AU170" s="742"/>
      <c r="AV170" s="730"/>
      <c r="AW170" s="730"/>
      <c r="AX170" s="730"/>
      <c r="AY170" s="730"/>
      <c r="AZ170" s="730"/>
      <c r="BA170" s="730"/>
      <c r="BB170" s="730"/>
      <c r="BC170" s="730"/>
      <c r="BD170" s="730"/>
      <c r="BE170" s="730"/>
      <c r="BF170" s="730"/>
      <c r="BG170" s="730"/>
      <c r="BH170" s="730"/>
      <c r="BI170" s="730"/>
      <c r="BJ170" s="248"/>
      <c r="BK170" s="52"/>
      <c r="BL170" s="52"/>
      <c r="BM170" s="52"/>
    </row>
    <row r="171" spans="1:65" x14ac:dyDescent="0.3">
      <c r="A171" s="156" t="str">
        <f>'PRESUPUESTO OFICIAL (Entidad)'!B177</f>
        <v>C9,2</v>
      </c>
      <c r="B171" s="111" t="str">
        <f>'PRESUPUESTO OFICIAL (Entidad)'!C177</f>
        <v>Alistado de piso en mortero e= 0,05m.</v>
      </c>
      <c r="C171" s="158" t="str">
        <f>'PRESUPUESTO OFICIAL (Entidad)'!D177</f>
        <v>M2</v>
      </c>
      <c r="D171" s="158">
        <f>'PRESUPUESTO OFICIAL (Entidad)'!E177</f>
        <v>115.79</v>
      </c>
      <c r="E171" s="730"/>
      <c r="F171" s="730"/>
      <c r="G171" s="730"/>
      <c r="H171" s="730"/>
      <c r="I171" s="730"/>
      <c r="J171" s="730"/>
      <c r="K171" s="730"/>
      <c r="L171" s="730"/>
      <c r="M171" s="730"/>
      <c r="N171" s="730"/>
      <c r="O171" s="730"/>
      <c r="P171" s="730"/>
      <c r="Q171" s="730"/>
      <c r="R171" s="730"/>
      <c r="S171" s="730"/>
      <c r="T171" s="730"/>
      <c r="U171" s="730"/>
      <c r="V171" s="730"/>
      <c r="W171" s="730"/>
      <c r="X171" s="730"/>
      <c r="Y171" s="730"/>
      <c r="Z171" s="730"/>
      <c r="AA171" s="730"/>
      <c r="AB171" s="730"/>
      <c r="AC171" s="730"/>
      <c r="AD171" s="730"/>
      <c r="AE171" s="730"/>
      <c r="AF171" s="730"/>
      <c r="AG171" s="730"/>
      <c r="AH171" s="739"/>
      <c r="AI171" s="739"/>
      <c r="AJ171" s="739"/>
      <c r="AK171" s="739"/>
      <c r="AL171" s="739"/>
      <c r="AM171" s="739"/>
      <c r="AN171" s="739"/>
      <c r="AO171" s="730"/>
      <c r="AP171" s="730"/>
      <c r="AQ171" s="730"/>
      <c r="AR171" s="730"/>
      <c r="AS171" s="730"/>
      <c r="AT171" s="730"/>
      <c r="AU171" s="730"/>
      <c r="AV171" s="730"/>
      <c r="AW171" s="730"/>
      <c r="AX171" s="730"/>
      <c r="AY171" s="730"/>
      <c r="AZ171" s="730"/>
      <c r="BA171" s="730"/>
      <c r="BB171" s="730"/>
      <c r="BC171" s="730"/>
      <c r="BD171" s="730"/>
      <c r="BE171" s="730"/>
      <c r="BF171" s="730"/>
      <c r="BG171" s="730"/>
      <c r="BH171" s="730"/>
      <c r="BI171" s="730"/>
      <c r="BJ171" s="374"/>
      <c r="BK171" s="52"/>
      <c r="BL171" s="52"/>
      <c r="BM171" s="52"/>
    </row>
    <row r="172" spans="1:65" x14ac:dyDescent="0.3">
      <c r="A172" s="156" t="str">
        <f>'PRESUPUESTO OFICIAL (Entidad)'!B178</f>
        <v>C9,3</v>
      </c>
      <c r="B172" s="111" t="str">
        <f>'PRESUPUESTO OFICIAL (Entidad)'!C178</f>
        <v>Suministro e instalacion de Piso en ceramica t-5</v>
      </c>
      <c r="C172" s="158" t="str">
        <f>'PRESUPUESTO OFICIAL (Entidad)'!D178</f>
        <v>M2</v>
      </c>
      <c r="D172" s="158">
        <f>'PRESUPUESTO OFICIAL (Entidad)'!E178</f>
        <v>115.79</v>
      </c>
      <c r="E172" s="730"/>
      <c r="F172" s="730"/>
      <c r="G172" s="730"/>
      <c r="H172" s="730"/>
      <c r="I172" s="730"/>
      <c r="J172" s="730"/>
      <c r="K172" s="730"/>
      <c r="L172" s="730"/>
      <c r="M172" s="730"/>
      <c r="N172" s="730"/>
      <c r="O172" s="730"/>
      <c r="P172" s="730"/>
      <c r="Q172" s="730"/>
      <c r="R172" s="730"/>
      <c r="S172" s="730"/>
      <c r="T172" s="730"/>
      <c r="U172" s="730"/>
      <c r="V172" s="730"/>
      <c r="W172" s="730"/>
      <c r="X172" s="730"/>
      <c r="Y172" s="730"/>
      <c r="Z172" s="730"/>
      <c r="AA172" s="730"/>
      <c r="AB172" s="730"/>
      <c r="AC172" s="730"/>
      <c r="AD172" s="730"/>
      <c r="AE172" s="730"/>
      <c r="AF172" s="730"/>
      <c r="AG172" s="730"/>
      <c r="AH172" s="739"/>
      <c r="AI172" s="739"/>
      <c r="AJ172" s="739"/>
      <c r="AK172" s="739"/>
      <c r="AL172" s="739"/>
      <c r="AM172" s="739"/>
      <c r="AN172" s="739"/>
      <c r="AO172" s="730"/>
      <c r="AP172" s="730"/>
      <c r="AQ172" s="730"/>
      <c r="AR172" s="730"/>
      <c r="AS172" s="730"/>
      <c r="AT172" s="730"/>
      <c r="AU172" s="730"/>
      <c r="AV172" s="730"/>
      <c r="AW172" s="730"/>
      <c r="AX172" s="730"/>
      <c r="AY172" s="730"/>
      <c r="AZ172" s="730"/>
      <c r="BA172" s="730"/>
      <c r="BB172" s="730"/>
      <c r="BC172" s="730"/>
      <c r="BD172" s="730"/>
      <c r="BE172" s="730"/>
      <c r="BF172" s="730"/>
      <c r="BG172" s="730"/>
      <c r="BH172" s="730"/>
      <c r="BI172" s="730"/>
      <c r="BJ172" s="248"/>
      <c r="BK172" s="52"/>
      <c r="BL172" s="52"/>
      <c r="BM172" s="52"/>
    </row>
    <row r="173" spans="1:65" x14ac:dyDescent="0.3">
      <c r="A173" s="156" t="str">
        <f>'PRESUPUESTO OFICIAL (Entidad)'!B179</f>
        <v>C9,4</v>
      </c>
      <c r="B173" s="111" t="str">
        <f>'PRESUPUESTO OFICIAL (Entidad)'!C179</f>
        <v>Suministro e instalacion de Guardaescoba en cerámica   T-5.</v>
      </c>
      <c r="C173" s="158" t="str">
        <f>'PRESUPUESTO OFICIAL (Entidad)'!D179</f>
        <v>ML</v>
      </c>
      <c r="D173" s="158">
        <f>'PRESUPUESTO OFICIAL (Entidad)'!E179</f>
        <v>59.43</v>
      </c>
      <c r="E173" s="730"/>
      <c r="F173" s="730"/>
      <c r="G173" s="730"/>
      <c r="H173" s="730"/>
      <c r="I173" s="730"/>
      <c r="J173" s="730"/>
      <c r="K173" s="730"/>
      <c r="L173" s="730"/>
      <c r="M173" s="730"/>
      <c r="N173" s="730"/>
      <c r="O173" s="730"/>
      <c r="P173" s="730"/>
      <c r="Q173" s="730"/>
      <c r="R173" s="730"/>
      <c r="S173" s="730"/>
      <c r="T173" s="730"/>
      <c r="U173" s="730"/>
      <c r="V173" s="730"/>
      <c r="W173" s="730"/>
      <c r="X173" s="730"/>
      <c r="Y173" s="730"/>
      <c r="Z173" s="730"/>
      <c r="AA173" s="730"/>
      <c r="AB173" s="730"/>
      <c r="AC173" s="730"/>
      <c r="AD173" s="730"/>
      <c r="AE173" s="730"/>
      <c r="AF173" s="730"/>
      <c r="AG173" s="730"/>
      <c r="AH173" s="739"/>
      <c r="AI173" s="739"/>
      <c r="AJ173" s="739"/>
      <c r="AK173" s="739"/>
      <c r="AL173" s="739"/>
      <c r="AM173" s="739"/>
      <c r="AN173" s="739"/>
      <c r="AO173" s="730"/>
      <c r="AP173" s="730"/>
      <c r="AQ173" s="730"/>
      <c r="AR173" s="730"/>
      <c r="AS173" s="730"/>
      <c r="AT173" s="730"/>
      <c r="AU173" s="730"/>
      <c r="AV173" s="730"/>
      <c r="AW173" s="730"/>
      <c r="AX173" s="730"/>
      <c r="AY173" s="730"/>
      <c r="AZ173" s="730"/>
      <c r="BA173" s="730"/>
      <c r="BB173" s="730"/>
      <c r="BC173" s="730"/>
      <c r="BD173" s="730"/>
      <c r="BE173" s="730"/>
      <c r="BF173" s="730"/>
      <c r="BG173" s="730"/>
      <c r="BH173" s="730"/>
      <c r="BI173" s="730"/>
      <c r="BJ173" s="248"/>
      <c r="BK173" s="52"/>
      <c r="BL173" s="52"/>
      <c r="BM173" s="52"/>
    </row>
    <row r="174" spans="1:65" s="697" customFormat="1" x14ac:dyDescent="0.3">
      <c r="A174" s="667" t="str">
        <f>'PRESUPUESTO OFICIAL (Entidad)'!B180</f>
        <v>C10</v>
      </c>
      <c r="B174" s="700" t="str">
        <f>'PRESUPUESTO OFICIAL (Entidad)'!C180</f>
        <v>CARPINTERÍA METÁLICA</v>
      </c>
      <c r="C174" s="701"/>
      <c r="D174" s="701"/>
      <c r="E174" s="734"/>
      <c r="F174" s="734"/>
      <c r="G174" s="734"/>
      <c r="H174" s="734"/>
      <c r="I174" s="734"/>
      <c r="J174" s="734"/>
      <c r="K174" s="734"/>
      <c r="L174" s="734"/>
      <c r="M174" s="734"/>
      <c r="N174" s="734"/>
      <c r="O174" s="734"/>
      <c r="P174" s="734"/>
      <c r="Q174" s="734"/>
      <c r="R174" s="734"/>
      <c r="S174" s="734"/>
      <c r="T174" s="734"/>
      <c r="U174" s="734"/>
      <c r="V174" s="734"/>
      <c r="W174" s="734"/>
      <c r="X174" s="734"/>
      <c r="Y174" s="734"/>
      <c r="Z174" s="734"/>
      <c r="AA174" s="734"/>
      <c r="AB174" s="734"/>
      <c r="AC174" s="734"/>
      <c r="AD174" s="734"/>
      <c r="AE174" s="734"/>
      <c r="AF174" s="734"/>
      <c r="AG174" s="734"/>
      <c r="AH174" s="734"/>
      <c r="AI174" s="734"/>
      <c r="AJ174" s="734"/>
      <c r="AK174" s="734"/>
      <c r="AL174" s="734"/>
      <c r="AM174" s="734"/>
      <c r="AN174" s="734"/>
      <c r="AO174" s="734"/>
      <c r="AP174" s="734"/>
      <c r="AQ174" s="734"/>
      <c r="AR174" s="734"/>
      <c r="AS174" s="734"/>
      <c r="AT174" s="734"/>
      <c r="AU174" s="734"/>
      <c r="AV174" s="734"/>
      <c r="AW174" s="734"/>
      <c r="AX174" s="734"/>
      <c r="AY174" s="734"/>
      <c r="AZ174" s="734"/>
      <c r="BA174" s="734"/>
      <c r="BB174" s="734"/>
      <c r="BC174" s="734"/>
      <c r="BD174" s="734"/>
      <c r="BE174" s="734"/>
      <c r="BF174" s="734"/>
      <c r="BG174" s="734"/>
      <c r="BH174" s="734"/>
      <c r="BI174" s="734"/>
      <c r="BJ174" s="678"/>
      <c r="BK174" s="696"/>
      <c r="BL174" s="696"/>
      <c r="BM174" s="696"/>
    </row>
    <row r="175" spans="1:65" ht="31.2" x14ac:dyDescent="0.3">
      <c r="A175" s="156" t="str">
        <f>'PRESUPUESTO OFICIAL (Entidad)'!B181</f>
        <v>C10,1</v>
      </c>
      <c r="B175" s="111" t="str">
        <f>'PRESUPUESTO OFICIAL (Entidad)'!C181</f>
        <v xml:space="preserve">Suministro e instalación ventana en tubo cuadrado de 1" cal. 20, incluye anticorrosivo + pintura y todo lo necesario para su correcto funcionamiento. </v>
      </c>
      <c r="C175" s="158" t="str">
        <f>'PRESUPUESTO OFICIAL (Entidad)'!D181</f>
        <v>M2</v>
      </c>
      <c r="D175" s="158">
        <f>'PRESUPUESTO OFICIAL (Entidad)'!E181</f>
        <v>37.659999999999997</v>
      </c>
      <c r="E175" s="730"/>
      <c r="F175" s="730"/>
      <c r="G175" s="730"/>
      <c r="H175" s="730"/>
      <c r="I175" s="730"/>
      <c r="J175" s="730"/>
      <c r="K175" s="730"/>
      <c r="L175" s="730"/>
      <c r="M175" s="730"/>
      <c r="N175" s="730"/>
      <c r="O175" s="730"/>
      <c r="P175" s="730"/>
      <c r="Q175" s="730"/>
      <c r="R175" s="730"/>
      <c r="S175" s="730"/>
      <c r="T175" s="730"/>
      <c r="U175" s="730"/>
      <c r="V175" s="730"/>
      <c r="W175" s="730"/>
      <c r="X175" s="730"/>
      <c r="Y175" s="730"/>
      <c r="Z175" s="730"/>
      <c r="AA175" s="730"/>
      <c r="AB175" s="730"/>
      <c r="AC175" s="730"/>
      <c r="AD175" s="730"/>
      <c r="AE175" s="730"/>
      <c r="AF175" s="730"/>
      <c r="AG175" s="730"/>
      <c r="AH175" s="730"/>
      <c r="AI175" s="730"/>
      <c r="AJ175" s="730"/>
      <c r="AK175" s="730"/>
      <c r="AL175" s="730"/>
      <c r="AM175" s="730"/>
      <c r="AN175" s="730"/>
      <c r="AO175" s="742"/>
      <c r="AP175" s="742"/>
      <c r="AQ175" s="742"/>
      <c r="AR175" s="742"/>
      <c r="AS175" s="742"/>
      <c r="AT175" s="742"/>
      <c r="AU175" s="742"/>
      <c r="AV175" s="739"/>
      <c r="AW175" s="739"/>
      <c r="AX175" s="739"/>
      <c r="AY175" s="739"/>
      <c r="AZ175" s="739"/>
      <c r="BA175" s="739"/>
      <c r="BB175" s="739"/>
      <c r="BC175" s="730"/>
      <c r="BD175" s="730"/>
      <c r="BE175" s="730"/>
      <c r="BF175" s="730"/>
      <c r="BG175" s="730"/>
      <c r="BH175" s="730"/>
      <c r="BI175" s="730"/>
      <c r="BJ175" s="248"/>
      <c r="BK175" s="52"/>
      <c r="BL175" s="52"/>
      <c r="BM175" s="52"/>
    </row>
    <row r="176" spans="1:65" ht="31.2" x14ac:dyDescent="0.3">
      <c r="A176" s="156" t="str">
        <f>'PRESUPUESTO OFICIAL (Entidad)'!B182</f>
        <v>C10,2</v>
      </c>
      <c r="B176" s="111" t="str">
        <f>'PRESUPUESTO OFICIAL (Entidad)'!C182</f>
        <v>Suministro e instalación de Luceta en lamina C. R. cal. 20 y tubo cuadrado de 1" cal. 20. Incluye anticorrosivo y pintura.</v>
      </c>
      <c r="C176" s="158" t="str">
        <f>'PRESUPUESTO OFICIAL (Entidad)'!D182</f>
        <v>M2</v>
      </c>
      <c r="D176" s="158">
        <f>'PRESUPUESTO OFICIAL (Entidad)'!E182</f>
        <v>0.6</v>
      </c>
      <c r="E176" s="730"/>
      <c r="F176" s="730"/>
      <c r="G176" s="730"/>
      <c r="H176" s="730"/>
      <c r="I176" s="730"/>
      <c r="J176" s="730"/>
      <c r="K176" s="730"/>
      <c r="L176" s="730"/>
      <c r="M176" s="730"/>
      <c r="N176" s="730"/>
      <c r="O176" s="730"/>
      <c r="P176" s="730"/>
      <c r="Q176" s="730"/>
      <c r="R176" s="730"/>
      <c r="S176" s="730"/>
      <c r="T176" s="730"/>
      <c r="U176" s="730"/>
      <c r="V176" s="730"/>
      <c r="W176" s="730"/>
      <c r="X176" s="730"/>
      <c r="Y176" s="730"/>
      <c r="Z176" s="730"/>
      <c r="AA176" s="730"/>
      <c r="AB176" s="730"/>
      <c r="AC176" s="730"/>
      <c r="AD176" s="730"/>
      <c r="AE176" s="730"/>
      <c r="AF176" s="730"/>
      <c r="AG176" s="730"/>
      <c r="AH176" s="730"/>
      <c r="AI176" s="730"/>
      <c r="AJ176" s="730"/>
      <c r="AK176" s="730"/>
      <c r="AL176" s="730"/>
      <c r="AM176" s="730"/>
      <c r="AN176" s="730"/>
      <c r="AO176" s="730"/>
      <c r="AP176" s="730"/>
      <c r="AQ176" s="730"/>
      <c r="AR176" s="730"/>
      <c r="AS176" s="730"/>
      <c r="AT176" s="730"/>
      <c r="AU176" s="730"/>
      <c r="AV176" s="739"/>
      <c r="AW176" s="739"/>
      <c r="AX176" s="739"/>
      <c r="AY176" s="739"/>
      <c r="AZ176" s="739"/>
      <c r="BA176" s="739"/>
      <c r="BB176" s="739"/>
      <c r="BC176" s="730"/>
      <c r="BD176" s="730"/>
      <c r="BE176" s="730"/>
      <c r="BF176" s="730"/>
      <c r="BG176" s="730"/>
      <c r="BH176" s="730"/>
      <c r="BI176" s="730"/>
      <c r="BJ176" s="374"/>
      <c r="BK176" s="52"/>
      <c r="BL176" s="52"/>
      <c r="BM176" s="52"/>
    </row>
    <row r="177" spans="1:65" ht="31.2" x14ac:dyDescent="0.3">
      <c r="A177" s="156" t="str">
        <f>'PRESUPUESTO OFICIAL (Entidad)'!B183</f>
        <v>C10,3</v>
      </c>
      <c r="B177" s="111" t="str">
        <f>'PRESUPUESTO OFICIAL (Entidad)'!C183</f>
        <v>Suministro e instalación de Marco y puerta metálicos lamina C. R. cal. 20, de 1,00x2.00 m. Incluye anticorrosivo y pintura.</v>
      </c>
      <c r="C177" s="158" t="str">
        <f>'PRESUPUESTO OFICIAL (Entidad)'!D183</f>
        <v>UND</v>
      </c>
      <c r="D177" s="158">
        <f>'PRESUPUESTO OFICIAL (Entidad)'!E183</f>
        <v>2</v>
      </c>
      <c r="E177" s="730"/>
      <c r="F177" s="730"/>
      <c r="G177" s="730"/>
      <c r="H177" s="730"/>
      <c r="I177" s="730"/>
      <c r="J177" s="730"/>
      <c r="K177" s="730"/>
      <c r="L177" s="730"/>
      <c r="M177" s="730"/>
      <c r="N177" s="730"/>
      <c r="O177" s="730"/>
      <c r="P177" s="730"/>
      <c r="Q177" s="730"/>
      <c r="R177" s="730"/>
      <c r="S177" s="730"/>
      <c r="T177" s="730"/>
      <c r="U177" s="730"/>
      <c r="V177" s="730"/>
      <c r="W177" s="730"/>
      <c r="X177" s="730"/>
      <c r="Y177" s="730"/>
      <c r="Z177" s="730"/>
      <c r="AA177" s="730"/>
      <c r="AB177" s="730"/>
      <c r="AC177" s="730"/>
      <c r="AD177" s="730"/>
      <c r="AE177" s="730"/>
      <c r="AF177" s="730"/>
      <c r="AG177" s="730"/>
      <c r="AH177" s="730"/>
      <c r="AI177" s="730"/>
      <c r="AJ177" s="730"/>
      <c r="AK177" s="730"/>
      <c r="AL177" s="730"/>
      <c r="AM177" s="730"/>
      <c r="AN177" s="730"/>
      <c r="AO177" s="730"/>
      <c r="AP177" s="730"/>
      <c r="AQ177" s="730"/>
      <c r="AR177" s="730"/>
      <c r="AS177" s="730"/>
      <c r="AT177" s="730"/>
      <c r="AU177" s="730"/>
      <c r="AV177" s="739"/>
      <c r="AW177" s="739"/>
      <c r="AX177" s="739"/>
      <c r="AY177" s="739"/>
      <c r="AZ177" s="739"/>
      <c r="BA177" s="739"/>
      <c r="BB177" s="739"/>
      <c r="BC177" s="730"/>
      <c r="BD177" s="730"/>
      <c r="BE177" s="730"/>
      <c r="BF177" s="730"/>
      <c r="BG177" s="730"/>
      <c r="BH177" s="730"/>
      <c r="BI177" s="730"/>
      <c r="BJ177" s="248"/>
      <c r="BK177" s="52"/>
      <c r="BL177" s="52"/>
      <c r="BM177" s="52"/>
    </row>
    <row r="178" spans="1:65" ht="31.2" x14ac:dyDescent="0.3">
      <c r="A178" s="156" t="str">
        <f>'PRESUPUESTO OFICIAL (Entidad)'!B184</f>
        <v>C10,4</v>
      </c>
      <c r="B178" s="111" t="str">
        <f>'PRESUPUESTO OFICIAL (Entidad)'!C184</f>
        <v>Suministro e instalación de Canal en lámina Galvanizada C. 20. Incluye refuerzos en angulo 1" x 1/8"+ pintura.</v>
      </c>
      <c r="C178" s="158" t="str">
        <f>'PRESUPUESTO OFICIAL (Entidad)'!D184</f>
        <v>ML</v>
      </c>
      <c r="D178" s="158">
        <f>'PRESUPUESTO OFICIAL (Entidad)'!E184</f>
        <v>32</v>
      </c>
      <c r="E178" s="730"/>
      <c r="F178" s="730"/>
      <c r="G178" s="730"/>
      <c r="H178" s="730"/>
      <c r="I178" s="730"/>
      <c r="J178" s="730"/>
      <c r="K178" s="730"/>
      <c r="L178" s="730"/>
      <c r="M178" s="730"/>
      <c r="N178" s="730"/>
      <c r="O178" s="730"/>
      <c r="P178" s="730"/>
      <c r="Q178" s="730"/>
      <c r="R178" s="730"/>
      <c r="S178" s="730"/>
      <c r="T178" s="730"/>
      <c r="U178" s="730"/>
      <c r="V178" s="730"/>
      <c r="W178" s="730"/>
      <c r="X178" s="730"/>
      <c r="Y178" s="730"/>
      <c r="Z178" s="730"/>
      <c r="AA178" s="730"/>
      <c r="AB178" s="730"/>
      <c r="AC178" s="730"/>
      <c r="AD178" s="730"/>
      <c r="AE178" s="730"/>
      <c r="AF178" s="730"/>
      <c r="AG178" s="730"/>
      <c r="AH178" s="730"/>
      <c r="AI178" s="730"/>
      <c r="AJ178" s="730"/>
      <c r="AK178" s="730"/>
      <c r="AL178" s="730"/>
      <c r="AM178" s="730"/>
      <c r="AN178" s="730"/>
      <c r="AO178" s="730"/>
      <c r="AP178" s="730"/>
      <c r="AQ178" s="730"/>
      <c r="AR178" s="730"/>
      <c r="AS178" s="730"/>
      <c r="AT178" s="730"/>
      <c r="AU178" s="730"/>
      <c r="AV178" s="739"/>
      <c r="AW178" s="739"/>
      <c r="AX178" s="739"/>
      <c r="AY178" s="739"/>
      <c r="AZ178" s="739"/>
      <c r="BA178" s="739"/>
      <c r="BB178" s="739"/>
      <c r="BC178" s="730"/>
      <c r="BD178" s="730"/>
      <c r="BE178" s="730"/>
      <c r="BF178" s="730"/>
      <c r="BG178" s="730"/>
      <c r="BH178" s="730"/>
      <c r="BI178" s="730"/>
      <c r="BJ178" s="248"/>
      <c r="BK178" s="52"/>
      <c r="BL178" s="52"/>
      <c r="BM178" s="52"/>
    </row>
    <row r="179" spans="1:65" s="697" customFormat="1" x14ac:dyDescent="0.3">
      <c r="A179" s="667" t="str">
        <f>'PRESUPUESTO OFICIAL (Entidad)'!B185</f>
        <v>C11</v>
      </c>
      <c r="B179" s="700" t="str">
        <f>'PRESUPUESTO OFICIAL (Entidad)'!C185</f>
        <v>PINTURA GENERAL</v>
      </c>
      <c r="C179" s="701"/>
      <c r="D179" s="701"/>
      <c r="E179" s="734"/>
      <c r="F179" s="734"/>
      <c r="G179" s="734"/>
      <c r="H179" s="734"/>
      <c r="I179" s="734"/>
      <c r="J179" s="734"/>
      <c r="K179" s="734"/>
      <c r="L179" s="734"/>
      <c r="M179" s="734"/>
      <c r="N179" s="734"/>
      <c r="O179" s="734"/>
      <c r="P179" s="734"/>
      <c r="Q179" s="734"/>
      <c r="R179" s="734"/>
      <c r="S179" s="734"/>
      <c r="T179" s="734"/>
      <c r="U179" s="734"/>
      <c r="V179" s="734"/>
      <c r="W179" s="734"/>
      <c r="X179" s="734"/>
      <c r="Y179" s="734"/>
      <c r="Z179" s="734"/>
      <c r="AA179" s="734"/>
      <c r="AB179" s="734"/>
      <c r="AC179" s="734"/>
      <c r="AD179" s="734"/>
      <c r="AE179" s="734"/>
      <c r="AF179" s="734"/>
      <c r="AG179" s="734"/>
      <c r="AH179" s="734"/>
      <c r="AI179" s="734"/>
      <c r="AJ179" s="734"/>
      <c r="AK179" s="734"/>
      <c r="AL179" s="734"/>
      <c r="AM179" s="734"/>
      <c r="AN179" s="734"/>
      <c r="AO179" s="734"/>
      <c r="AP179" s="734"/>
      <c r="AQ179" s="734"/>
      <c r="AR179" s="734"/>
      <c r="AS179" s="734"/>
      <c r="AT179" s="734"/>
      <c r="AU179" s="734"/>
      <c r="AV179" s="734"/>
      <c r="AW179" s="734"/>
      <c r="AX179" s="734"/>
      <c r="AY179" s="734"/>
      <c r="AZ179" s="734"/>
      <c r="BA179" s="734"/>
      <c r="BB179" s="734"/>
      <c r="BC179" s="734"/>
      <c r="BD179" s="734"/>
      <c r="BE179" s="734"/>
      <c r="BF179" s="734"/>
      <c r="BG179" s="734"/>
      <c r="BH179" s="734"/>
      <c r="BI179" s="734"/>
      <c r="BJ179" s="678"/>
      <c r="BK179" s="696"/>
      <c r="BL179" s="696"/>
      <c r="BM179" s="696"/>
    </row>
    <row r="180" spans="1:65" x14ac:dyDescent="0.3">
      <c r="A180" s="156" t="str">
        <f>'PRESUPUESTO OFICIAL (Entidad)'!B186</f>
        <v>C11,1</v>
      </c>
      <c r="B180" s="111" t="str">
        <f>'PRESUPUESTO OFICIAL (Entidad)'!C186</f>
        <v>Suministro y aplicación de Estuco y pintura vinilo tipo1 tres manos sobre muros.</v>
      </c>
      <c r="C180" s="158" t="str">
        <f>'PRESUPUESTO OFICIAL (Entidad)'!D186</f>
        <v>M2</v>
      </c>
      <c r="D180" s="158">
        <f>'PRESUPUESTO OFICIAL (Entidad)'!E186</f>
        <v>165.2</v>
      </c>
      <c r="E180" s="730"/>
      <c r="F180" s="730"/>
      <c r="G180" s="730"/>
      <c r="H180" s="730"/>
      <c r="I180" s="730"/>
      <c r="J180" s="730"/>
      <c r="K180" s="730"/>
      <c r="L180" s="730"/>
      <c r="M180" s="730"/>
      <c r="N180" s="730"/>
      <c r="O180" s="730"/>
      <c r="P180" s="730"/>
      <c r="Q180" s="730"/>
      <c r="R180" s="730"/>
      <c r="S180" s="730"/>
      <c r="T180" s="730"/>
      <c r="U180" s="730"/>
      <c r="V180" s="730"/>
      <c r="W180" s="730"/>
      <c r="X180" s="730"/>
      <c r="Y180" s="730"/>
      <c r="Z180" s="730"/>
      <c r="AA180" s="730"/>
      <c r="AB180" s="730"/>
      <c r="AC180" s="730"/>
      <c r="AD180" s="730"/>
      <c r="AE180" s="730"/>
      <c r="AF180" s="730"/>
      <c r="AG180" s="730"/>
      <c r="AH180" s="730"/>
      <c r="AI180" s="730"/>
      <c r="AJ180" s="730"/>
      <c r="AK180" s="730"/>
      <c r="AL180" s="730"/>
      <c r="AM180" s="730"/>
      <c r="AN180" s="730"/>
      <c r="AO180" s="743"/>
      <c r="AP180" s="743"/>
      <c r="AQ180" s="743"/>
      <c r="AR180" s="743"/>
      <c r="AS180" s="743"/>
      <c r="AT180" s="743"/>
      <c r="AU180" s="743"/>
      <c r="AV180" s="739"/>
      <c r="AW180" s="739"/>
      <c r="AX180" s="739"/>
      <c r="AY180" s="739"/>
      <c r="AZ180" s="739"/>
      <c r="BA180" s="739"/>
      <c r="BB180" s="739"/>
      <c r="BC180" s="730"/>
      <c r="BD180" s="730"/>
      <c r="BE180" s="730"/>
      <c r="BF180" s="730"/>
      <c r="BG180" s="730"/>
      <c r="BH180" s="730"/>
      <c r="BI180" s="730"/>
      <c r="BJ180" s="248"/>
      <c r="BK180" s="52"/>
      <c r="BL180" s="52"/>
      <c r="BM180" s="52"/>
    </row>
    <row r="181" spans="1:65" x14ac:dyDescent="0.3">
      <c r="A181" s="156" t="str">
        <f>'PRESUPUESTO OFICIAL (Entidad)'!B187</f>
        <v>C11,2</v>
      </c>
      <c r="B181" s="111" t="str">
        <f>'PRESUPUESTO OFICIAL (Entidad)'!C187</f>
        <v>Suministro y aplicación de Esgrafiado en Graniplast.</v>
      </c>
      <c r="C181" s="158" t="str">
        <f>'PRESUPUESTO OFICIAL (Entidad)'!D187</f>
        <v>M2</v>
      </c>
      <c r="D181" s="158">
        <f>'PRESUPUESTO OFICIAL (Entidad)'!E187</f>
        <v>120</v>
      </c>
      <c r="E181" s="730"/>
      <c r="F181" s="730"/>
      <c r="G181" s="730"/>
      <c r="H181" s="730"/>
      <c r="I181" s="730"/>
      <c r="J181" s="730"/>
      <c r="K181" s="730"/>
      <c r="L181" s="730"/>
      <c r="M181" s="730"/>
      <c r="N181" s="730"/>
      <c r="O181" s="730"/>
      <c r="P181" s="730"/>
      <c r="Q181" s="730"/>
      <c r="R181" s="730"/>
      <c r="S181" s="730"/>
      <c r="T181" s="730"/>
      <c r="U181" s="730"/>
      <c r="V181" s="730"/>
      <c r="W181" s="730"/>
      <c r="X181" s="730"/>
      <c r="Y181" s="730"/>
      <c r="Z181" s="730"/>
      <c r="AA181" s="730"/>
      <c r="AB181" s="730"/>
      <c r="AC181" s="730"/>
      <c r="AD181" s="730"/>
      <c r="AE181" s="730"/>
      <c r="AF181" s="730"/>
      <c r="AG181" s="730"/>
      <c r="AH181" s="730"/>
      <c r="AI181" s="730"/>
      <c r="AJ181" s="730"/>
      <c r="AK181" s="730"/>
      <c r="AL181" s="730"/>
      <c r="AM181" s="730"/>
      <c r="AN181" s="730"/>
      <c r="AO181" s="739"/>
      <c r="AP181" s="739"/>
      <c r="AQ181" s="739"/>
      <c r="AR181" s="739"/>
      <c r="AS181" s="739"/>
      <c r="AT181" s="739"/>
      <c r="AU181" s="739"/>
      <c r="AV181" s="730"/>
      <c r="AW181" s="730"/>
      <c r="AX181" s="730"/>
      <c r="AY181" s="730"/>
      <c r="AZ181" s="730"/>
      <c r="BA181" s="730"/>
      <c r="BB181" s="730"/>
      <c r="BC181" s="730"/>
      <c r="BD181" s="730"/>
      <c r="BE181" s="730"/>
      <c r="BF181" s="730"/>
      <c r="BG181" s="730"/>
      <c r="BH181" s="730"/>
      <c r="BI181" s="730"/>
      <c r="BJ181" s="374"/>
      <c r="BK181" s="52"/>
      <c r="BL181" s="52"/>
      <c r="BM181" s="52"/>
    </row>
    <row r="182" spans="1:65" s="697" customFormat="1" x14ac:dyDescent="0.3">
      <c r="A182" s="667" t="str">
        <f>'PRESUPUESTO OFICIAL (Entidad)'!B188</f>
        <v>C12</v>
      </c>
      <c r="B182" s="700" t="str">
        <f>'PRESUPUESTO OFICIAL (Entidad)'!C188</f>
        <v>ESTERIORES</v>
      </c>
      <c r="C182" s="701"/>
      <c r="D182" s="701"/>
      <c r="E182" s="734"/>
      <c r="F182" s="734"/>
      <c r="G182" s="734"/>
      <c r="H182" s="734"/>
      <c r="I182" s="734"/>
      <c r="J182" s="734"/>
      <c r="K182" s="734"/>
      <c r="L182" s="734"/>
      <c r="M182" s="734"/>
      <c r="N182" s="734"/>
      <c r="O182" s="734"/>
      <c r="P182" s="734"/>
      <c r="Q182" s="734"/>
      <c r="R182" s="734"/>
      <c r="S182" s="734"/>
      <c r="T182" s="734"/>
      <c r="U182" s="734"/>
      <c r="V182" s="734"/>
      <c r="W182" s="734"/>
      <c r="X182" s="734"/>
      <c r="Y182" s="734"/>
      <c r="Z182" s="734"/>
      <c r="AA182" s="734"/>
      <c r="AB182" s="734"/>
      <c r="AC182" s="734"/>
      <c r="AD182" s="734"/>
      <c r="AE182" s="734"/>
      <c r="AF182" s="734"/>
      <c r="AG182" s="734"/>
      <c r="AH182" s="734"/>
      <c r="AI182" s="734"/>
      <c r="AJ182" s="734"/>
      <c r="AK182" s="734"/>
      <c r="AL182" s="734"/>
      <c r="AM182" s="734"/>
      <c r="AN182" s="734"/>
      <c r="AO182" s="734"/>
      <c r="AP182" s="734"/>
      <c r="AQ182" s="734"/>
      <c r="AR182" s="734"/>
      <c r="AS182" s="734"/>
      <c r="AT182" s="734"/>
      <c r="AU182" s="734"/>
      <c r="AV182" s="734"/>
      <c r="AW182" s="734"/>
      <c r="AX182" s="734"/>
      <c r="AY182" s="734"/>
      <c r="AZ182" s="734"/>
      <c r="BA182" s="734"/>
      <c r="BB182" s="734"/>
      <c r="BC182" s="734"/>
      <c r="BD182" s="734"/>
      <c r="BE182" s="734"/>
      <c r="BF182" s="734"/>
      <c r="BG182" s="734"/>
      <c r="BH182" s="734"/>
      <c r="BI182" s="734"/>
      <c r="BJ182" s="680"/>
      <c r="BK182" s="696"/>
      <c r="BL182" s="696"/>
      <c r="BM182" s="696"/>
    </row>
    <row r="183" spans="1:65" x14ac:dyDescent="0.3">
      <c r="A183" s="156" t="str">
        <f>'PRESUPUESTO OFICIAL (Entidad)'!B189</f>
        <v>C12,1</v>
      </c>
      <c r="B183" s="111" t="str">
        <f>'PRESUPUESTO OFICIAL (Entidad)'!C189</f>
        <v>Sardinel en concreto 2500 psi, (0,35*0,15m).</v>
      </c>
      <c r="C183" s="158" t="str">
        <f>'PRESUPUESTO OFICIAL (Entidad)'!D189</f>
        <v>ML</v>
      </c>
      <c r="D183" s="158">
        <f>'PRESUPUESTO OFICIAL (Entidad)'!E189</f>
        <v>15.4</v>
      </c>
      <c r="E183" s="730"/>
      <c r="F183" s="730"/>
      <c r="G183" s="730"/>
      <c r="H183" s="730"/>
      <c r="I183" s="730"/>
      <c r="J183" s="730"/>
      <c r="K183" s="730"/>
      <c r="L183" s="730"/>
      <c r="M183" s="730"/>
      <c r="N183" s="730"/>
      <c r="O183" s="730"/>
      <c r="P183" s="730"/>
      <c r="Q183" s="730"/>
      <c r="R183" s="730"/>
      <c r="S183" s="730"/>
      <c r="T183" s="730"/>
      <c r="U183" s="730"/>
      <c r="V183" s="730"/>
      <c r="W183" s="730"/>
      <c r="X183" s="730"/>
      <c r="Y183" s="730"/>
      <c r="Z183" s="730"/>
      <c r="AA183" s="730"/>
      <c r="AB183" s="730"/>
      <c r="AC183" s="730"/>
      <c r="AD183" s="730"/>
      <c r="AE183" s="730"/>
      <c r="AF183" s="730"/>
      <c r="AG183" s="730"/>
      <c r="AH183" s="739"/>
      <c r="AI183" s="739"/>
      <c r="AJ183" s="739"/>
      <c r="AK183" s="739"/>
      <c r="AL183" s="739"/>
      <c r="AM183" s="739"/>
      <c r="AN183" s="739"/>
      <c r="AO183" s="730"/>
      <c r="AP183" s="730"/>
      <c r="AQ183" s="730"/>
      <c r="AR183" s="730"/>
      <c r="AS183" s="730"/>
      <c r="AT183" s="730"/>
      <c r="AU183" s="730"/>
      <c r="AV183" s="730"/>
      <c r="AW183" s="730"/>
      <c r="AX183" s="730"/>
      <c r="AY183" s="730"/>
      <c r="AZ183" s="730"/>
      <c r="BA183" s="730"/>
      <c r="BB183" s="730"/>
      <c r="BC183" s="730"/>
      <c r="BD183" s="730"/>
      <c r="BE183" s="730"/>
      <c r="BF183" s="730"/>
      <c r="BG183" s="730"/>
      <c r="BH183" s="730"/>
      <c r="BI183" s="730"/>
      <c r="BJ183" s="248"/>
      <c r="BK183" s="52"/>
      <c r="BL183" s="52"/>
      <c r="BM183" s="52"/>
    </row>
    <row r="184" spans="1:65" ht="24" customHeight="1" x14ac:dyDescent="0.3">
      <c r="A184" s="156" t="str">
        <f>'PRESUPUESTO OFICIAL (Entidad)'!B190</f>
        <v>C12,2</v>
      </c>
      <c r="B184" s="111" t="str">
        <f>'PRESUPUESTO OFICIAL (Entidad)'!C190</f>
        <v>Placa de piso para exteriores en concreto 2500 P.S.I., barrido y dilatado e=0.10 m.</v>
      </c>
      <c r="C184" s="158" t="str">
        <f>'PRESUPUESTO OFICIAL (Entidad)'!D190</f>
        <v>M2</v>
      </c>
      <c r="D184" s="158">
        <f>'PRESUPUESTO OFICIAL (Entidad)'!E190</f>
        <v>20.78</v>
      </c>
      <c r="E184" s="730"/>
      <c r="F184" s="730"/>
      <c r="G184" s="730"/>
      <c r="H184" s="730"/>
      <c r="I184" s="730"/>
      <c r="J184" s="730"/>
      <c r="K184" s="730"/>
      <c r="L184" s="730"/>
      <c r="M184" s="730"/>
      <c r="N184" s="730"/>
      <c r="O184" s="730"/>
      <c r="P184" s="730"/>
      <c r="Q184" s="730"/>
      <c r="R184" s="730"/>
      <c r="S184" s="730"/>
      <c r="T184" s="730"/>
      <c r="U184" s="730"/>
      <c r="V184" s="730"/>
      <c r="W184" s="730"/>
      <c r="X184" s="730"/>
      <c r="Y184" s="730"/>
      <c r="Z184" s="730"/>
      <c r="AA184" s="730"/>
      <c r="AB184" s="730"/>
      <c r="AC184" s="730"/>
      <c r="AD184" s="730"/>
      <c r="AE184" s="730"/>
      <c r="AF184" s="730"/>
      <c r="AG184" s="730"/>
      <c r="AH184" s="739"/>
      <c r="AI184" s="739"/>
      <c r="AJ184" s="739"/>
      <c r="AK184" s="739"/>
      <c r="AL184" s="739"/>
      <c r="AM184" s="739"/>
      <c r="AN184" s="739"/>
      <c r="AO184" s="730"/>
      <c r="AP184" s="730"/>
      <c r="AQ184" s="730"/>
      <c r="AR184" s="730"/>
      <c r="AS184" s="730"/>
      <c r="AT184" s="730"/>
      <c r="AU184" s="730"/>
      <c r="AV184" s="730"/>
      <c r="AW184" s="730"/>
      <c r="AX184" s="730"/>
      <c r="AY184" s="730"/>
      <c r="AZ184" s="730"/>
      <c r="BA184" s="730"/>
      <c r="BB184" s="730"/>
      <c r="BC184" s="730"/>
      <c r="BD184" s="730"/>
      <c r="BE184" s="730"/>
      <c r="BF184" s="730"/>
      <c r="BG184" s="730"/>
      <c r="BH184" s="730"/>
      <c r="BI184" s="730"/>
      <c r="BJ184" s="373"/>
      <c r="BK184" s="52"/>
      <c r="BL184" s="52"/>
      <c r="BM184" s="52"/>
    </row>
    <row r="185" spans="1:65" x14ac:dyDescent="0.3">
      <c r="A185" s="156" t="str">
        <f>'PRESUPUESTO OFICIAL (Entidad)'!B191</f>
        <v>C12,3</v>
      </c>
      <c r="B185" s="111" t="str">
        <f>'PRESUPUESTO OFICIAL (Entidad)'!C191</f>
        <v>Cuneta a.ll. en concreto de 3.000 PSI, Tipo V, a=0.50 m.</v>
      </c>
      <c r="C185" s="158" t="str">
        <f>'PRESUPUESTO OFICIAL (Entidad)'!D191</f>
        <v>ML</v>
      </c>
      <c r="D185" s="158">
        <f>'PRESUPUESTO OFICIAL (Entidad)'!E191</f>
        <v>15.4</v>
      </c>
      <c r="E185" s="730"/>
      <c r="F185" s="730"/>
      <c r="G185" s="730"/>
      <c r="H185" s="730"/>
      <c r="I185" s="730"/>
      <c r="J185" s="730"/>
      <c r="K185" s="730"/>
      <c r="L185" s="730"/>
      <c r="M185" s="730"/>
      <c r="N185" s="730"/>
      <c r="O185" s="730"/>
      <c r="P185" s="730"/>
      <c r="Q185" s="730"/>
      <c r="R185" s="730"/>
      <c r="S185" s="730"/>
      <c r="T185" s="730"/>
      <c r="U185" s="730"/>
      <c r="V185" s="730"/>
      <c r="W185" s="730"/>
      <c r="X185" s="730"/>
      <c r="Y185" s="730"/>
      <c r="Z185" s="730"/>
      <c r="AA185" s="730"/>
      <c r="AB185" s="730"/>
      <c r="AC185" s="730"/>
      <c r="AD185" s="730"/>
      <c r="AE185" s="730"/>
      <c r="AF185" s="730"/>
      <c r="AG185" s="730"/>
      <c r="AH185" s="739"/>
      <c r="AI185" s="739"/>
      <c r="AJ185" s="739"/>
      <c r="AK185" s="739"/>
      <c r="AL185" s="739"/>
      <c r="AM185" s="739"/>
      <c r="AN185" s="739"/>
      <c r="AO185" s="742"/>
      <c r="AP185" s="742"/>
      <c r="AQ185" s="742"/>
      <c r="AR185" s="742"/>
      <c r="AS185" s="742"/>
      <c r="AT185" s="742"/>
      <c r="AU185" s="742"/>
      <c r="AV185" s="730"/>
      <c r="AW185" s="730"/>
      <c r="AX185" s="730"/>
      <c r="AY185" s="730"/>
      <c r="AZ185" s="730"/>
      <c r="BA185" s="730"/>
      <c r="BB185" s="730"/>
      <c r="BC185" s="730"/>
      <c r="BD185" s="730"/>
      <c r="BE185" s="730"/>
      <c r="BF185" s="730"/>
      <c r="BG185" s="730"/>
      <c r="BH185" s="730"/>
      <c r="BI185" s="730"/>
      <c r="BJ185" s="248"/>
      <c r="BK185" s="52"/>
      <c r="BL185" s="52"/>
      <c r="BM185" s="52"/>
    </row>
    <row r="186" spans="1:65" s="697" customFormat="1" x14ac:dyDescent="0.3">
      <c r="A186" s="667" t="str">
        <f>'PRESUPUESTO OFICIAL (Entidad)'!B192</f>
        <v>C13</v>
      </c>
      <c r="B186" s="700" t="str">
        <f>'PRESUPUESTO OFICIAL (Entidad)'!C192</f>
        <v>LIMPIEZA GENERAL</v>
      </c>
      <c r="C186" s="701"/>
      <c r="D186" s="701"/>
      <c r="E186" s="734"/>
      <c r="F186" s="734"/>
      <c r="G186" s="734"/>
      <c r="H186" s="734"/>
      <c r="I186" s="734"/>
      <c r="J186" s="734"/>
      <c r="K186" s="734"/>
      <c r="L186" s="734"/>
      <c r="M186" s="734"/>
      <c r="N186" s="734"/>
      <c r="O186" s="734"/>
      <c r="P186" s="734"/>
      <c r="Q186" s="734"/>
      <c r="R186" s="734"/>
      <c r="S186" s="734"/>
      <c r="T186" s="734"/>
      <c r="U186" s="734"/>
      <c r="V186" s="734"/>
      <c r="W186" s="734"/>
      <c r="X186" s="734"/>
      <c r="Y186" s="734"/>
      <c r="Z186" s="734"/>
      <c r="AA186" s="734"/>
      <c r="AB186" s="734"/>
      <c r="AC186" s="734"/>
      <c r="AD186" s="734"/>
      <c r="AE186" s="734"/>
      <c r="AF186" s="734"/>
      <c r="AG186" s="734"/>
      <c r="AH186" s="734"/>
      <c r="AI186" s="734"/>
      <c r="AJ186" s="734"/>
      <c r="AK186" s="734"/>
      <c r="AL186" s="734"/>
      <c r="AM186" s="734"/>
      <c r="AN186" s="734"/>
      <c r="AO186" s="744"/>
      <c r="AP186" s="744"/>
      <c r="AQ186" s="744"/>
      <c r="AR186" s="744"/>
      <c r="AS186" s="744"/>
      <c r="AT186" s="744"/>
      <c r="AU186" s="744"/>
      <c r="AV186" s="734"/>
      <c r="AW186" s="734"/>
      <c r="AX186" s="734"/>
      <c r="AY186" s="734"/>
      <c r="AZ186" s="734"/>
      <c r="BA186" s="734"/>
      <c r="BB186" s="734"/>
      <c r="BC186" s="734"/>
      <c r="BD186" s="734"/>
      <c r="BE186" s="734"/>
      <c r="BF186" s="734"/>
      <c r="BG186" s="734"/>
      <c r="BH186" s="734"/>
      <c r="BI186" s="734"/>
      <c r="BJ186" s="680"/>
      <c r="BK186" s="696"/>
      <c r="BL186" s="696"/>
      <c r="BM186" s="696"/>
    </row>
    <row r="187" spans="1:65" x14ac:dyDescent="0.3">
      <c r="A187" s="156" t="str">
        <f>'PRESUPUESTO OFICIAL (Entidad)'!B193</f>
        <v>C13,1</v>
      </c>
      <c r="B187" s="111" t="str">
        <f>'PRESUPUESTO OFICIAL (Entidad)'!C193</f>
        <v>Aseo final de obra.</v>
      </c>
      <c r="C187" s="158" t="str">
        <f>'PRESUPUESTO OFICIAL (Entidad)'!D193</f>
        <v>M2</v>
      </c>
      <c r="D187" s="158">
        <f>'PRESUPUESTO OFICIAL (Entidad)'!E193</f>
        <v>149.76</v>
      </c>
      <c r="E187" s="730"/>
      <c r="F187" s="730"/>
      <c r="G187" s="730"/>
      <c r="H187" s="730"/>
      <c r="I187" s="730"/>
      <c r="J187" s="730"/>
      <c r="K187" s="730"/>
      <c r="L187" s="730"/>
      <c r="M187" s="730"/>
      <c r="N187" s="730"/>
      <c r="O187" s="730"/>
      <c r="P187" s="730"/>
      <c r="Q187" s="730"/>
      <c r="R187" s="730"/>
      <c r="S187" s="730"/>
      <c r="T187" s="730"/>
      <c r="U187" s="730"/>
      <c r="V187" s="730"/>
      <c r="W187" s="730"/>
      <c r="X187" s="730"/>
      <c r="Y187" s="730"/>
      <c r="Z187" s="730"/>
      <c r="AA187" s="730"/>
      <c r="AB187" s="730"/>
      <c r="AC187" s="730"/>
      <c r="AD187" s="730"/>
      <c r="AE187" s="730"/>
      <c r="AF187" s="730"/>
      <c r="AG187" s="730"/>
      <c r="AH187" s="730"/>
      <c r="AI187" s="730"/>
      <c r="AJ187" s="730"/>
      <c r="AK187" s="730"/>
      <c r="AL187" s="730"/>
      <c r="AM187" s="730"/>
      <c r="AN187" s="730"/>
      <c r="AO187" s="742"/>
      <c r="AP187" s="742"/>
      <c r="AQ187" s="742"/>
      <c r="AR187" s="742"/>
      <c r="AS187" s="742"/>
      <c r="AT187" s="742"/>
      <c r="AU187" s="742"/>
      <c r="AV187" s="730"/>
      <c r="AW187" s="730"/>
      <c r="AX187" s="730"/>
      <c r="AY187" s="730"/>
      <c r="AZ187" s="730"/>
      <c r="BA187" s="730"/>
      <c r="BB187" s="730"/>
      <c r="BC187" s="739"/>
      <c r="BD187" s="739"/>
      <c r="BE187" s="739"/>
      <c r="BF187" s="739"/>
      <c r="BG187" s="739"/>
      <c r="BH187" s="739"/>
      <c r="BI187" s="739"/>
      <c r="BJ187" s="248"/>
      <c r="BK187" s="52"/>
      <c r="BL187" s="52"/>
      <c r="BM187" s="52"/>
    </row>
    <row r="188" spans="1:65" ht="29.25" customHeight="1" x14ac:dyDescent="0.3">
      <c r="A188" s="707" t="str">
        <f>'PRESUPUESTO OFICIAL (Entidad)'!B194</f>
        <v>D</v>
      </c>
      <c r="B188" s="686" t="str">
        <f>'PRESUPUESTO OFICIAL (Entidad)'!C194</f>
        <v>CAMBIO DE CUBIERTA Y PINTURAEN LA  INSTITUCIÓN EDUCATIVA NUESTRA SEÑORA DEL CARMEN SEDE ALTO LIBANO</v>
      </c>
      <c r="C188" s="698"/>
      <c r="D188" s="698"/>
      <c r="E188" s="664"/>
      <c r="F188" s="664"/>
      <c r="G188" s="664"/>
      <c r="H188" s="664"/>
      <c r="I188" s="664"/>
      <c r="J188" s="664"/>
      <c r="K188" s="664"/>
      <c r="L188" s="664"/>
      <c r="M188" s="664"/>
      <c r="N188" s="664"/>
      <c r="O188" s="664"/>
      <c r="P188" s="664"/>
      <c r="Q188" s="664"/>
      <c r="R188" s="664"/>
      <c r="S188" s="664"/>
      <c r="T188" s="664"/>
      <c r="U188" s="664"/>
      <c r="V188" s="664"/>
      <c r="W188" s="664"/>
      <c r="X188" s="664"/>
      <c r="Y188" s="664"/>
      <c r="Z188" s="664"/>
      <c r="AA188" s="664"/>
      <c r="AB188" s="664"/>
      <c r="AC188" s="664"/>
      <c r="AD188" s="664"/>
      <c r="AE188" s="664"/>
      <c r="AF188" s="664"/>
      <c r="AG188" s="664"/>
      <c r="AH188" s="664"/>
      <c r="AI188" s="664"/>
      <c r="AJ188" s="664"/>
      <c r="AK188" s="664"/>
      <c r="AL188" s="664"/>
      <c r="AM188" s="664"/>
      <c r="AN188" s="664"/>
      <c r="AO188" s="664"/>
      <c r="AP188" s="664"/>
      <c r="AQ188" s="664"/>
      <c r="AR188" s="664"/>
      <c r="AS188" s="664"/>
      <c r="AT188" s="664"/>
      <c r="AU188" s="664"/>
      <c r="AV188" s="664"/>
      <c r="AW188" s="664"/>
      <c r="AX188" s="664"/>
      <c r="AY188" s="664"/>
      <c r="AZ188" s="664"/>
      <c r="BA188" s="664"/>
      <c r="BB188" s="664"/>
      <c r="BC188" s="664"/>
      <c r="BD188" s="664"/>
      <c r="BE188" s="664"/>
      <c r="BF188" s="664"/>
      <c r="BG188" s="664"/>
      <c r="BH188" s="664"/>
      <c r="BI188" s="664"/>
      <c r="BJ188" s="664"/>
      <c r="BK188" s="664"/>
      <c r="BL188" s="664"/>
      <c r="BM188" s="665"/>
    </row>
    <row r="189" spans="1:65" s="697" customFormat="1" x14ac:dyDescent="0.3">
      <c r="A189" s="667" t="str">
        <f>'PRESUPUESTO OFICIAL (Entidad)'!B195</f>
        <v>D1</v>
      </c>
      <c r="B189" s="700" t="str">
        <f>'PRESUPUESTO OFICIAL (Entidad)'!C195</f>
        <v>DEMOLICIONES Y DESMONTE DE ELEMENTOS</v>
      </c>
      <c r="C189" s="701"/>
      <c r="D189" s="701"/>
      <c r="E189" s="734"/>
      <c r="F189" s="734"/>
      <c r="G189" s="734"/>
      <c r="H189" s="734"/>
      <c r="I189" s="734"/>
      <c r="J189" s="734"/>
      <c r="K189" s="734"/>
      <c r="L189" s="734"/>
      <c r="M189" s="734"/>
      <c r="N189" s="734"/>
      <c r="O189" s="734"/>
      <c r="P189" s="734"/>
      <c r="Q189" s="734"/>
      <c r="R189" s="734"/>
      <c r="S189" s="734"/>
      <c r="T189" s="734"/>
      <c r="U189" s="734"/>
      <c r="V189" s="734"/>
      <c r="W189" s="734"/>
      <c r="X189" s="734"/>
      <c r="Y189" s="734"/>
      <c r="Z189" s="734"/>
      <c r="AA189" s="734"/>
      <c r="AB189" s="734"/>
      <c r="AC189" s="734"/>
      <c r="AD189" s="734"/>
      <c r="AE189" s="734"/>
      <c r="AF189" s="734"/>
      <c r="AG189" s="734"/>
      <c r="AH189" s="734"/>
      <c r="AI189" s="734"/>
      <c r="AJ189" s="734"/>
      <c r="AK189" s="734"/>
      <c r="AL189" s="734"/>
      <c r="AM189" s="734"/>
      <c r="AN189" s="734"/>
      <c r="AO189" s="734"/>
      <c r="AP189" s="734"/>
      <c r="AQ189" s="734"/>
      <c r="AR189" s="734"/>
      <c r="AS189" s="734"/>
      <c r="AT189" s="734"/>
      <c r="AU189" s="734"/>
      <c r="AV189" s="734"/>
      <c r="AW189" s="734"/>
      <c r="AX189" s="734"/>
      <c r="AY189" s="734"/>
      <c r="AZ189" s="734"/>
      <c r="BA189" s="734"/>
      <c r="BB189" s="734"/>
      <c r="BC189" s="734"/>
      <c r="BD189" s="734"/>
      <c r="BE189" s="734"/>
      <c r="BF189" s="734"/>
      <c r="BG189" s="734"/>
      <c r="BH189" s="734"/>
      <c r="BI189" s="734"/>
      <c r="BJ189" s="680"/>
      <c r="BK189" s="696"/>
      <c r="BL189" s="696"/>
      <c r="BM189" s="696"/>
    </row>
    <row r="190" spans="1:65" x14ac:dyDescent="0.3">
      <c r="A190" s="156" t="str">
        <f>'PRESUPUESTO OFICIAL (Entidad)'!B196</f>
        <v>D1,1</v>
      </c>
      <c r="B190" s="111" t="str">
        <f>'PRESUPUESTO OFICIAL (Entidad)'!C196</f>
        <v xml:space="preserve">Desmonte de cubiertas (asbesto cemento) </v>
      </c>
      <c r="C190" s="158" t="str">
        <f>'PRESUPUESTO OFICIAL (Entidad)'!D196</f>
        <v>M2</v>
      </c>
      <c r="D190" s="158">
        <f>'PRESUPUESTO OFICIAL (Entidad)'!E196</f>
        <v>306.31</v>
      </c>
      <c r="E190" s="730"/>
      <c r="F190" s="730"/>
      <c r="G190" s="730"/>
      <c r="H190" s="730"/>
      <c r="I190" s="730"/>
      <c r="J190" s="730"/>
      <c r="K190" s="730"/>
      <c r="L190" s="730"/>
      <c r="M190" s="730"/>
      <c r="N190" s="730"/>
      <c r="O190" s="730"/>
      <c r="P190" s="730"/>
      <c r="Q190" s="730"/>
      <c r="R190" s="730"/>
      <c r="S190" s="730"/>
      <c r="T190" s="730"/>
      <c r="U190" s="730"/>
      <c r="V190" s="730"/>
      <c r="W190" s="730"/>
      <c r="X190" s="730"/>
      <c r="Y190" s="730"/>
      <c r="Z190" s="730"/>
      <c r="AA190" s="730"/>
      <c r="AB190" s="730"/>
      <c r="AC190" s="730"/>
      <c r="AD190" s="730"/>
      <c r="AE190" s="730"/>
      <c r="AF190" s="730"/>
      <c r="AG190" s="730"/>
      <c r="AH190" s="730"/>
      <c r="AI190" s="730"/>
      <c r="AJ190" s="730"/>
      <c r="AK190" s="730"/>
      <c r="AL190" s="730"/>
      <c r="AM190" s="730"/>
      <c r="AN190" s="730"/>
      <c r="AO190" s="730"/>
      <c r="AP190" s="730"/>
      <c r="AQ190" s="730"/>
      <c r="AR190" s="730"/>
      <c r="AS190" s="730"/>
      <c r="AT190" s="730"/>
      <c r="AU190" s="730"/>
      <c r="AV190" s="730"/>
      <c r="AW190" s="730"/>
      <c r="AX190" s="730"/>
      <c r="AY190" s="730"/>
      <c r="AZ190" s="730"/>
      <c r="BA190" s="730"/>
      <c r="BB190" s="730"/>
      <c r="BC190" s="730"/>
      <c r="BD190" s="730"/>
      <c r="BE190" s="730"/>
      <c r="BF190" s="730"/>
      <c r="BG190" s="730"/>
      <c r="BH190" s="730"/>
      <c r="BI190" s="730"/>
      <c r="BJ190" s="713"/>
      <c r="BK190" s="52"/>
      <c r="BL190" s="52"/>
      <c r="BM190" s="52"/>
    </row>
    <row r="191" spans="1:65" s="697" customFormat="1" x14ac:dyDescent="0.3">
      <c r="A191" s="667" t="str">
        <f>'PRESUPUESTO OFICIAL (Entidad)'!B197</f>
        <v>D2</v>
      </c>
      <c r="B191" s="700" t="str">
        <f>'PRESUPUESTO OFICIAL (Entidad)'!C197</f>
        <v xml:space="preserve">CUBIERTA Y  ESTRUCTURA DE CUBIERTA </v>
      </c>
      <c r="C191" s="701"/>
      <c r="D191" s="701"/>
      <c r="E191" s="734"/>
      <c r="F191" s="734"/>
      <c r="G191" s="734"/>
      <c r="H191" s="734"/>
      <c r="I191" s="734"/>
      <c r="J191" s="734"/>
      <c r="K191" s="734"/>
      <c r="L191" s="734"/>
      <c r="M191" s="734"/>
      <c r="N191" s="734"/>
      <c r="O191" s="734"/>
      <c r="P191" s="734"/>
      <c r="Q191" s="734"/>
      <c r="R191" s="734"/>
      <c r="S191" s="734"/>
      <c r="T191" s="734"/>
      <c r="U191" s="734"/>
      <c r="V191" s="734"/>
      <c r="W191" s="734"/>
      <c r="X191" s="734"/>
      <c r="Y191" s="734"/>
      <c r="Z191" s="734"/>
      <c r="AA191" s="734"/>
      <c r="AB191" s="734"/>
      <c r="AC191" s="734"/>
      <c r="AD191" s="734"/>
      <c r="AE191" s="734"/>
      <c r="AF191" s="734"/>
      <c r="AG191" s="734"/>
      <c r="AH191" s="734"/>
      <c r="AI191" s="734"/>
      <c r="AJ191" s="734"/>
      <c r="AK191" s="734"/>
      <c r="AL191" s="734"/>
      <c r="AM191" s="734"/>
      <c r="AN191" s="734"/>
      <c r="AO191" s="734"/>
      <c r="AP191" s="734"/>
      <c r="AQ191" s="734"/>
      <c r="AR191" s="734"/>
      <c r="AS191" s="734"/>
      <c r="AT191" s="734"/>
      <c r="AU191" s="734"/>
      <c r="AV191" s="734"/>
      <c r="AW191" s="734"/>
      <c r="AX191" s="734"/>
      <c r="AY191" s="734"/>
      <c r="AZ191" s="734"/>
      <c r="BA191" s="734"/>
      <c r="BB191" s="734"/>
      <c r="BC191" s="734"/>
      <c r="BD191" s="734"/>
      <c r="BE191" s="734"/>
      <c r="BF191" s="734"/>
      <c r="BG191" s="734"/>
      <c r="BH191" s="734"/>
      <c r="BI191" s="734"/>
      <c r="BJ191" s="678"/>
      <c r="BK191" s="696"/>
      <c r="BL191" s="696"/>
      <c r="BM191" s="696"/>
    </row>
    <row r="192" spans="1:65" ht="31.2" x14ac:dyDescent="0.3">
      <c r="A192" s="156" t="str">
        <f>'PRESUPUESTO OFICIAL (Entidad)'!B198</f>
        <v>D2,1</v>
      </c>
      <c r="B192" s="111" t="str">
        <f>'PRESUPUESTO OFICIAL (Entidad)'!C198</f>
        <v xml:space="preserve">Suministro e instalación de cubierta en teja master 1000 Arquitectónica color, CAL 28. Incluye tornillos autoperforantes. </v>
      </c>
      <c r="C192" s="158" t="str">
        <f>'PRESUPUESTO OFICIAL (Entidad)'!D198</f>
        <v>M2</v>
      </c>
      <c r="D192" s="158">
        <f>'PRESUPUESTO OFICIAL (Entidad)'!E198</f>
        <v>309.37</v>
      </c>
      <c r="E192" s="730"/>
      <c r="F192" s="730"/>
      <c r="G192" s="730"/>
      <c r="H192" s="730"/>
      <c r="I192" s="730"/>
      <c r="J192" s="730"/>
      <c r="K192" s="730"/>
      <c r="L192" s="730"/>
      <c r="M192" s="730"/>
      <c r="N192" s="730"/>
      <c r="O192" s="730"/>
      <c r="P192" s="730"/>
      <c r="Q192" s="730"/>
      <c r="R192" s="730"/>
      <c r="S192" s="730"/>
      <c r="T192" s="730"/>
      <c r="U192" s="730"/>
      <c r="V192" s="730"/>
      <c r="W192" s="730"/>
      <c r="X192" s="730"/>
      <c r="Y192" s="730"/>
      <c r="Z192" s="730"/>
      <c r="AA192" s="730"/>
      <c r="AB192" s="730"/>
      <c r="AC192" s="730"/>
      <c r="AD192" s="730"/>
      <c r="AE192" s="730"/>
      <c r="AF192" s="730"/>
      <c r="AG192" s="730"/>
      <c r="AH192" s="730"/>
      <c r="AI192" s="730"/>
      <c r="AJ192" s="730"/>
      <c r="AK192" s="730"/>
      <c r="AL192" s="730"/>
      <c r="AM192" s="730"/>
      <c r="AN192" s="730"/>
      <c r="AO192" s="742"/>
      <c r="AP192" s="742"/>
      <c r="AQ192" s="742"/>
      <c r="AR192" s="742"/>
      <c r="AS192" s="742"/>
      <c r="AT192" s="742"/>
      <c r="AU192" s="742"/>
      <c r="AV192" s="730"/>
      <c r="AW192" s="730"/>
      <c r="AX192" s="730"/>
      <c r="AY192" s="730"/>
      <c r="AZ192" s="730"/>
      <c r="BA192" s="730"/>
      <c r="BB192" s="730"/>
      <c r="BC192" s="730"/>
      <c r="BD192" s="730"/>
      <c r="BE192" s="730"/>
      <c r="BF192" s="730"/>
      <c r="BG192" s="730"/>
      <c r="BH192" s="730"/>
      <c r="BI192" s="730"/>
      <c r="BJ192" s="713"/>
      <c r="BK192" s="52"/>
      <c r="BL192" s="52"/>
      <c r="BM192" s="52"/>
    </row>
    <row r="193" spans="1:65" ht="31.2" x14ac:dyDescent="0.3">
      <c r="A193" s="156" t="str">
        <f>'PRESUPUESTO OFICIAL (Entidad)'!B199</f>
        <v>D2,2</v>
      </c>
      <c r="B193" s="111" t="str">
        <f>'PRESUPUESTO OFICIAL (Entidad)'!C199</f>
        <v>Suministro e instalación de Caballete en teja Master 1000.  Incluye tornillos autoperforantes.</v>
      </c>
      <c r="C193" s="158" t="str">
        <f>'PRESUPUESTO OFICIAL (Entidad)'!D199</f>
        <v>ML</v>
      </c>
      <c r="D193" s="158">
        <f>'PRESUPUESTO OFICIAL (Entidad)'!E199</f>
        <v>33.44</v>
      </c>
      <c r="E193" s="730"/>
      <c r="F193" s="730"/>
      <c r="G193" s="730"/>
      <c r="H193" s="730"/>
      <c r="I193" s="730"/>
      <c r="J193" s="730"/>
      <c r="K193" s="730"/>
      <c r="L193" s="730"/>
      <c r="M193" s="730"/>
      <c r="N193" s="730"/>
      <c r="O193" s="730"/>
      <c r="P193" s="730"/>
      <c r="Q193" s="730"/>
      <c r="R193" s="730"/>
      <c r="S193" s="730"/>
      <c r="T193" s="730"/>
      <c r="U193" s="730"/>
      <c r="V193" s="730"/>
      <c r="W193" s="730"/>
      <c r="X193" s="730"/>
      <c r="Y193" s="730"/>
      <c r="Z193" s="730"/>
      <c r="AA193" s="730"/>
      <c r="AB193" s="730"/>
      <c r="AC193" s="730"/>
      <c r="AD193" s="730"/>
      <c r="AE193" s="730"/>
      <c r="AF193" s="730"/>
      <c r="AG193" s="730"/>
      <c r="AH193" s="730"/>
      <c r="AI193" s="730"/>
      <c r="AJ193" s="730"/>
      <c r="AK193" s="730"/>
      <c r="AL193" s="730"/>
      <c r="AM193" s="730"/>
      <c r="AN193" s="730"/>
      <c r="AO193" s="730"/>
      <c r="AP193" s="730"/>
      <c r="AQ193" s="730"/>
      <c r="AR193" s="730"/>
      <c r="AS193" s="730"/>
      <c r="AT193" s="730"/>
      <c r="AU193" s="730"/>
      <c r="AV193" s="730"/>
      <c r="AW193" s="730"/>
      <c r="AX193" s="730"/>
      <c r="AY193" s="730"/>
      <c r="AZ193" s="730"/>
      <c r="BA193" s="730"/>
      <c r="BB193" s="730"/>
      <c r="BC193" s="730"/>
      <c r="BD193" s="730"/>
      <c r="BE193" s="730"/>
      <c r="BF193" s="730"/>
      <c r="BG193" s="730"/>
      <c r="BH193" s="730"/>
      <c r="BI193" s="730"/>
      <c r="BJ193" s="711"/>
      <c r="BK193" s="52"/>
      <c r="BL193" s="52"/>
      <c r="BM193" s="52"/>
    </row>
    <row r="194" spans="1:65" s="697" customFormat="1" x14ac:dyDescent="0.3">
      <c r="A194" s="667" t="str">
        <f>'PRESUPUESTO OFICIAL (Entidad)'!B200</f>
        <v>D3</v>
      </c>
      <c r="B194" s="700" t="str">
        <f>'PRESUPUESTO OFICIAL (Entidad)'!C200</f>
        <v>PINTURA GENERAL Y ACABADOS</v>
      </c>
      <c r="C194" s="701"/>
      <c r="D194" s="701"/>
      <c r="E194" s="734"/>
      <c r="F194" s="734"/>
      <c r="G194" s="734"/>
      <c r="H194" s="734"/>
      <c r="I194" s="734"/>
      <c r="J194" s="734"/>
      <c r="K194" s="734"/>
      <c r="L194" s="734"/>
      <c r="M194" s="734"/>
      <c r="N194" s="734"/>
      <c r="O194" s="734"/>
      <c r="P194" s="734"/>
      <c r="Q194" s="734"/>
      <c r="R194" s="734"/>
      <c r="S194" s="734"/>
      <c r="T194" s="734"/>
      <c r="U194" s="734"/>
      <c r="V194" s="734"/>
      <c r="W194" s="734"/>
      <c r="X194" s="734"/>
      <c r="Y194" s="734"/>
      <c r="Z194" s="734"/>
      <c r="AA194" s="734"/>
      <c r="AB194" s="734"/>
      <c r="AC194" s="734"/>
      <c r="AD194" s="734"/>
      <c r="AE194" s="734"/>
      <c r="AF194" s="734"/>
      <c r="AG194" s="734"/>
      <c r="AH194" s="734"/>
      <c r="AI194" s="734"/>
      <c r="AJ194" s="734"/>
      <c r="AK194" s="734"/>
      <c r="AL194" s="734"/>
      <c r="AM194" s="734"/>
      <c r="AN194" s="734"/>
      <c r="AO194" s="734"/>
      <c r="AP194" s="734"/>
      <c r="AQ194" s="734"/>
      <c r="AR194" s="734"/>
      <c r="AS194" s="734"/>
      <c r="AT194" s="734"/>
      <c r="AU194" s="734"/>
      <c r="AV194" s="734"/>
      <c r="AW194" s="734"/>
      <c r="AX194" s="734"/>
      <c r="AY194" s="734"/>
      <c r="AZ194" s="734"/>
      <c r="BA194" s="734"/>
      <c r="BB194" s="734"/>
      <c r="BC194" s="734"/>
      <c r="BD194" s="734"/>
      <c r="BE194" s="734"/>
      <c r="BF194" s="734"/>
      <c r="BG194" s="734"/>
      <c r="BH194" s="734"/>
      <c r="BI194" s="734"/>
      <c r="BJ194" s="680"/>
      <c r="BK194" s="696"/>
      <c r="BL194" s="696"/>
      <c r="BM194" s="696"/>
    </row>
    <row r="195" spans="1:65" ht="31.2" x14ac:dyDescent="0.3">
      <c r="A195" s="156" t="str">
        <f>'PRESUPUESTO OFICIAL (Entidad)'!B201</f>
        <v>D3,1</v>
      </c>
      <c r="B195" s="111" t="str">
        <f>'PRESUPUESTO OFICIAL (Entidad)'!C201</f>
        <v>Suministro y aplicación de pintura de Correa en perfil metálica .04x.08 mts Cal. 18. Existente (Incluye lijada de perfil)</v>
      </c>
      <c r="C195" s="158" t="str">
        <f>'PRESUPUESTO OFICIAL (Entidad)'!D201</f>
        <v>ML</v>
      </c>
      <c r="D195" s="158">
        <f>'PRESUPUESTO OFICIAL (Entidad)'!E201</f>
        <v>257.04000000000002</v>
      </c>
      <c r="E195" s="730"/>
      <c r="F195" s="730"/>
      <c r="G195" s="730"/>
      <c r="H195" s="730"/>
      <c r="I195" s="730"/>
      <c r="J195" s="730"/>
      <c r="K195" s="730"/>
      <c r="L195" s="730"/>
      <c r="M195" s="730"/>
      <c r="N195" s="730"/>
      <c r="O195" s="730"/>
      <c r="P195" s="730"/>
      <c r="Q195" s="730"/>
      <c r="R195" s="730"/>
      <c r="S195" s="730"/>
      <c r="T195" s="730"/>
      <c r="U195" s="730"/>
      <c r="V195" s="730"/>
      <c r="W195" s="730"/>
      <c r="X195" s="730"/>
      <c r="Y195" s="730"/>
      <c r="Z195" s="730"/>
      <c r="AA195" s="730"/>
      <c r="AB195" s="730"/>
      <c r="AC195" s="730"/>
      <c r="AD195" s="730"/>
      <c r="AE195" s="730"/>
      <c r="AF195" s="730"/>
      <c r="AG195" s="730"/>
      <c r="AH195" s="730"/>
      <c r="AI195" s="730"/>
      <c r="AJ195" s="730"/>
      <c r="AK195" s="730"/>
      <c r="AL195" s="730"/>
      <c r="AM195" s="730"/>
      <c r="AN195" s="730"/>
      <c r="AO195" s="730"/>
      <c r="AP195" s="730"/>
      <c r="AQ195" s="730"/>
      <c r="AR195" s="730"/>
      <c r="AS195" s="730"/>
      <c r="AT195" s="730"/>
      <c r="AU195" s="730"/>
      <c r="AV195" s="730"/>
      <c r="AW195" s="730"/>
      <c r="AX195" s="730"/>
      <c r="AY195" s="730"/>
      <c r="AZ195" s="730"/>
      <c r="BA195" s="730"/>
      <c r="BB195" s="730"/>
      <c r="BC195" s="730"/>
      <c r="BD195" s="730"/>
      <c r="BE195" s="730"/>
      <c r="BF195" s="730"/>
      <c r="BG195" s="730"/>
      <c r="BH195" s="730"/>
      <c r="BI195" s="730"/>
      <c r="BJ195" s="248"/>
      <c r="BK195" s="712"/>
      <c r="BL195" s="712"/>
      <c r="BM195" s="52"/>
    </row>
    <row r="196" spans="1:65" x14ac:dyDescent="0.3">
      <c r="A196" s="156" t="str">
        <f>'PRESUPUESTO OFICIAL (Entidad)'!B202</f>
        <v>D3,2</v>
      </c>
      <c r="B196" s="111" t="str">
        <f>'PRESUPUESTO OFICIAL (Entidad)'!C202</f>
        <v>Suministro y aplicación de pintura de cerchal metálica existente. (Incluye lijada)</v>
      </c>
      <c r="C196" s="158" t="str">
        <f>'PRESUPUESTO OFICIAL (Entidad)'!D202</f>
        <v>ML</v>
      </c>
      <c r="D196" s="158">
        <f>'PRESUPUESTO OFICIAL (Entidad)'!E202</f>
        <v>25.53</v>
      </c>
      <c r="E196" s="730"/>
      <c r="F196" s="730"/>
      <c r="G196" s="730"/>
      <c r="H196" s="730"/>
      <c r="I196" s="730"/>
      <c r="J196" s="730"/>
      <c r="K196" s="730"/>
      <c r="L196" s="730"/>
      <c r="M196" s="730"/>
      <c r="N196" s="730"/>
      <c r="O196" s="730"/>
      <c r="P196" s="730"/>
      <c r="Q196" s="730"/>
      <c r="R196" s="730"/>
      <c r="S196" s="730"/>
      <c r="T196" s="730"/>
      <c r="U196" s="730"/>
      <c r="V196" s="730"/>
      <c r="W196" s="730"/>
      <c r="X196" s="730"/>
      <c r="Y196" s="730"/>
      <c r="Z196" s="730"/>
      <c r="AA196" s="730"/>
      <c r="AB196" s="730"/>
      <c r="AC196" s="730"/>
      <c r="AD196" s="730"/>
      <c r="AE196" s="730"/>
      <c r="AF196" s="730"/>
      <c r="AG196" s="730"/>
      <c r="AH196" s="730"/>
      <c r="AI196" s="730"/>
      <c r="AJ196" s="730"/>
      <c r="AK196" s="730"/>
      <c r="AL196" s="730"/>
      <c r="AM196" s="730"/>
      <c r="AN196" s="730"/>
      <c r="AO196" s="730"/>
      <c r="AP196" s="730"/>
      <c r="AQ196" s="730"/>
      <c r="AR196" s="730"/>
      <c r="AS196" s="730"/>
      <c r="AT196" s="730"/>
      <c r="AU196" s="730"/>
      <c r="AV196" s="730"/>
      <c r="AW196" s="730"/>
      <c r="AX196" s="730"/>
      <c r="AY196" s="730"/>
      <c r="AZ196" s="730"/>
      <c r="BA196" s="730"/>
      <c r="BB196" s="730"/>
      <c r="BC196" s="730"/>
      <c r="BD196" s="730"/>
      <c r="BE196" s="730"/>
      <c r="BF196" s="730"/>
      <c r="BG196" s="730"/>
      <c r="BH196" s="730"/>
      <c r="BI196" s="730"/>
      <c r="BJ196" s="373"/>
      <c r="BK196" s="712"/>
      <c r="BL196" s="712"/>
      <c r="BM196" s="52"/>
    </row>
    <row r="197" spans="1:65" x14ac:dyDescent="0.3">
      <c r="A197" s="156" t="str">
        <f>'PRESUPUESTO OFICIAL (Entidad)'!B203</f>
        <v>D3,3</v>
      </c>
      <c r="B197" s="111" t="str">
        <f>'PRESUPUESTO OFICIAL (Entidad)'!C203</f>
        <v>Suministro y aplicación de pintura vinilo tipo1 tres manos sobre muros.</v>
      </c>
      <c r="C197" s="158" t="str">
        <f>'PRESUPUESTO OFICIAL (Entidad)'!D203</f>
        <v>M2</v>
      </c>
      <c r="D197" s="158">
        <f>'PRESUPUESTO OFICIAL (Entidad)'!E203</f>
        <v>695</v>
      </c>
      <c r="E197" s="730"/>
      <c r="F197" s="730"/>
      <c r="G197" s="730"/>
      <c r="H197" s="730"/>
      <c r="I197" s="730"/>
      <c r="J197" s="730"/>
      <c r="K197" s="730"/>
      <c r="L197" s="730"/>
      <c r="M197" s="730"/>
      <c r="N197" s="730"/>
      <c r="O197" s="730"/>
      <c r="P197" s="730"/>
      <c r="Q197" s="730"/>
      <c r="R197" s="730"/>
      <c r="S197" s="730"/>
      <c r="T197" s="730"/>
      <c r="U197" s="730"/>
      <c r="V197" s="730"/>
      <c r="W197" s="730"/>
      <c r="X197" s="730"/>
      <c r="Y197" s="730"/>
      <c r="Z197" s="730"/>
      <c r="AA197" s="730"/>
      <c r="AB197" s="730"/>
      <c r="AC197" s="730"/>
      <c r="AD197" s="730"/>
      <c r="AE197" s="730"/>
      <c r="AF197" s="730"/>
      <c r="AG197" s="730"/>
      <c r="AH197" s="730"/>
      <c r="AI197" s="730"/>
      <c r="AJ197" s="730"/>
      <c r="AK197" s="730"/>
      <c r="AL197" s="730"/>
      <c r="AM197" s="730"/>
      <c r="AN197" s="730"/>
      <c r="AO197" s="730"/>
      <c r="AP197" s="730"/>
      <c r="AQ197" s="730"/>
      <c r="AR197" s="730"/>
      <c r="AS197" s="730"/>
      <c r="AT197" s="730"/>
      <c r="AU197" s="730"/>
      <c r="AV197" s="730"/>
      <c r="AW197" s="730"/>
      <c r="AX197" s="730"/>
      <c r="AY197" s="730"/>
      <c r="AZ197" s="730"/>
      <c r="BA197" s="730"/>
      <c r="BB197" s="730"/>
      <c r="BC197" s="730"/>
      <c r="BD197" s="730"/>
      <c r="BE197" s="730"/>
      <c r="BF197" s="730"/>
      <c r="BG197" s="730"/>
      <c r="BH197" s="730"/>
      <c r="BI197" s="730"/>
      <c r="BJ197" s="374"/>
      <c r="BK197" s="712"/>
      <c r="BL197" s="712"/>
      <c r="BM197" s="52"/>
    </row>
    <row r="198" spans="1:65" x14ac:dyDescent="0.3">
      <c r="A198" s="156" t="str">
        <f>'PRESUPUESTO OFICIAL (Entidad)'!B204</f>
        <v>D3,4</v>
      </c>
      <c r="B198" s="111" t="str">
        <f>'PRESUPUESTO OFICIAL (Entidad)'!C204</f>
        <v>Suministro y Aplicación de Esmalte sobre lámina llena.</v>
      </c>
      <c r="C198" s="158" t="str">
        <f>'PRESUPUESTO OFICIAL (Entidad)'!D204</f>
        <v>M2</v>
      </c>
      <c r="D198" s="158">
        <f>'PRESUPUESTO OFICIAL (Entidad)'!E204</f>
        <v>35.6</v>
      </c>
      <c r="E198" s="730"/>
      <c r="F198" s="730"/>
      <c r="G198" s="730"/>
      <c r="H198" s="730"/>
      <c r="I198" s="730"/>
      <c r="J198" s="730"/>
      <c r="K198" s="730"/>
      <c r="L198" s="730"/>
      <c r="M198" s="730"/>
      <c r="N198" s="730"/>
      <c r="O198" s="730"/>
      <c r="P198" s="730"/>
      <c r="Q198" s="730"/>
      <c r="R198" s="730"/>
      <c r="S198" s="730"/>
      <c r="T198" s="730"/>
      <c r="U198" s="730"/>
      <c r="V198" s="730"/>
      <c r="W198" s="730"/>
      <c r="X198" s="730"/>
      <c r="Y198" s="730"/>
      <c r="Z198" s="730"/>
      <c r="AA198" s="730"/>
      <c r="AB198" s="730"/>
      <c r="AC198" s="730"/>
      <c r="AD198" s="730"/>
      <c r="AE198" s="730"/>
      <c r="AF198" s="730"/>
      <c r="AG198" s="730"/>
      <c r="AH198" s="730"/>
      <c r="AI198" s="730"/>
      <c r="AJ198" s="730"/>
      <c r="AK198" s="730"/>
      <c r="AL198" s="730"/>
      <c r="AM198" s="730"/>
      <c r="AN198" s="730"/>
      <c r="AO198" s="730"/>
      <c r="AP198" s="730"/>
      <c r="AQ198" s="730"/>
      <c r="AR198" s="730"/>
      <c r="AS198" s="730"/>
      <c r="AT198" s="730"/>
      <c r="AU198" s="730"/>
      <c r="AV198" s="730"/>
      <c r="AW198" s="730"/>
      <c r="AX198" s="730"/>
      <c r="AY198" s="730"/>
      <c r="AZ198" s="730"/>
      <c r="BA198" s="730"/>
      <c r="BB198" s="730"/>
      <c r="BC198" s="730"/>
      <c r="BD198" s="730"/>
      <c r="BE198" s="730"/>
      <c r="BF198" s="730"/>
      <c r="BG198" s="730"/>
      <c r="BH198" s="730"/>
      <c r="BI198" s="730"/>
      <c r="BJ198" s="248"/>
      <c r="BK198" s="712"/>
      <c r="BL198" s="712"/>
      <c r="BM198" s="52"/>
    </row>
    <row r="199" spans="1:65" x14ac:dyDescent="0.3">
      <c r="A199" s="156" t="str">
        <f>'PRESUPUESTO OFICIAL (Entidad)'!B205</f>
        <v>D3,5</v>
      </c>
      <c r="B199" s="111" t="str">
        <f>'PRESUPUESTO OFICIAL (Entidad)'!C205</f>
        <v>Suministro y Aplicación de Esmalte para marcos de puertas y Ventanas.</v>
      </c>
      <c r="C199" s="158" t="str">
        <f>'PRESUPUESTO OFICIAL (Entidad)'!D205</f>
        <v>UND</v>
      </c>
      <c r="D199" s="158">
        <f>'PRESUPUESTO OFICIAL (Entidad)'!E205</f>
        <v>25</v>
      </c>
      <c r="E199" s="730"/>
      <c r="F199" s="730"/>
      <c r="G199" s="730"/>
      <c r="H199" s="730"/>
      <c r="I199" s="730"/>
      <c r="J199" s="730"/>
      <c r="K199" s="730"/>
      <c r="L199" s="730"/>
      <c r="M199" s="730"/>
      <c r="N199" s="730"/>
      <c r="O199" s="730"/>
      <c r="P199" s="730"/>
      <c r="Q199" s="730"/>
      <c r="R199" s="730"/>
      <c r="S199" s="730"/>
      <c r="T199" s="730"/>
      <c r="U199" s="730"/>
      <c r="V199" s="730"/>
      <c r="W199" s="730"/>
      <c r="X199" s="730"/>
      <c r="Y199" s="730"/>
      <c r="Z199" s="730"/>
      <c r="AA199" s="730"/>
      <c r="AB199" s="730"/>
      <c r="AC199" s="730"/>
      <c r="AD199" s="730"/>
      <c r="AE199" s="730"/>
      <c r="AF199" s="730"/>
      <c r="AG199" s="730"/>
      <c r="AH199" s="730"/>
      <c r="AI199" s="730"/>
      <c r="AJ199" s="730"/>
      <c r="AK199" s="730"/>
      <c r="AL199" s="730"/>
      <c r="AM199" s="730"/>
      <c r="AN199" s="730"/>
      <c r="AO199" s="730"/>
      <c r="AP199" s="730"/>
      <c r="AQ199" s="730"/>
      <c r="AR199" s="730"/>
      <c r="AS199" s="730"/>
      <c r="AT199" s="730"/>
      <c r="AU199" s="730"/>
      <c r="AV199" s="730"/>
      <c r="AW199" s="730"/>
      <c r="AX199" s="730"/>
      <c r="AY199" s="730"/>
      <c r="AZ199" s="730"/>
      <c r="BA199" s="730"/>
      <c r="BB199" s="730"/>
      <c r="BC199" s="730"/>
      <c r="BD199" s="730"/>
      <c r="BE199" s="730"/>
      <c r="BF199" s="730"/>
      <c r="BG199" s="730"/>
      <c r="BH199" s="730"/>
      <c r="BI199" s="730"/>
      <c r="BJ199" s="248"/>
      <c r="BK199" s="712"/>
      <c r="BL199" s="712"/>
      <c r="BM199" s="52"/>
    </row>
    <row r="200" spans="1:65" x14ac:dyDescent="0.3">
      <c r="A200" s="156" t="str">
        <f>'PRESUPUESTO OFICIAL (Entidad)'!B206</f>
        <v>D3,6</v>
      </c>
      <c r="B200" s="111" t="str">
        <f>'PRESUPUESTO OFICIAL (Entidad)'!C206</f>
        <v>Suministro y Aplicación de Esmalte para rejas.</v>
      </c>
      <c r="C200" s="158" t="str">
        <f>'PRESUPUESTO OFICIAL (Entidad)'!D206</f>
        <v>M2</v>
      </c>
      <c r="D200" s="158">
        <f>'PRESUPUESTO OFICIAL (Entidad)'!E206</f>
        <v>63.7</v>
      </c>
      <c r="E200" s="730"/>
      <c r="F200" s="730"/>
      <c r="G200" s="730"/>
      <c r="H200" s="730"/>
      <c r="I200" s="730"/>
      <c r="J200" s="730"/>
      <c r="K200" s="730"/>
      <c r="L200" s="730"/>
      <c r="M200" s="730"/>
      <c r="N200" s="730"/>
      <c r="O200" s="730"/>
      <c r="P200" s="730"/>
      <c r="Q200" s="730"/>
      <c r="R200" s="730"/>
      <c r="S200" s="730"/>
      <c r="T200" s="730"/>
      <c r="U200" s="730"/>
      <c r="V200" s="730"/>
      <c r="W200" s="730"/>
      <c r="X200" s="730"/>
      <c r="Y200" s="730"/>
      <c r="Z200" s="730"/>
      <c r="AA200" s="730"/>
      <c r="AB200" s="730"/>
      <c r="AC200" s="730"/>
      <c r="AD200" s="730"/>
      <c r="AE200" s="730"/>
      <c r="AF200" s="730"/>
      <c r="AG200" s="730"/>
      <c r="AH200" s="730"/>
      <c r="AI200" s="730"/>
      <c r="AJ200" s="730"/>
      <c r="AK200" s="730"/>
      <c r="AL200" s="730"/>
      <c r="AM200" s="730"/>
      <c r="AN200" s="730"/>
      <c r="AO200" s="730"/>
      <c r="AP200" s="730"/>
      <c r="AQ200" s="730"/>
      <c r="AR200" s="730"/>
      <c r="AS200" s="730"/>
      <c r="AT200" s="730"/>
      <c r="AU200" s="730"/>
      <c r="AV200" s="730"/>
      <c r="AW200" s="730"/>
      <c r="AX200" s="730"/>
      <c r="AY200" s="730"/>
      <c r="AZ200" s="730"/>
      <c r="BA200" s="730"/>
      <c r="BB200" s="730"/>
      <c r="BC200" s="730"/>
      <c r="BD200" s="730"/>
      <c r="BE200" s="730"/>
      <c r="BF200" s="730"/>
      <c r="BG200" s="730"/>
      <c r="BH200" s="730"/>
      <c r="BI200" s="730"/>
      <c r="BJ200" s="373"/>
      <c r="BK200" s="712"/>
      <c r="BL200" s="712"/>
      <c r="BM200" s="52"/>
    </row>
    <row r="201" spans="1:65" s="697" customFormat="1" x14ac:dyDescent="0.3">
      <c r="A201" s="667" t="str">
        <f>'PRESUPUESTO OFICIAL (Entidad)'!B207</f>
        <v>D4</v>
      </c>
      <c r="B201" s="700" t="str">
        <f>'PRESUPUESTO OFICIAL (Entidad)'!C207</f>
        <v>PAÑETES</v>
      </c>
      <c r="C201" s="701"/>
      <c r="D201" s="701"/>
      <c r="E201" s="734"/>
      <c r="F201" s="734"/>
      <c r="G201" s="734"/>
      <c r="H201" s="734"/>
      <c r="I201" s="734"/>
      <c r="J201" s="734"/>
      <c r="K201" s="734"/>
      <c r="L201" s="734"/>
      <c r="M201" s="734"/>
      <c r="N201" s="734"/>
      <c r="O201" s="734"/>
      <c r="P201" s="734"/>
      <c r="Q201" s="734"/>
      <c r="R201" s="734"/>
      <c r="S201" s="734"/>
      <c r="T201" s="734"/>
      <c r="U201" s="734"/>
      <c r="V201" s="734"/>
      <c r="W201" s="734"/>
      <c r="X201" s="734"/>
      <c r="Y201" s="734"/>
      <c r="Z201" s="734"/>
      <c r="AA201" s="734"/>
      <c r="AB201" s="734"/>
      <c r="AC201" s="734"/>
      <c r="AD201" s="734"/>
      <c r="AE201" s="734"/>
      <c r="AF201" s="734"/>
      <c r="AG201" s="734"/>
      <c r="AH201" s="734"/>
      <c r="AI201" s="734"/>
      <c r="AJ201" s="734"/>
      <c r="AK201" s="734"/>
      <c r="AL201" s="734"/>
      <c r="AM201" s="734"/>
      <c r="AN201" s="734"/>
      <c r="AO201" s="734"/>
      <c r="AP201" s="734"/>
      <c r="AQ201" s="734"/>
      <c r="AR201" s="734"/>
      <c r="AS201" s="734"/>
      <c r="AT201" s="734"/>
      <c r="AU201" s="734"/>
      <c r="AV201" s="734"/>
      <c r="AW201" s="734"/>
      <c r="AX201" s="734"/>
      <c r="AY201" s="734"/>
      <c r="AZ201" s="734"/>
      <c r="BA201" s="734"/>
      <c r="BB201" s="734"/>
      <c r="BC201" s="734"/>
      <c r="BD201" s="734"/>
      <c r="BE201" s="734"/>
      <c r="BF201" s="734"/>
      <c r="BG201" s="734"/>
      <c r="BH201" s="734"/>
      <c r="BI201" s="734"/>
      <c r="BJ201" s="680"/>
      <c r="BK201" s="696"/>
      <c r="BL201" s="696"/>
      <c r="BM201" s="696"/>
    </row>
    <row r="202" spans="1:65" ht="31.2" x14ac:dyDescent="0.3">
      <c r="A202" s="156" t="str">
        <f>'PRESUPUESTO OFICIAL (Entidad)'!B208</f>
        <v>D4,1</v>
      </c>
      <c r="B202" s="111" t="str">
        <f>'PRESUPUESTO OFICIAL (Entidad)'!C208</f>
        <v>Suministro y aplicación de Pañete muros  1:4 Incluye Filos, carteras y Dilataciones. (Incluye Estuco)</v>
      </c>
      <c r="C202" s="158" t="str">
        <f>'PRESUPUESTO OFICIAL (Entidad)'!D208</f>
        <v>M2</v>
      </c>
      <c r="D202" s="158">
        <f>'PRESUPUESTO OFICIAL (Entidad)'!E208</f>
        <v>43.38</v>
      </c>
      <c r="E202" s="730"/>
      <c r="F202" s="730"/>
      <c r="G202" s="730"/>
      <c r="H202" s="730"/>
      <c r="I202" s="730"/>
      <c r="J202" s="730"/>
      <c r="K202" s="730"/>
      <c r="L202" s="730"/>
      <c r="M202" s="730"/>
      <c r="N202" s="730"/>
      <c r="O202" s="730"/>
      <c r="P202" s="730"/>
      <c r="Q202" s="730"/>
      <c r="R202" s="730"/>
      <c r="S202" s="730"/>
      <c r="T202" s="730"/>
      <c r="U202" s="730"/>
      <c r="V202" s="730"/>
      <c r="W202" s="730"/>
      <c r="X202" s="730"/>
      <c r="Y202" s="730"/>
      <c r="Z202" s="730"/>
      <c r="AA202" s="730"/>
      <c r="AB202" s="730"/>
      <c r="AC202" s="730"/>
      <c r="AD202" s="730"/>
      <c r="AE202" s="730"/>
      <c r="AF202" s="730"/>
      <c r="AG202" s="730"/>
      <c r="AH202" s="730"/>
      <c r="AI202" s="730"/>
      <c r="AJ202" s="730"/>
      <c r="AK202" s="730"/>
      <c r="AL202" s="730"/>
      <c r="AM202" s="730"/>
      <c r="AN202" s="730"/>
      <c r="AO202" s="730"/>
      <c r="AP202" s="730"/>
      <c r="AQ202" s="730"/>
      <c r="AR202" s="730"/>
      <c r="AS202" s="730"/>
      <c r="AT202" s="730"/>
      <c r="AU202" s="730"/>
      <c r="AV202" s="730"/>
      <c r="AW202" s="730"/>
      <c r="AX202" s="730"/>
      <c r="AY202" s="730"/>
      <c r="AZ202" s="730"/>
      <c r="BA202" s="730"/>
      <c r="BB202" s="730"/>
      <c r="BC202" s="730"/>
      <c r="BD202" s="730"/>
      <c r="BE202" s="730"/>
      <c r="BF202" s="730"/>
      <c r="BG202" s="730"/>
      <c r="BH202" s="730"/>
      <c r="BI202" s="730"/>
      <c r="BJ202" s="373"/>
      <c r="BK202" s="712"/>
      <c r="BL202" s="712"/>
      <c r="BM202" s="52"/>
    </row>
    <row r="203" spans="1:65" s="9" customFormat="1" ht="17.25" customHeight="1" x14ac:dyDescent="0.3">
      <c r="A203" s="708" t="str">
        <f>'PRESUPUESTO OFICIAL (Entidad)'!B210</f>
        <v>E</v>
      </c>
      <c r="B203" s="703" t="str">
        <f>'PRESUPUESTO OFICIAL (Entidad)'!C210</f>
        <v>CONSTRUCCIÓN DE CERRAMIENTO A  LA INSTITUCIÓN EDUCATIVA EL CAUCHAL (SEDE EL RECREO)</v>
      </c>
      <c r="C203" s="704"/>
      <c r="D203" s="704"/>
      <c r="E203" s="705"/>
      <c r="F203" s="705"/>
      <c r="G203" s="705"/>
      <c r="H203" s="705"/>
      <c r="I203" s="705"/>
      <c r="J203" s="705"/>
      <c r="K203" s="705"/>
      <c r="L203" s="705"/>
      <c r="M203" s="705"/>
      <c r="N203" s="705"/>
      <c r="O203" s="705"/>
      <c r="P203" s="705"/>
      <c r="Q203" s="705"/>
      <c r="R203" s="705"/>
      <c r="S203" s="705"/>
      <c r="T203" s="705"/>
      <c r="U203" s="705"/>
      <c r="V203" s="705"/>
      <c r="W203" s="705"/>
      <c r="X203" s="705"/>
      <c r="Y203" s="705"/>
      <c r="Z203" s="705"/>
      <c r="AA203" s="705"/>
      <c r="AB203" s="705"/>
      <c r="AC203" s="705"/>
      <c r="AD203" s="705"/>
      <c r="AE203" s="705"/>
      <c r="AF203" s="705"/>
      <c r="AG203" s="705"/>
      <c r="AH203" s="705"/>
      <c r="AI203" s="705"/>
      <c r="AJ203" s="705"/>
      <c r="AK203" s="705"/>
      <c r="AL203" s="705"/>
      <c r="AM203" s="705"/>
      <c r="AN203" s="705"/>
      <c r="AO203" s="705"/>
      <c r="AP203" s="705"/>
      <c r="AQ203" s="705"/>
      <c r="AR203" s="705"/>
      <c r="AS203" s="705"/>
      <c r="AT203" s="705"/>
      <c r="AU203" s="705"/>
      <c r="AV203" s="705"/>
      <c r="AW203" s="705"/>
      <c r="AX203" s="705"/>
      <c r="AY203" s="705"/>
      <c r="AZ203" s="705"/>
      <c r="BA203" s="705"/>
      <c r="BB203" s="705"/>
      <c r="BC203" s="705"/>
      <c r="BD203" s="705"/>
      <c r="BE203" s="705"/>
      <c r="BF203" s="705"/>
      <c r="BG203" s="705"/>
      <c r="BH203" s="705"/>
      <c r="BI203" s="705"/>
      <c r="BJ203" s="702"/>
      <c r="BK203" s="706"/>
      <c r="BL203" s="706"/>
      <c r="BM203" s="706"/>
    </row>
    <row r="204" spans="1:65" s="697" customFormat="1" x14ac:dyDescent="0.3">
      <c r="A204" s="667" t="str">
        <f>'PRESUPUESTO OFICIAL (Entidad)'!B211</f>
        <v>E1</v>
      </c>
      <c r="B204" s="700" t="str">
        <f>'PRESUPUESTO OFICIAL (Entidad)'!C211</f>
        <v xml:space="preserve">PRELIMINARES </v>
      </c>
      <c r="C204" s="701"/>
      <c r="D204" s="701"/>
      <c r="E204" s="734"/>
      <c r="F204" s="734"/>
      <c r="G204" s="734"/>
      <c r="H204" s="734"/>
      <c r="I204" s="734"/>
      <c r="J204" s="734"/>
      <c r="K204" s="734"/>
      <c r="L204" s="734"/>
      <c r="M204" s="734"/>
      <c r="N204" s="734"/>
      <c r="O204" s="734"/>
      <c r="P204" s="734"/>
      <c r="Q204" s="734"/>
      <c r="R204" s="734"/>
      <c r="S204" s="734"/>
      <c r="T204" s="734"/>
      <c r="U204" s="734"/>
      <c r="V204" s="734"/>
      <c r="W204" s="734"/>
      <c r="X204" s="734"/>
      <c r="Y204" s="734"/>
      <c r="Z204" s="734"/>
      <c r="AA204" s="734"/>
      <c r="AB204" s="734"/>
      <c r="AC204" s="734"/>
      <c r="AD204" s="734"/>
      <c r="AE204" s="734"/>
      <c r="AF204" s="734"/>
      <c r="AG204" s="734"/>
      <c r="AH204" s="734"/>
      <c r="AI204" s="734"/>
      <c r="AJ204" s="734"/>
      <c r="AK204" s="734"/>
      <c r="AL204" s="734"/>
      <c r="AM204" s="734"/>
      <c r="AN204" s="734"/>
      <c r="AO204" s="734"/>
      <c r="AP204" s="734"/>
      <c r="AQ204" s="734"/>
      <c r="AR204" s="734"/>
      <c r="AS204" s="734"/>
      <c r="AT204" s="734"/>
      <c r="AU204" s="734"/>
      <c r="AV204" s="734"/>
      <c r="AW204" s="734"/>
      <c r="AX204" s="734"/>
      <c r="AY204" s="734"/>
      <c r="AZ204" s="734"/>
      <c r="BA204" s="734"/>
      <c r="BB204" s="734"/>
      <c r="BC204" s="734"/>
      <c r="BD204" s="734"/>
      <c r="BE204" s="734"/>
      <c r="BF204" s="734"/>
      <c r="BG204" s="734"/>
      <c r="BH204" s="734"/>
      <c r="BI204" s="734"/>
      <c r="BJ204" s="680"/>
      <c r="BK204" s="696"/>
      <c r="BL204" s="696"/>
      <c r="BM204" s="696"/>
    </row>
    <row r="205" spans="1:65" x14ac:dyDescent="0.3">
      <c r="A205" s="156" t="str">
        <f>'PRESUPUESTO OFICIAL (Entidad)'!B212</f>
        <v>E1,1</v>
      </c>
      <c r="B205" s="111" t="str">
        <f>'PRESUPUESTO OFICIAL (Entidad)'!C212</f>
        <v>Localización y Replanteo manual.</v>
      </c>
      <c r="C205" s="158" t="str">
        <f>'PRESUPUESTO OFICIAL (Entidad)'!D212</f>
        <v>M2</v>
      </c>
      <c r="D205" s="158">
        <f>'PRESUPUESTO OFICIAL (Entidad)'!E212</f>
        <v>55.3</v>
      </c>
      <c r="E205" s="730"/>
      <c r="F205" s="730"/>
      <c r="G205" s="730"/>
      <c r="H205" s="730"/>
      <c r="I205" s="730"/>
      <c r="J205" s="730"/>
      <c r="K205" s="730"/>
      <c r="L205" s="730"/>
      <c r="M205" s="730"/>
      <c r="N205" s="730"/>
      <c r="O205" s="730"/>
      <c r="P205" s="730"/>
      <c r="Q205" s="730"/>
      <c r="R205" s="730"/>
      <c r="S205" s="730"/>
      <c r="T205" s="730"/>
      <c r="U205" s="730"/>
      <c r="V205" s="730"/>
      <c r="W205" s="730"/>
      <c r="X205" s="730"/>
      <c r="Y205" s="730"/>
      <c r="Z205" s="730"/>
      <c r="AA205" s="730"/>
      <c r="AB205" s="730"/>
      <c r="AC205" s="730"/>
      <c r="AD205" s="730"/>
      <c r="AE205" s="730"/>
      <c r="AF205" s="730"/>
      <c r="AG205" s="730"/>
      <c r="AH205" s="730"/>
      <c r="AI205" s="730"/>
      <c r="AJ205" s="730"/>
      <c r="AK205" s="730"/>
      <c r="AL205" s="730"/>
      <c r="AM205" s="730"/>
      <c r="AN205" s="730"/>
      <c r="AO205" s="730"/>
      <c r="AP205" s="730"/>
      <c r="AQ205" s="730"/>
      <c r="AR205" s="730"/>
      <c r="AS205" s="730"/>
      <c r="AT205" s="730"/>
      <c r="AU205" s="730"/>
      <c r="AV205" s="730"/>
      <c r="AW205" s="730"/>
      <c r="AX205" s="730"/>
      <c r="AY205" s="730"/>
      <c r="AZ205" s="730"/>
      <c r="BA205" s="730"/>
      <c r="BB205" s="730"/>
      <c r="BC205" s="730"/>
      <c r="BD205" s="730"/>
      <c r="BE205" s="730"/>
      <c r="BF205" s="730"/>
      <c r="BG205" s="730"/>
      <c r="BH205" s="730"/>
      <c r="BI205" s="730"/>
      <c r="BJ205" s="711"/>
      <c r="BK205" s="52"/>
      <c r="BL205" s="52"/>
      <c r="BM205" s="52"/>
    </row>
    <row r="206" spans="1:65" s="697" customFormat="1" x14ac:dyDescent="0.3">
      <c r="A206" s="667" t="str">
        <f>'PRESUPUESTO OFICIAL (Entidad)'!B213</f>
        <v>E2</v>
      </c>
      <c r="B206" s="700" t="str">
        <f>'PRESUPUESTO OFICIAL (Entidad)'!C213</f>
        <v xml:space="preserve">MOVIMIENTO DE TIERRA </v>
      </c>
      <c r="C206" s="701"/>
      <c r="D206" s="701"/>
      <c r="E206" s="734"/>
      <c r="F206" s="734"/>
      <c r="G206" s="734"/>
      <c r="H206" s="734"/>
      <c r="I206" s="734"/>
      <c r="J206" s="734"/>
      <c r="K206" s="734"/>
      <c r="L206" s="734"/>
      <c r="M206" s="734"/>
      <c r="N206" s="734"/>
      <c r="O206" s="734"/>
      <c r="P206" s="734"/>
      <c r="Q206" s="734"/>
      <c r="R206" s="734"/>
      <c r="S206" s="734"/>
      <c r="T206" s="734"/>
      <c r="U206" s="734"/>
      <c r="V206" s="734"/>
      <c r="W206" s="734"/>
      <c r="X206" s="734"/>
      <c r="Y206" s="734"/>
      <c r="Z206" s="734"/>
      <c r="AA206" s="734"/>
      <c r="AB206" s="734"/>
      <c r="AC206" s="734"/>
      <c r="AD206" s="734"/>
      <c r="AE206" s="734"/>
      <c r="AF206" s="734"/>
      <c r="AG206" s="734"/>
      <c r="AH206" s="734"/>
      <c r="AI206" s="734"/>
      <c r="AJ206" s="734"/>
      <c r="AK206" s="734"/>
      <c r="AL206" s="734"/>
      <c r="AM206" s="734"/>
      <c r="AN206" s="734"/>
      <c r="AO206" s="734"/>
      <c r="AP206" s="734"/>
      <c r="AQ206" s="734"/>
      <c r="AR206" s="734"/>
      <c r="AS206" s="734"/>
      <c r="AT206" s="734"/>
      <c r="AU206" s="734"/>
      <c r="AV206" s="734"/>
      <c r="AW206" s="734"/>
      <c r="AX206" s="734"/>
      <c r="AY206" s="734"/>
      <c r="AZ206" s="734"/>
      <c r="BA206" s="734"/>
      <c r="BB206" s="734"/>
      <c r="BC206" s="734"/>
      <c r="BD206" s="734"/>
      <c r="BE206" s="734"/>
      <c r="BF206" s="734"/>
      <c r="BG206" s="734"/>
      <c r="BH206" s="734"/>
      <c r="BI206" s="734"/>
      <c r="BJ206" s="680"/>
      <c r="BK206" s="696"/>
      <c r="BL206" s="696"/>
      <c r="BM206" s="696"/>
    </row>
    <row r="207" spans="1:65" x14ac:dyDescent="0.3">
      <c r="A207" s="156" t="str">
        <f>'PRESUPUESTO OFICIAL (Entidad)'!B214</f>
        <v>E2,1</v>
      </c>
      <c r="B207" s="111" t="str">
        <f>'PRESUPUESTO OFICIAL (Entidad)'!C214</f>
        <v>Relleno en recebo compactado mecánicamente.</v>
      </c>
      <c r="C207" s="158" t="str">
        <f>'PRESUPUESTO OFICIAL (Entidad)'!D214</f>
        <v>M3</v>
      </c>
      <c r="D207" s="158">
        <f>'PRESUPUESTO OFICIAL (Entidad)'!E214</f>
        <v>10.199999999999999</v>
      </c>
      <c r="E207" s="739"/>
      <c r="F207" s="739"/>
      <c r="G207" s="739"/>
      <c r="H207" s="739"/>
      <c r="I207" s="739"/>
      <c r="J207" s="739"/>
      <c r="K207" s="739"/>
      <c r="L207" s="739"/>
      <c r="M207" s="739"/>
      <c r="N207" s="739"/>
      <c r="O207" s="739"/>
      <c r="P207" s="739"/>
      <c r="Q207" s="739"/>
      <c r="R207" s="739"/>
      <c r="S207" s="730"/>
      <c r="T207" s="730"/>
      <c r="U207" s="730"/>
      <c r="V207" s="730"/>
      <c r="W207" s="730"/>
      <c r="X207" s="730"/>
      <c r="Y207" s="730"/>
      <c r="Z207" s="730"/>
      <c r="AA207" s="730"/>
      <c r="AB207" s="730"/>
      <c r="AC207" s="730"/>
      <c r="AD207" s="730"/>
      <c r="AE207" s="730"/>
      <c r="AF207" s="730"/>
      <c r="AG207" s="730"/>
      <c r="AH207" s="730"/>
      <c r="AI207" s="730"/>
      <c r="AJ207" s="730"/>
      <c r="AK207" s="730"/>
      <c r="AL207" s="730"/>
      <c r="AM207" s="730"/>
      <c r="AN207" s="730"/>
      <c r="AO207" s="730"/>
      <c r="AP207" s="730"/>
      <c r="AQ207" s="730"/>
      <c r="AR207" s="730"/>
      <c r="AS207" s="730"/>
      <c r="AT207" s="730"/>
      <c r="AU207" s="730"/>
      <c r="AV207" s="730"/>
      <c r="AW207" s="730"/>
      <c r="AX207" s="730"/>
      <c r="AY207" s="730"/>
      <c r="AZ207" s="730"/>
      <c r="BA207" s="730"/>
      <c r="BB207" s="730"/>
      <c r="BC207" s="730"/>
      <c r="BD207" s="730"/>
      <c r="BE207" s="730"/>
      <c r="BF207" s="730"/>
      <c r="BG207" s="730"/>
      <c r="BH207" s="730"/>
      <c r="BI207" s="730"/>
      <c r="BJ207" s="711"/>
      <c r="BK207" s="52"/>
      <c r="BL207" s="52"/>
      <c r="BM207" s="52"/>
    </row>
    <row r="208" spans="1:65" x14ac:dyDescent="0.3">
      <c r="A208" s="156" t="str">
        <f>'PRESUPUESTO OFICIAL (Entidad)'!B215</f>
        <v>E2,2</v>
      </c>
      <c r="B208" s="111" t="str">
        <f>'PRESUPUESTO OFICIAL (Entidad)'!C215</f>
        <v xml:space="preserve">Excavacion manual. Incluye retiro del material. </v>
      </c>
      <c r="C208" s="158" t="str">
        <f>'PRESUPUESTO OFICIAL (Entidad)'!D215</f>
        <v>M3</v>
      </c>
      <c r="D208" s="158">
        <f>'PRESUPUESTO OFICIAL (Entidad)'!E215</f>
        <v>4.9800000000000004</v>
      </c>
      <c r="E208" s="730"/>
      <c r="F208" s="730"/>
      <c r="G208" s="730"/>
      <c r="H208" s="730"/>
      <c r="I208" s="730"/>
      <c r="J208" s="730"/>
      <c r="K208" s="730"/>
      <c r="L208" s="730"/>
      <c r="M208" s="730"/>
      <c r="N208" s="730"/>
      <c r="O208" s="730"/>
      <c r="P208" s="730"/>
      <c r="Q208" s="730"/>
      <c r="R208" s="730"/>
      <c r="S208" s="730"/>
      <c r="T208" s="730"/>
      <c r="U208" s="730"/>
      <c r="V208" s="730"/>
      <c r="W208" s="730"/>
      <c r="X208" s="730"/>
      <c r="Y208" s="730"/>
      <c r="Z208" s="730"/>
      <c r="AA208" s="730"/>
      <c r="AB208" s="730"/>
      <c r="AC208" s="730"/>
      <c r="AD208" s="730"/>
      <c r="AE208" s="730"/>
      <c r="AF208" s="730"/>
      <c r="AG208" s="730"/>
      <c r="AH208" s="730"/>
      <c r="AI208" s="730"/>
      <c r="AJ208" s="730"/>
      <c r="AK208" s="730"/>
      <c r="AL208" s="730"/>
      <c r="AM208" s="730"/>
      <c r="AN208" s="730"/>
      <c r="AO208" s="730"/>
      <c r="AP208" s="730"/>
      <c r="AQ208" s="730"/>
      <c r="AR208" s="730"/>
      <c r="AS208" s="730"/>
      <c r="AT208" s="730"/>
      <c r="AU208" s="730"/>
      <c r="AV208" s="730"/>
      <c r="AW208" s="730"/>
      <c r="AX208" s="730"/>
      <c r="AY208" s="730"/>
      <c r="AZ208" s="730"/>
      <c r="BA208" s="730"/>
      <c r="BB208" s="730"/>
      <c r="BC208" s="730"/>
      <c r="BD208" s="730"/>
      <c r="BE208" s="730"/>
      <c r="BF208" s="730"/>
      <c r="BG208" s="730"/>
      <c r="BH208" s="730"/>
      <c r="BI208" s="730"/>
      <c r="BJ208" s="711"/>
      <c r="BK208" s="52"/>
      <c r="BL208" s="52"/>
      <c r="BM208" s="52"/>
    </row>
    <row r="209" spans="1:65" s="697" customFormat="1" x14ac:dyDescent="0.3">
      <c r="A209" s="667" t="str">
        <f>'PRESUPUESTO OFICIAL (Entidad)'!B216</f>
        <v>E3</v>
      </c>
      <c r="B209" s="700" t="str">
        <f>'PRESUPUESTO OFICIAL (Entidad)'!C216</f>
        <v>CONSTRUCCION DE CERRAMIENTO</v>
      </c>
      <c r="C209" s="701"/>
      <c r="D209" s="701"/>
      <c r="E209" s="734"/>
      <c r="F209" s="734"/>
      <c r="G209" s="734"/>
      <c r="H209" s="734"/>
      <c r="I209" s="734"/>
      <c r="J209" s="734"/>
      <c r="K209" s="734"/>
      <c r="L209" s="734"/>
      <c r="M209" s="734"/>
      <c r="N209" s="734"/>
      <c r="O209" s="734"/>
      <c r="P209" s="734"/>
      <c r="Q209" s="734"/>
      <c r="R209" s="734"/>
      <c r="S209" s="734"/>
      <c r="T209" s="734"/>
      <c r="U209" s="734"/>
      <c r="V209" s="734"/>
      <c r="W209" s="734"/>
      <c r="X209" s="734"/>
      <c r="Y209" s="734"/>
      <c r="Z209" s="734"/>
      <c r="AA209" s="734"/>
      <c r="AB209" s="734"/>
      <c r="AC209" s="734"/>
      <c r="AD209" s="734"/>
      <c r="AE209" s="734"/>
      <c r="AF209" s="734"/>
      <c r="AG209" s="734"/>
      <c r="AH209" s="734"/>
      <c r="AI209" s="734"/>
      <c r="AJ209" s="734"/>
      <c r="AK209" s="734"/>
      <c r="AL209" s="734"/>
      <c r="AM209" s="734"/>
      <c r="AN209" s="734"/>
      <c r="AO209" s="734"/>
      <c r="AP209" s="734"/>
      <c r="AQ209" s="734"/>
      <c r="AR209" s="734"/>
      <c r="AS209" s="734"/>
      <c r="AT209" s="734"/>
      <c r="AU209" s="734"/>
      <c r="AV209" s="734"/>
      <c r="AW209" s="734"/>
      <c r="AX209" s="734"/>
      <c r="AY209" s="734"/>
      <c r="AZ209" s="734"/>
      <c r="BA209" s="734"/>
      <c r="BB209" s="734"/>
      <c r="BC209" s="734"/>
      <c r="BD209" s="734"/>
      <c r="BE209" s="734"/>
      <c r="BF209" s="734"/>
      <c r="BG209" s="734"/>
      <c r="BH209" s="734"/>
      <c r="BI209" s="734"/>
      <c r="BJ209" s="680"/>
      <c r="BK209" s="696"/>
      <c r="BL209" s="696"/>
      <c r="BM209" s="696"/>
    </row>
    <row r="210" spans="1:65" ht="15.75" customHeight="1" x14ac:dyDescent="0.3">
      <c r="A210" s="156" t="str">
        <f>'PRESUPUESTO OFICIAL (Entidad)'!B217</f>
        <v>E3,1</v>
      </c>
      <c r="B210" s="111" t="str">
        <f>'PRESUPUESTO OFICIAL (Entidad)'!C217</f>
        <v>Concreto ciclópeo (40% en piedra media zonga y 60% concreto 2500 PSI de 0,30*0,30 m).</v>
      </c>
      <c r="C210" s="158" t="str">
        <f>'PRESUPUESTO OFICIAL (Entidad)'!D217</f>
        <v>M3</v>
      </c>
      <c r="D210" s="158">
        <f>'PRESUPUESTO OFICIAL (Entidad)'!E217</f>
        <v>4.9800000000000004</v>
      </c>
      <c r="E210" s="730"/>
      <c r="F210" s="730"/>
      <c r="G210" s="730"/>
      <c r="H210" s="730"/>
      <c r="I210" s="730"/>
      <c r="J210" s="730"/>
      <c r="K210" s="730"/>
      <c r="L210" s="730"/>
      <c r="M210" s="730"/>
      <c r="N210" s="730"/>
      <c r="O210" s="730"/>
      <c r="P210" s="730"/>
      <c r="Q210" s="730"/>
      <c r="R210" s="730"/>
      <c r="S210" s="730"/>
      <c r="T210" s="730"/>
      <c r="U210" s="730"/>
      <c r="V210" s="730"/>
      <c r="W210" s="730"/>
      <c r="X210" s="730"/>
      <c r="Y210" s="730"/>
      <c r="Z210" s="730"/>
      <c r="AA210" s="730"/>
      <c r="AB210" s="730"/>
      <c r="AC210" s="730"/>
      <c r="AD210" s="730"/>
      <c r="AE210" s="730"/>
      <c r="AF210" s="730"/>
      <c r="AG210" s="730"/>
      <c r="AH210" s="730"/>
      <c r="AI210" s="730"/>
      <c r="AJ210" s="730"/>
      <c r="AK210" s="730"/>
      <c r="AL210" s="730"/>
      <c r="AM210" s="730"/>
      <c r="AN210" s="730"/>
      <c r="AO210" s="730"/>
      <c r="AP210" s="730"/>
      <c r="AQ210" s="730"/>
      <c r="AR210" s="730"/>
      <c r="AS210" s="730"/>
      <c r="AT210" s="730"/>
      <c r="AU210" s="730"/>
      <c r="AV210" s="730"/>
      <c r="AW210" s="730"/>
      <c r="AX210" s="730"/>
      <c r="AY210" s="730"/>
      <c r="AZ210" s="730"/>
      <c r="BA210" s="730"/>
      <c r="BB210" s="730"/>
      <c r="BC210" s="730"/>
      <c r="BD210" s="730"/>
      <c r="BE210" s="730"/>
      <c r="BF210" s="730"/>
      <c r="BG210" s="730"/>
      <c r="BH210" s="730"/>
      <c r="BI210" s="730"/>
      <c r="BJ210" s="711"/>
      <c r="BK210" s="712"/>
      <c r="BL210" s="52"/>
      <c r="BM210" s="52"/>
    </row>
    <row r="211" spans="1:65" ht="15.75" customHeight="1" x14ac:dyDescent="0.3">
      <c r="A211" s="156" t="str">
        <f>'PRESUPUESTO OFICIAL (Entidad)'!B218</f>
        <v>E3,2</v>
      </c>
      <c r="B211" s="111" t="str">
        <f>'PRESUPUESTO OFICIAL (Entidad)'!C218</f>
        <v>Cerramiento en malla eslabonada y tubo h= 2.85 m, antepecho en ladrillo a la vista de h=0.90m, pedestal en concreto de 0.15x0.20m, viga cinta de 0.10x0.15m y viga de cimiento de ,20x,20 incluye acero incluye acero 1/2" y estribos en 3/8", según diseño.</v>
      </c>
      <c r="C211" s="158" t="str">
        <f>'PRESUPUESTO OFICIAL (Entidad)'!D218</f>
        <v>ML</v>
      </c>
      <c r="D211" s="158">
        <f>'PRESUPUESTO OFICIAL (Entidad)'!E218</f>
        <v>50.6</v>
      </c>
      <c r="E211" s="730"/>
      <c r="F211" s="730"/>
      <c r="G211" s="730"/>
      <c r="H211" s="730"/>
      <c r="I211" s="730"/>
      <c r="J211" s="730"/>
      <c r="K211" s="730"/>
      <c r="L211" s="730"/>
      <c r="M211" s="730"/>
      <c r="N211" s="730"/>
      <c r="O211" s="730"/>
      <c r="P211" s="730"/>
      <c r="Q211" s="730"/>
      <c r="R211" s="730"/>
      <c r="S211" s="730"/>
      <c r="T211" s="730"/>
      <c r="U211" s="730"/>
      <c r="V211" s="730"/>
      <c r="W211" s="730"/>
      <c r="X211" s="730"/>
      <c r="Y211" s="730"/>
      <c r="Z211" s="730"/>
      <c r="AA211" s="730"/>
      <c r="AB211" s="730"/>
      <c r="AC211" s="730"/>
      <c r="AD211" s="730"/>
      <c r="AE211" s="730"/>
      <c r="AF211" s="730"/>
      <c r="AG211" s="730"/>
      <c r="AH211" s="730"/>
      <c r="AI211" s="730"/>
      <c r="AJ211" s="730"/>
      <c r="AK211" s="730"/>
      <c r="AL211" s="730"/>
      <c r="AM211" s="730"/>
      <c r="AN211" s="730"/>
      <c r="AO211" s="730"/>
      <c r="AP211" s="730"/>
      <c r="AQ211" s="730"/>
      <c r="AR211" s="730"/>
      <c r="AS211" s="730"/>
      <c r="AT211" s="730"/>
      <c r="AU211" s="730"/>
      <c r="AV211" s="730"/>
      <c r="AW211" s="730"/>
      <c r="AX211" s="730"/>
      <c r="AY211" s="730"/>
      <c r="AZ211" s="730"/>
      <c r="BA211" s="730"/>
      <c r="BB211" s="730"/>
      <c r="BC211" s="730"/>
      <c r="BD211" s="730"/>
      <c r="BE211" s="730"/>
      <c r="BF211" s="730"/>
      <c r="BG211" s="730"/>
      <c r="BH211" s="730"/>
      <c r="BI211" s="730"/>
      <c r="BJ211" s="374"/>
      <c r="BK211" s="712"/>
      <c r="BL211" s="712"/>
      <c r="BM211" s="52"/>
    </row>
    <row r="212" spans="1:65" ht="15.75" customHeight="1" x14ac:dyDescent="0.3">
      <c r="A212" s="156" t="str">
        <f>'PRESUPUESTO OFICIAL (Entidad)'!B219</f>
        <v>E3,3</v>
      </c>
      <c r="B212" s="111" t="str">
        <f>'PRESUPUESTO OFICIAL (Entidad)'!C219</f>
        <v>Portón metálico en malla eslabonada, ángulo de 1/8x1", acabado en anticorrosivo y esmalte .</v>
      </c>
      <c r="C212" s="158" t="str">
        <f>'PRESUPUESTO OFICIAL (Entidad)'!D219</f>
        <v>M2</v>
      </c>
      <c r="D212" s="158">
        <f>'PRESUPUESTO OFICIAL (Entidad)'!E219</f>
        <v>9.98</v>
      </c>
      <c r="E212" s="730"/>
      <c r="F212" s="730"/>
      <c r="G212" s="730"/>
      <c r="H212" s="730"/>
      <c r="I212" s="730"/>
      <c r="J212" s="730"/>
      <c r="K212" s="730"/>
      <c r="L212" s="730"/>
      <c r="M212" s="730"/>
      <c r="N212" s="730"/>
      <c r="O212" s="730"/>
      <c r="P212" s="730"/>
      <c r="Q212" s="730"/>
      <c r="R212" s="730"/>
      <c r="S212" s="730"/>
      <c r="T212" s="730"/>
      <c r="U212" s="730"/>
      <c r="V212" s="730"/>
      <c r="W212" s="730"/>
      <c r="X212" s="730"/>
      <c r="Y212" s="730"/>
      <c r="Z212" s="730"/>
      <c r="AA212" s="730"/>
      <c r="AB212" s="730"/>
      <c r="AC212" s="730"/>
      <c r="AD212" s="730"/>
      <c r="AE212" s="730"/>
      <c r="AF212" s="730"/>
      <c r="AG212" s="730"/>
      <c r="AH212" s="730"/>
      <c r="AI212" s="730"/>
      <c r="AJ212" s="730"/>
      <c r="AK212" s="730"/>
      <c r="AL212" s="730"/>
      <c r="AM212" s="730"/>
      <c r="AN212" s="730"/>
      <c r="AO212" s="730"/>
      <c r="AP212" s="730"/>
      <c r="AQ212" s="730"/>
      <c r="AR212" s="730"/>
      <c r="AS212" s="730"/>
      <c r="AT212" s="730"/>
      <c r="AU212" s="730"/>
      <c r="AV212" s="730"/>
      <c r="AW212" s="730"/>
      <c r="AX212" s="730"/>
      <c r="AY212" s="730"/>
      <c r="AZ212" s="730"/>
      <c r="BA212" s="730"/>
      <c r="BB212" s="730"/>
      <c r="BC212" s="730"/>
      <c r="BD212" s="730"/>
      <c r="BE212" s="730"/>
      <c r="BF212" s="730"/>
      <c r="BG212" s="730"/>
      <c r="BH212" s="730"/>
      <c r="BI212" s="730"/>
      <c r="BJ212" s="374"/>
      <c r="BK212" s="52"/>
      <c r="BL212" s="712"/>
      <c r="BM212" s="712"/>
    </row>
    <row r="213" spans="1:65" ht="15.75" customHeight="1" x14ac:dyDescent="0.3">
      <c r="A213" s="156" t="str">
        <f>'PRESUPUESTO OFICIAL (Entidad)'!B220</f>
        <v>E3,4</v>
      </c>
      <c r="B213" s="111" t="str">
        <f>'PRESUPUESTO OFICIAL (Entidad)'!C220</f>
        <v>Puerta metálica en malla eslabonada, ángulo de 1/8x1", acabado en anticorrosivo y esmalte .</v>
      </c>
      <c r="C213" s="158" t="str">
        <f>'PRESUPUESTO OFICIAL (Entidad)'!D220</f>
        <v>M2</v>
      </c>
      <c r="D213" s="158">
        <f>'PRESUPUESTO OFICIAL (Entidad)'!E220</f>
        <v>3.42</v>
      </c>
      <c r="E213" s="730"/>
      <c r="F213" s="730"/>
      <c r="G213" s="730"/>
      <c r="H213" s="730"/>
      <c r="I213" s="730"/>
      <c r="J213" s="730"/>
      <c r="K213" s="730"/>
      <c r="L213" s="730"/>
      <c r="M213" s="730"/>
      <c r="N213" s="730"/>
      <c r="O213" s="730"/>
      <c r="P213" s="730"/>
      <c r="Q213" s="730"/>
      <c r="R213" s="730"/>
      <c r="S213" s="730"/>
      <c r="T213" s="730"/>
      <c r="U213" s="730"/>
      <c r="V213" s="730"/>
      <c r="W213" s="730"/>
      <c r="X213" s="730"/>
      <c r="Y213" s="730"/>
      <c r="Z213" s="730"/>
      <c r="AA213" s="730"/>
      <c r="AB213" s="730"/>
      <c r="AC213" s="730"/>
      <c r="AD213" s="730"/>
      <c r="AE213" s="730"/>
      <c r="AF213" s="730"/>
      <c r="AG213" s="730"/>
      <c r="AH213" s="730"/>
      <c r="AI213" s="730"/>
      <c r="AJ213" s="730"/>
      <c r="AK213" s="730"/>
      <c r="AL213" s="730"/>
      <c r="AM213" s="730"/>
      <c r="AN213" s="730"/>
      <c r="AO213" s="730"/>
      <c r="AP213" s="730"/>
      <c r="AQ213" s="730"/>
      <c r="AR213" s="730"/>
      <c r="AS213" s="730"/>
      <c r="AT213" s="730"/>
      <c r="AU213" s="730"/>
      <c r="AV213" s="730"/>
      <c r="AW213" s="730"/>
      <c r="AX213" s="730"/>
      <c r="AY213" s="730"/>
      <c r="AZ213" s="730"/>
      <c r="BA213" s="730"/>
      <c r="BB213" s="730"/>
      <c r="BC213" s="730"/>
      <c r="BD213" s="730"/>
      <c r="BE213" s="730"/>
      <c r="BF213" s="730"/>
      <c r="BG213" s="730"/>
      <c r="BH213" s="730"/>
      <c r="BI213" s="730"/>
      <c r="BJ213" s="374"/>
      <c r="BK213" s="52"/>
      <c r="BL213" s="52"/>
      <c r="BM213" s="712"/>
    </row>
    <row r="214" spans="1:65" s="697" customFormat="1" x14ac:dyDescent="0.3">
      <c r="A214" s="667" t="str">
        <f>'PRESUPUESTO OFICIAL (Entidad)'!B221</f>
        <v>E4</v>
      </c>
      <c r="B214" s="700" t="str">
        <f>'PRESUPUESTO OFICIAL (Entidad)'!C221</f>
        <v>LIMPIEZA GENERAL</v>
      </c>
      <c r="C214" s="701"/>
      <c r="D214" s="701"/>
      <c r="E214" s="734"/>
      <c r="F214" s="734"/>
      <c r="G214" s="734"/>
      <c r="H214" s="734"/>
      <c r="I214" s="734"/>
      <c r="J214" s="734"/>
      <c r="K214" s="734"/>
      <c r="L214" s="734"/>
      <c r="M214" s="734"/>
      <c r="N214" s="734"/>
      <c r="O214" s="734"/>
      <c r="P214" s="734"/>
      <c r="Q214" s="734"/>
      <c r="R214" s="734"/>
      <c r="S214" s="734"/>
      <c r="T214" s="734"/>
      <c r="U214" s="734"/>
      <c r="V214" s="734"/>
      <c r="W214" s="734"/>
      <c r="X214" s="734"/>
      <c r="Y214" s="734"/>
      <c r="Z214" s="734"/>
      <c r="AA214" s="734"/>
      <c r="AB214" s="734"/>
      <c r="AC214" s="734"/>
      <c r="AD214" s="734"/>
      <c r="AE214" s="734"/>
      <c r="AF214" s="734"/>
      <c r="AG214" s="734"/>
      <c r="AH214" s="734"/>
      <c r="AI214" s="734"/>
      <c r="AJ214" s="734"/>
      <c r="AK214" s="734"/>
      <c r="AL214" s="734"/>
      <c r="AM214" s="734"/>
      <c r="AN214" s="734"/>
      <c r="AO214" s="734"/>
      <c r="AP214" s="734"/>
      <c r="AQ214" s="734"/>
      <c r="AR214" s="734"/>
      <c r="AS214" s="734"/>
      <c r="AT214" s="734"/>
      <c r="AU214" s="734"/>
      <c r="AV214" s="734"/>
      <c r="AW214" s="734"/>
      <c r="AX214" s="734"/>
      <c r="AY214" s="734"/>
      <c r="AZ214" s="734"/>
      <c r="BA214" s="734"/>
      <c r="BB214" s="734"/>
      <c r="BC214" s="734"/>
      <c r="BD214" s="734"/>
      <c r="BE214" s="734"/>
      <c r="BF214" s="734"/>
      <c r="BG214" s="734"/>
      <c r="BH214" s="734"/>
      <c r="BI214" s="734"/>
      <c r="BJ214" s="680"/>
      <c r="BK214" s="696"/>
      <c r="BL214" s="696"/>
      <c r="BM214" s="696"/>
    </row>
    <row r="215" spans="1:65" x14ac:dyDescent="0.3">
      <c r="A215" s="156" t="str">
        <f>'PRESUPUESTO OFICIAL (Entidad)'!B222</f>
        <v>E4,1</v>
      </c>
      <c r="B215" s="111" t="str">
        <f>'PRESUPUESTO OFICIAL (Entidad)'!C222</f>
        <v>Aseo final de obra.</v>
      </c>
      <c r="C215" s="158" t="str">
        <f>'PRESUPUESTO OFICIAL (Entidad)'!D222</f>
        <v>M2</v>
      </c>
      <c r="D215" s="158">
        <f>'PRESUPUESTO OFICIAL (Entidad)'!E222</f>
        <v>55.3</v>
      </c>
      <c r="E215" s="730"/>
      <c r="F215" s="730"/>
      <c r="G215" s="730"/>
      <c r="H215" s="730"/>
      <c r="I215" s="730"/>
      <c r="J215" s="730"/>
      <c r="K215" s="730"/>
      <c r="L215" s="730"/>
      <c r="M215" s="730"/>
      <c r="N215" s="730"/>
      <c r="O215" s="730"/>
      <c r="P215" s="730"/>
      <c r="Q215" s="730"/>
      <c r="R215" s="730"/>
      <c r="S215" s="730"/>
      <c r="T215" s="730"/>
      <c r="U215" s="730"/>
      <c r="V215" s="730"/>
      <c r="W215" s="730"/>
      <c r="X215" s="730"/>
      <c r="Y215" s="730"/>
      <c r="Z215" s="730"/>
      <c r="AA215" s="730"/>
      <c r="AB215" s="730"/>
      <c r="AC215" s="730"/>
      <c r="AD215" s="730"/>
      <c r="AE215" s="730"/>
      <c r="AF215" s="730"/>
      <c r="AG215" s="730"/>
      <c r="AH215" s="730"/>
      <c r="AI215" s="730"/>
      <c r="AJ215" s="730"/>
      <c r="AK215" s="730"/>
      <c r="AL215" s="730"/>
      <c r="AM215" s="730"/>
      <c r="AN215" s="730"/>
      <c r="AO215" s="730"/>
      <c r="AP215" s="730"/>
      <c r="AQ215" s="730"/>
      <c r="AR215" s="730"/>
      <c r="AS215" s="730"/>
      <c r="AT215" s="730"/>
      <c r="AU215" s="730"/>
      <c r="AV215" s="730"/>
      <c r="AW215" s="730"/>
      <c r="AX215" s="730"/>
      <c r="AY215" s="730"/>
      <c r="AZ215" s="730"/>
      <c r="BA215" s="730"/>
      <c r="BB215" s="730"/>
      <c r="BC215" s="730"/>
      <c r="BD215" s="730"/>
      <c r="BE215" s="730"/>
      <c r="BF215" s="730"/>
      <c r="BG215" s="730"/>
      <c r="BH215" s="730"/>
      <c r="BI215" s="730"/>
      <c r="BJ215" s="374"/>
      <c r="BK215" s="52"/>
      <c r="BL215" s="52"/>
      <c r="BM215" s="712"/>
    </row>
    <row r="216" spans="1:65" s="9" customFormat="1" ht="15.75" customHeight="1" x14ac:dyDescent="0.3">
      <c r="A216" s="708" t="str">
        <f>'PRESUPUESTO OFICIAL (Entidad)'!B224</f>
        <v>F</v>
      </c>
      <c r="B216" s="735" t="str">
        <f>'PRESUPUESTO OFICIAL (Entidad)'!C224</f>
        <v>ADECUACION Y MEJORAMIENTO DEL COMEDOR  A  LA INSTITUCIÓN EDUCATIVA SAN ANTONIO (SEDE LA MESA)</v>
      </c>
      <c r="C216" s="736"/>
      <c r="D216" s="736"/>
      <c r="E216" s="736"/>
      <c r="F216" s="736"/>
      <c r="G216" s="736"/>
      <c r="H216" s="736"/>
      <c r="I216" s="736"/>
      <c r="J216" s="736"/>
      <c r="K216" s="736"/>
      <c r="L216" s="736"/>
      <c r="M216" s="736"/>
      <c r="N216" s="736"/>
      <c r="O216" s="736"/>
      <c r="P216" s="736"/>
      <c r="Q216" s="736"/>
      <c r="R216" s="736"/>
      <c r="S216" s="736"/>
      <c r="T216" s="736"/>
      <c r="U216" s="736"/>
      <c r="V216" s="736"/>
      <c r="W216" s="736"/>
      <c r="X216" s="736"/>
      <c r="Y216" s="736"/>
      <c r="Z216" s="737"/>
      <c r="AA216" s="738"/>
      <c r="AB216" s="738"/>
      <c r="AC216" s="738"/>
      <c r="AD216" s="738"/>
      <c r="AE216" s="738"/>
      <c r="AF216" s="738"/>
      <c r="AG216" s="738"/>
      <c r="AH216" s="738"/>
      <c r="AI216" s="738"/>
      <c r="AJ216" s="738"/>
      <c r="AK216" s="738"/>
      <c r="AL216" s="738"/>
      <c r="AM216" s="738"/>
      <c r="AN216" s="738"/>
      <c r="AO216" s="738"/>
      <c r="AP216" s="738"/>
      <c r="AQ216" s="738"/>
      <c r="AR216" s="738"/>
      <c r="AS216" s="738"/>
      <c r="AT216" s="738"/>
      <c r="AU216" s="738"/>
      <c r="AV216" s="738"/>
      <c r="AW216" s="738"/>
      <c r="AX216" s="738"/>
      <c r="AY216" s="738"/>
      <c r="AZ216" s="738"/>
      <c r="BA216" s="738"/>
      <c r="BB216" s="738"/>
      <c r="BC216" s="738"/>
      <c r="BD216" s="738"/>
      <c r="BE216" s="738"/>
      <c r="BF216" s="738"/>
      <c r="BG216" s="738"/>
      <c r="BH216" s="738"/>
      <c r="BI216" s="738"/>
      <c r="BJ216" s="471"/>
      <c r="BK216" s="703"/>
      <c r="BL216" s="703"/>
      <c r="BM216" s="703"/>
    </row>
    <row r="217" spans="1:65" s="697" customFormat="1" x14ac:dyDescent="0.3">
      <c r="A217" s="667" t="str">
        <f>'PRESUPUESTO OFICIAL (Entidad)'!B225</f>
        <v>F1</v>
      </c>
      <c r="B217" s="700" t="str">
        <f>'PRESUPUESTO OFICIAL (Entidad)'!C225</f>
        <v xml:space="preserve">PRELIMINARES </v>
      </c>
      <c r="C217" s="701"/>
      <c r="D217" s="701"/>
      <c r="E217" s="734"/>
      <c r="F217" s="734"/>
      <c r="G217" s="734"/>
      <c r="H217" s="734"/>
      <c r="I217" s="734"/>
      <c r="J217" s="734"/>
      <c r="K217" s="734"/>
      <c r="L217" s="734"/>
      <c r="M217" s="734"/>
      <c r="N217" s="734"/>
      <c r="O217" s="734"/>
      <c r="P217" s="734"/>
      <c r="Q217" s="734"/>
      <c r="R217" s="734"/>
      <c r="S217" s="734"/>
      <c r="T217" s="734"/>
      <c r="U217" s="734"/>
      <c r="V217" s="734"/>
      <c r="W217" s="734"/>
      <c r="X217" s="734"/>
      <c r="Y217" s="734"/>
      <c r="Z217" s="734"/>
      <c r="AA217" s="734"/>
      <c r="AB217" s="734"/>
      <c r="AC217" s="734"/>
      <c r="AD217" s="734"/>
      <c r="AE217" s="734"/>
      <c r="AF217" s="734"/>
      <c r="AG217" s="734"/>
      <c r="AH217" s="734"/>
      <c r="AI217" s="734"/>
      <c r="AJ217" s="734"/>
      <c r="AK217" s="734"/>
      <c r="AL217" s="734"/>
      <c r="AM217" s="734"/>
      <c r="AN217" s="734"/>
      <c r="AO217" s="734"/>
      <c r="AP217" s="734"/>
      <c r="AQ217" s="734"/>
      <c r="AR217" s="734"/>
      <c r="AS217" s="734"/>
      <c r="AT217" s="734"/>
      <c r="AU217" s="734"/>
      <c r="AV217" s="734"/>
      <c r="AW217" s="734"/>
      <c r="AX217" s="734"/>
      <c r="AY217" s="734"/>
      <c r="AZ217" s="734"/>
      <c r="BA217" s="734"/>
      <c r="BB217" s="734"/>
      <c r="BC217" s="734"/>
      <c r="BD217" s="734"/>
      <c r="BE217" s="734"/>
      <c r="BF217" s="734"/>
      <c r="BG217" s="734"/>
      <c r="BH217" s="734"/>
      <c r="BI217" s="734"/>
      <c r="BJ217" s="680"/>
      <c r="BK217" s="696"/>
      <c r="BL217" s="696"/>
      <c r="BM217" s="696"/>
    </row>
    <row r="218" spans="1:65" x14ac:dyDescent="0.3">
      <c r="A218" s="156" t="str">
        <f>'PRESUPUESTO OFICIAL (Entidad)'!B226</f>
        <v>F1,1</v>
      </c>
      <c r="B218" s="111" t="str">
        <f>'PRESUPUESTO OFICIAL (Entidad)'!C226</f>
        <v>Localización y Replanteo manual.</v>
      </c>
      <c r="C218" s="158" t="str">
        <f>'PRESUPUESTO OFICIAL (Entidad)'!D226</f>
        <v>M2</v>
      </c>
      <c r="D218" s="158">
        <f>'PRESUPUESTO OFICIAL (Entidad)'!E226</f>
        <v>54.39</v>
      </c>
      <c r="E218" s="730"/>
      <c r="F218" s="730"/>
      <c r="G218" s="730"/>
      <c r="H218" s="730"/>
      <c r="I218" s="730"/>
      <c r="J218" s="730"/>
      <c r="K218" s="730"/>
      <c r="L218" s="730"/>
      <c r="M218" s="730"/>
      <c r="N218" s="730"/>
      <c r="O218" s="730"/>
      <c r="P218" s="730"/>
      <c r="Q218" s="730"/>
      <c r="R218" s="730"/>
      <c r="S218" s="730"/>
      <c r="T218" s="730"/>
      <c r="U218" s="730"/>
      <c r="V218" s="730"/>
      <c r="W218" s="730"/>
      <c r="X218" s="730"/>
      <c r="Y218" s="730"/>
      <c r="Z218" s="730"/>
      <c r="AA218" s="730"/>
      <c r="AB218" s="730"/>
      <c r="AC218" s="730"/>
      <c r="AD218" s="730"/>
      <c r="AE218" s="730"/>
      <c r="AF218" s="730"/>
      <c r="AG218" s="730"/>
      <c r="AH218" s="730"/>
      <c r="AI218" s="730"/>
      <c r="AJ218" s="730"/>
      <c r="AK218" s="730"/>
      <c r="AL218" s="730"/>
      <c r="AM218" s="730"/>
      <c r="AN218" s="730"/>
      <c r="AO218" s="730"/>
      <c r="AP218" s="730"/>
      <c r="AQ218" s="730"/>
      <c r="AR218" s="730"/>
      <c r="AS218" s="730"/>
      <c r="AT218" s="730"/>
      <c r="AU218" s="730"/>
      <c r="AV218" s="730"/>
      <c r="AW218" s="730"/>
      <c r="AX218" s="730"/>
      <c r="AY218" s="730"/>
      <c r="AZ218" s="730"/>
      <c r="BA218" s="730"/>
      <c r="BB218" s="730"/>
      <c r="BC218" s="730"/>
      <c r="BD218" s="730"/>
      <c r="BE218" s="730"/>
      <c r="BF218" s="730"/>
      <c r="BG218" s="730"/>
      <c r="BH218" s="730"/>
      <c r="BI218" s="730"/>
      <c r="BJ218" s="711"/>
      <c r="BK218" s="52"/>
      <c r="BL218" s="52"/>
      <c r="BM218" s="52"/>
    </row>
    <row r="219" spans="1:65" s="697" customFormat="1" x14ac:dyDescent="0.3">
      <c r="A219" s="667" t="str">
        <f>'PRESUPUESTO OFICIAL (Entidad)'!B227</f>
        <v>F2</v>
      </c>
      <c r="B219" s="700" t="str">
        <f>'PRESUPUESTO OFICIAL (Entidad)'!C227</f>
        <v>DEMOLICIONES Y DESMONTE DE ELEMENTOS</v>
      </c>
      <c r="C219" s="701"/>
      <c r="D219" s="701"/>
      <c r="E219" s="734"/>
      <c r="F219" s="734"/>
      <c r="G219" s="734"/>
      <c r="H219" s="734"/>
      <c r="I219" s="734"/>
      <c r="J219" s="734"/>
      <c r="K219" s="734"/>
      <c r="L219" s="734"/>
      <c r="M219" s="734"/>
      <c r="N219" s="734"/>
      <c r="O219" s="734"/>
      <c r="P219" s="734"/>
      <c r="Q219" s="734"/>
      <c r="R219" s="734"/>
      <c r="S219" s="734"/>
      <c r="T219" s="734"/>
      <c r="U219" s="734"/>
      <c r="V219" s="734"/>
      <c r="W219" s="734"/>
      <c r="X219" s="734"/>
      <c r="Y219" s="734"/>
      <c r="Z219" s="734"/>
      <c r="AA219" s="734"/>
      <c r="AB219" s="734"/>
      <c r="AC219" s="734"/>
      <c r="AD219" s="734"/>
      <c r="AE219" s="734"/>
      <c r="AF219" s="734"/>
      <c r="AG219" s="734"/>
      <c r="AH219" s="734"/>
      <c r="AI219" s="734"/>
      <c r="AJ219" s="734"/>
      <c r="AK219" s="734"/>
      <c r="AL219" s="734"/>
      <c r="AM219" s="734"/>
      <c r="AN219" s="734"/>
      <c r="AO219" s="734"/>
      <c r="AP219" s="734"/>
      <c r="AQ219" s="734"/>
      <c r="AR219" s="734"/>
      <c r="AS219" s="734"/>
      <c r="AT219" s="734"/>
      <c r="AU219" s="734"/>
      <c r="AV219" s="734"/>
      <c r="AW219" s="734"/>
      <c r="AX219" s="734"/>
      <c r="AY219" s="734"/>
      <c r="AZ219" s="734"/>
      <c r="BA219" s="734"/>
      <c r="BB219" s="734"/>
      <c r="BC219" s="734"/>
      <c r="BD219" s="734"/>
      <c r="BE219" s="734"/>
      <c r="BF219" s="734"/>
      <c r="BG219" s="734"/>
      <c r="BH219" s="734"/>
      <c r="BI219" s="734"/>
      <c r="BJ219" s="680"/>
      <c r="BK219" s="696"/>
      <c r="BL219" s="696"/>
      <c r="BM219" s="696"/>
    </row>
    <row r="220" spans="1:65" x14ac:dyDescent="0.3">
      <c r="A220" s="156" t="str">
        <f>'PRESUPUESTO OFICIAL (Entidad)'!B228</f>
        <v>F2,1</v>
      </c>
      <c r="B220" s="111" t="str">
        <f>'PRESUPUESTO OFICIAL (Entidad)'!C228</f>
        <v>Demolición placa de piso concreto e=0.10m, incluye retiro</v>
      </c>
      <c r="C220" s="158" t="str">
        <f>'PRESUPUESTO OFICIAL (Entidad)'!D228</f>
        <v>M2</v>
      </c>
      <c r="D220" s="158">
        <f>'PRESUPUESTO OFICIAL (Entidad)'!E228</f>
        <v>50.36</v>
      </c>
      <c r="E220" s="730"/>
      <c r="F220" s="730"/>
      <c r="G220" s="730"/>
      <c r="H220" s="730"/>
      <c r="I220" s="730"/>
      <c r="J220" s="730"/>
      <c r="K220" s="730"/>
      <c r="L220" s="730"/>
      <c r="M220" s="730"/>
      <c r="N220" s="730"/>
      <c r="O220" s="730"/>
      <c r="P220" s="730"/>
      <c r="Q220" s="730"/>
      <c r="R220" s="730"/>
      <c r="S220" s="730"/>
      <c r="T220" s="730"/>
      <c r="U220" s="730"/>
      <c r="V220" s="730"/>
      <c r="W220" s="730"/>
      <c r="X220" s="730"/>
      <c r="Y220" s="730"/>
      <c r="Z220" s="730"/>
      <c r="AA220" s="730"/>
      <c r="AB220" s="730"/>
      <c r="AC220" s="730"/>
      <c r="AD220" s="730"/>
      <c r="AE220" s="730"/>
      <c r="AF220" s="730"/>
      <c r="AG220" s="730"/>
      <c r="AH220" s="730"/>
      <c r="AI220" s="730"/>
      <c r="AJ220" s="730"/>
      <c r="AK220" s="730"/>
      <c r="AL220" s="730"/>
      <c r="AM220" s="730"/>
      <c r="AN220" s="730"/>
      <c r="AO220" s="730"/>
      <c r="AP220" s="730"/>
      <c r="AQ220" s="730"/>
      <c r="AR220" s="730"/>
      <c r="AS220" s="730"/>
      <c r="AT220" s="730"/>
      <c r="AU220" s="730"/>
      <c r="AV220" s="730"/>
      <c r="AW220" s="730"/>
      <c r="AX220" s="730"/>
      <c r="AY220" s="730"/>
      <c r="AZ220" s="730"/>
      <c r="BA220" s="730"/>
      <c r="BB220" s="730"/>
      <c r="BC220" s="730"/>
      <c r="BD220" s="730"/>
      <c r="BE220" s="730"/>
      <c r="BF220" s="730"/>
      <c r="BG220" s="730"/>
      <c r="BH220" s="730"/>
      <c r="BI220" s="730"/>
      <c r="BJ220" s="711"/>
      <c r="BK220" s="52"/>
      <c r="BL220" s="52"/>
      <c r="BM220" s="52"/>
    </row>
    <row r="221" spans="1:65" x14ac:dyDescent="0.3">
      <c r="A221" s="156" t="str">
        <f>'PRESUPUESTO OFICIAL (Entidad)'!B229</f>
        <v>F2,2</v>
      </c>
      <c r="B221" s="111" t="str">
        <f>'PRESUPUESTO OFICIAL (Entidad)'!C229</f>
        <v>Demolición pañete muro</v>
      </c>
      <c r="C221" s="158" t="str">
        <f>'PRESUPUESTO OFICIAL (Entidad)'!D229</f>
        <v>M2</v>
      </c>
      <c r="D221" s="158">
        <f>'PRESUPUESTO OFICIAL (Entidad)'!E229</f>
        <v>133.34</v>
      </c>
      <c r="E221" s="730"/>
      <c r="F221" s="730"/>
      <c r="G221" s="730"/>
      <c r="H221" s="730"/>
      <c r="I221" s="730"/>
      <c r="J221" s="730"/>
      <c r="K221" s="730"/>
      <c r="L221" s="730"/>
      <c r="M221" s="730"/>
      <c r="N221" s="730"/>
      <c r="O221" s="730"/>
      <c r="P221" s="730"/>
      <c r="Q221" s="730"/>
      <c r="R221" s="730"/>
      <c r="S221" s="730"/>
      <c r="T221" s="730"/>
      <c r="U221" s="730"/>
      <c r="V221" s="730"/>
      <c r="W221" s="730"/>
      <c r="X221" s="730"/>
      <c r="Y221" s="730"/>
      <c r="Z221" s="730"/>
      <c r="AA221" s="730"/>
      <c r="AB221" s="730"/>
      <c r="AC221" s="730"/>
      <c r="AD221" s="730"/>
      <c r="AE221" s="730"/>
      <c r="AF221" s="730"/>
      <c r="AG221" s="730"/>
      <c r="AH221" s="730"/>
      <c r="AI221" s="730"/>
      <c r="AJ221" s="730"/>
      <c r="AK221" s="730"/>
      <c r="AL221" s="730"/>
      <c r="AM221" s="730"/>
      <c r="AN221" s="730"/>
      <c r="AO221" s="730"/>
      <c r="AP221" s="730"/>
      <c r="AQ221" s="730"/>
      <c r="AR221" s="730"/>
      <c r="AS221" s="730"/>
      <c r="AT221" s="730"/>
      <c r="AU221" s="730"/>
      <c r="AV221" s="730"/>
      <c r="AW221" s="730"/>
      <c r="AX221" s="730"/>
      <c r="AY221" s="730"/>
      <c r="AZ221" s="730"/>
      <c r="BA221" s="730"/>
      <c r="BB221" s="730"/>
      <c r="BC221" s="730"/>
      <c r="BD221" s="730"/>
      <c r="BE221" s="730"/>
      <c r="BF221" s="730"/>
      <c r="BG221" s="730"/>
      <c r="BH221" s="730"/>
      <c r="BI221" s="730"/>
      <c r="BJ221" s="711"/>
      <c r="BK221" s="52"/>
      <c r="BL221" s="52"/>
      <c r="BM221" s="52"/>
    </row>
    <row r="222" spans="1:65" x14ac:dyDescent="0.3">
      <c r="A222" s="156" t="str">
        <f>'PRESUPUESTO OFICIAL (Entidad)'!B230</f>
        <v>F2,3</v>
      </c>
      <c r="B222" s="111" t="str">
        <f>'PRESUPUESTO OFICIAL (Entidad)'!C230</f>
        <v>Desmonte marcos y puertas</v>
      </c>
      <c r="C222" s="158" t="str">
        <f>'PRESUPUESTO OFICIAL (Entidad)'!D230</f>
        <v>UN</v>
      </c>
      <c r="D222" s="158">
        <f>'PRESUPUESTO OFICIAL (Entidad)'!E230</f>
        <v>3</v>
      </c>
      <c r="E222" s="730"/>
      <c r="F222" s="730"/>
      <c r="G222" s="730"/>
      <c r="H222" s="730"/>
      <c r="I222" s="730"/>
      <c r="J222" s="730"/>
      <c r="K222" s="730"/>
      <c r="L222" s="730"/>
      <c r="M222" s="730"/>
      <c r="N222" s="730"/>
      <c r="O222" s="730"/>
      <c r="P222" s="730"/>
      <c r="Q222" s="730"/>
      <c r="R222" s="730"/>
      <c r="S222" s="730"/>
      <c r="T222" s="730"/>
      <c r="U222" s="730"/>
      <c r="V222" s="730"/>
      <c r="W222" s="730"/>
      <c r="X222" s="730"/>
      <c r="Y222" s="730"/>
      <c r="Z222" s="730"/>
      <c r="AA222" s="730"/>
      <c r="AB222" s="730"/>
      <c r="AC222" s="730"/>
      <c r="AD222" s="730"/>
      <c r="AE222" s="730"/>
      <c r="AF222" s="730"/>
      <c r="AG222" s="730"/>
      <c r="AH222" s="730"/>
      <c r="AI222" s="730"/>
      <c r="AJ222" s="730"/>
      <c r="AK222" s="730"/>
      <c r="AL222" s="730"/>
      <c r="AM222" s="730"/>
      <c r="AN222" s="730"/>
      <c r="AO222" s="730"/>
      <c r="AP222" s="730"/>
      <c r="AQ222" s="730"/>
      <c r="AR222" s="730"/>
      <c r="AS222" s="730"/>
      <c r="AT222" s="730"/>
      <c r="AU222" s="730"/>
      <c r="AV222" s="730"/>
      <c r="AW222" s="730"/>
      <c r="AX222" s="730"/>
      <c r="AY222" s="730"/>
      <c r="AZ222" s="730"/>
      <c r="BA222" s="730"/>
      <c r="BB222" s="730"/>
      <c r="BC222" s="730"/>
      <c r="BD222" s="730"/>
      <c r="BE222" s="730"/>
      <c r="BF222" s="730"/>
      <c r="BG222" s="730"/>
      <c r="BH222" s="730"/>
      <c r="BI222" s="730"/>
      <c r="BJ222" s="711"/>
      <c r="BK222" s="52"/>
      <c r="BL222" s="52"/>
      <c r="BM222" s="52"/>
    </row>
    <row r="223" spans="1:65" x14ac:dyDescent="0.3">
      <c r="A223" s="156" t="str">
        <f>'PRESUPUESTO OFICIAL (Entidad)'!B231</f>
        <v>F2,4</v>
      </c>
      <c r="B223" s="111" t="str">
        <f>'PRESUPUESTO OFICIAL (Entidad)'!C231</f>
        <v>Desmonte ventanas</v>
      </c>
      <c r="C223" s="158" t="str">
        <f>'PRESUPUESTO OFICIAL (Entidad)'!D231</f>
        <v>M2</v>
      </c>
      <c r="D223" s="158">
        <f>'PRESUPUESTO OFICIAL (Entidad)'!E231</f>
        <v>4.1399999999999997</v>
      </c>
      <c r="E223" s="730"/>
      <c r="F223" s="730"/>
      <c r="G223" s="730"/>
      <c r="H223" s="730"/>
      <c r="I223" s="730"/>
      <c r="J223" s="730"/>
      <c r="K223" s="730"/>
      <c r="L223" s="730"/>
      <c r="M223" s="730"/>
      <c r="N223" s="730"/>
      <c r="O223" s="730"/>
      <c r="P223" s="730"/>
      <c r="Q223" s="730"/>
      <c r="R223" s="730"/>
      <c r="S223" s="730"/>
      <c r="T223" s="730"/>
      <c r="U223" s="730"/>
      <c r="V223" s="730"/>
      <c r="W223" s="730"/>
      <c r="X223" s="730"/>
      <c r="Y223" s="730"/>
      <c r="Z223" s="730"/>
      <c r="AA223" s="730"/>
      <c r="AB223" s="730"/>
      <c r="AC223" s="730"/>
      <c r="AD223" s="730"/>
      <c r="AE223" s="730"/>
      <c r="AF223" s="730"/>
      <c r="AG223" s="730"/>
      <c r="AH223" s="730"/>
      <c r="AI223" s="730"/>
      <c r="AJ223" s="730"/>
      <c r="AK223" s="730"/>
      <c r="AL223" s="730"/>
      <c r="AM223" s="730"/>
      <c r="AN223" s="730"/>
      <c r="AO223" s="730"/>
      <c r="AP223" s="730"/>
      <c r="AQ223" s="730"/>
      <c r="AR223" s="730"/>
      <c r="AS223" s="730"/>
      <c r="AT223" s="730"/>
      <c r="AU223" s="730"/>
      <c r="AV223" s="730"/>
      <c r="AW223" s="730"/>
      <c r="AX223" s="730"/>
      <c r="AY223" s="730"/>
      <c r="AZ223" s="730"/>
      <c r="BA223" s="730"/>
      <c r="BB223" s="730"/>
      <c r="BC223" s="730"/>
      <c r="BD223" s="730"/>
      <c r="BE223" s="730"/>
      <c r="BF223" s="730"/>
      <c r="BG223" s="730"/>
      <c r="BH223" s="730"/>
      <c r="BI223" s="730"/>
      <c r="BJ223" s="711"/>
      <c r="BK223" s="52"/>
      <c r="BL223" s="52"/>
      <c r="BM223" s="52"/>
    </row>
    <row r="224" spans="1:65" x14ac:dyDescent="0.3">
      <c r="A224" s="156" t="str">
        <f>'PRESUPUESTO OFICIAL (Entidad)'!B232</f>
        <v>F2,5</v>
      </c>
      <c r="B224" s="111" t="str">
        <f>'PRESUPUESTO OFICIAL (Entidad)'!C232</f>
        <v>Demolición muros e-0.15m, con retiro</v>
      </c>
      <c r="C224" s="158" t="str">
        <f>'PRESUPUESTO OFICIAL (Entidad)'!D232</f>
        <v>M2</v>
      </c>
      <c r="D224" s="158">
        <f>'PRESUPUESTO OFICIAL (Entidad)'!E232</f>
        <v>8.1999999999999993</v>
      </c>
      <c r="E224" s="730"/>
      <c r="F224" s="730"/>
      <c r="G224" s="730"/>
      <c r="H224" s="730"/>
      <c r="I224" s="730"/>
      <c r="J224" s="730"/>
      <c r="K224" s="730"/>
      <c r="L224" s="730"/>
      <c r="M224" s="730"/>
      <c r="N224" s="730"/>
      <c r="O224" s="730"/>
      <c r="P224" s="730"/>
      <c r="Q224" s="730"/>
      <c r="R224" s="730"/>
      <c r="S224" s="730"/>
      <c r="T224" s="730"/>
      <c r="U224" s="730"/>
      <c r="V224" s="730"/>
      <c r="W224" s="730"/>
      <c r="X224" s="730"/>
      <c r="Y224" s="730"/>
      <c r="Z224" s="730"/>
      <c r="AA224" s="730"/>
      <c r="AB224" s="730"/>
      <c r="AC224" s="730"/>
      <c r="AD224" s="730"/>
      <c r="AE224" s="730"/>
      <c r="AF224" s="730"/>
      <c r="AG224" s="730"/>
      <c r="AH224" s="730"/>
      <c r="AI224" s="730"/>
      <c r="AJ224" s="730"/>
      <c r="AK224" s="730"/>
      <c r="AL224" s="730"/>
      <c r="AM224" s="730"/>
      <c r="AN224" s="730"/>
      <c r="AO224" s="730"/>
      <c r="AP224" s="730"/>
      <c r="AQ224" s="730"/>
      <c r="AR224" s="730"/>
      <c r="AS224" s="730"/>
      <c r="AT224" s="730"/>
      <c r="AU224" s="730"/>
      <c r="AV224" s="730"/>
      <c r="AW224" s="730"/>
      <c r="AX224" s="730"/>
      <c r="AY224" s="730"/>
      <c r="AZ224" s="730"/>
      <c r="BA224" s="730"/>
      <c r="BB224" s="730"/>
      <c r="BC224" s="730"/>
      <c r="BD224" s="730"/>
      <c r="BE224" s="730"/>
      <c r="BF224" s="730"/>
      <c r="BG224" s="730"/>
      <c r="BH224" s="730"/>
      <c r="BI224" s="730"/>
      <c r="BJ224" s="711"/>
      <c r="BK224" s="52"/>
      <c r="BL224" s="52"/>
      <c r="BM224" s="52"/>
    </row>
    <row r="225" spans="1:65" s="697" customFormat="1" x14ac:dyDescent="0.3">
      <c r="A225" s="667" t="str">
        <f>'PRESUPUESTO OFICIAL (Entidad)'!B233</f>
        <v>F3</v>
      </c>
      <c r="B225" s="700" t="str">
        <f>'PRESUPUESTO OFICIAL (Entidad)'!C233</f>
        <v xml:space="preserve">MOVIMIENTO DE TIERRA </v>
      </c>
      <c r="C225" s="701"/>
      <c r="D225" s="701"/>
      <c r="E225" s="734"/>
      <c r="F225" s="734"/>
      <c r="G225" s="734"/>
      <c r="H225" s="734"/>
      <c r="I225" s="734"/>
      <c r="J225" s="734"/>
      <c r="K225" s="734"/>
      <c r="L225" s="734"/>
      <c r="M225" s="734"/>
      <c r="N225" s="734"/>
      <c r="O225" s="734"/>
      <c r="P225" s="734"/>
      <c r="Q225" s="734"/>
      <c r="R225" s="734"/>
      <c r="S225" s="734"/>
      <c r="T225" s="734"/>
      <c r="U225" s="734"/>
      <c r="V225" s="734"/>
      <c r="W225" s="734"/>
      <c r="X225" s="734"/>
      <c r="Y225" s="734"/>
      <c r="Z225" s="734"/>
      <c r="AA225" s="734"/>
      <c r="AB225" s="734"/>
      <c r="AC225" s="734"/>
      <c r="AD225" s="734"/>
      <c r="AE225" s="734"/>
      <c r="AF225" s="734"/>
      <c r="AG225" s="734"/>
      <c r="AH225" s="734"/>
      <c r="AI225" s="734"/>
      <c r="AJ225" s="734"/>
      <c r="AK225" s="734"/>
      <c r="AL225" s="734"/>
      <c r="AM225" s="734"/>
      <c r="AN225" s="734"/>
      <c r="AO225" s="734"/>
      <c r="AP225" s="734"/>
      <c r="AQ225" s="734"/>
      <c r="AR225" s="734"/>
      <c r="AS225" s="734"/>
      <c r="AT225" s="734"/>
      <c r="AU225" s="734"/>
      <c r="AV225" s="734"/>
      <c r="AW225" s="734"/>
      <c r="AX225" s="734"/>
      <c r="AY225" s="734"/>
      <c r="AZ225" s="734"/>
      <c r="BA225" s="734"/>
      <c r="BB225" s="734"/>
      <c r="BC225" s="734"/>
      <c r="BD225" s="734"/>
      <c r="BE225" s="734"/>
      <c r="BF225" s="734"/>
      <c r="BG225" s="734"/>
      <c r="BH225" s="734"/>
      <c r="BI225" s="734"/>
      <c r="BJ225" s="680"/>
      <c r="BK225" s="696"/>
      <c r="BL225" s="696"/>
      <c r="BM225" s="696"/>
    </row>
    <row r="226" spans="1:65" x14ac:dyDescent="0.3">
      <c r="A226" s="156" t="str">
        <f>'PRESUPUESTO OFICIAL (Entidad)'!B234</f>
        <v>F3,1</v>
      </c>
      <c r="B226" s="111" t="str">
        <f>'PRESUPUESTO OFICIAL (Entidad)'!C234</f>
        <v xml:space="preserve">Excavacion manual. Incluye retiro del material. </v>
      </c>
      <c r="C226" s="158" t="str">
        <f>'PRESUPUESTO OFICIAL (Entidad)'!D234</f>
        <v>M3</v>
      </c>
      <c r="D226" s="158">
        <f>'PRESUPUESTO OFICIAL (Entidad)'!E234</f>
        <v>12.59</v>
      </c>
      <c r="E226" s="730"/>
      <c r="F226" s="730"/>
      <c r="G226" s="730"/>
      <c r="H226" s="730"/>
      <c r="I226" s="730"/>
      <c r="J226" s="730"/>
      <c r="K226" s="730"/>
      <c r="L226" s="730"/>
      <c r="M226" s="730"/>
      <c r="N226" s="730"/>
      <c r="O226" s="730"/>
      <c r="P226" s="730"/>
      <c r="Q226" s="730"/>
      <c r="R226" s="730"/>
      <c r="S226" s="730"/>
      <c r="T226" s="730"/>
      <c r="U226" s="730"/>
      <c r="V226" s="730"/>
      <c r="W226" s="730"/>
      <c r="X226" s="730"/>
      <c r="Y226" s="730"/>
      <c r="Z226" s="730"/>
      <c r="AA226" s="730"/>
      <c r="AB226" s="730"/>
      <c r="AC226" s="730"/>
      <c r="AD226" s="730"/>
      <c r="AE226" s="730"/>
      <c r="AF226" s="730"/>
      <c r="AG226" s="730"/>
      <c r="AH226" s="730"/>
      <c r="AI226" s="730"/>
      <c r="AJ226" s="730"/>
      <c r="AK226" s="730"/>
      <c r="AL226" s="730"/>
      <c r="AM226" s="730"/>
      <c r="AN226" s="730"/>
      <c r="AO226" s="730"/>
      <c r="AP226" s="730"/>
      <c r="AQ226" s="730"/>
      <c r="AR226" s="730"/>
      <c r="AS226" s="730"/>
      <c r="AT226" s="730"/>
      <c r="AU226" s="730"/>
      <c r="AV226" s="730"/>
      <c r="AW226" s="730"/>
      <c r="AX226" s="730"/>
      <c r="AY226" s="730"/>
      <c r="AZ226" s="730"/>
      <c r="BA226" s="730"/>
      <c r="BB226" s="730"/>
      <c r="BC226" s="730"/>
      <c r="BD226" s="730"/>
      <c r="BE226" s="730"/>
      <c r="BF226" s="730"/>
      <c r="BG226" s="730"/>
      <c r="BH226" s="730"/>
      <c r="BI226" s="730"/>
      <c r="BJ226" s="374"/>
      <c r="BK226" s="712"/>
      <c r="BL226" s="52"/>
      <c r="BM226" s="52"/>
    </row>
    <row r="227" spans="1:65" x14ac:dyDescent="0.3">
      <c r="A227" s="156" t="str">
        <f>'PRESUPUESTO OFICIAL (Entidad)'!B235</f>
        <v>F3,2</v>
      </c>
      <c r="B227" s="111" t="str">
        <f>'PRESUPUESTO OFICIAL (Entidad)'!C235</f>
        <v>Relleno en recebo compactado mecánicamente.</v>
      </c>
      <c r="C227" s="158" t="str">
        <f>'PRESUPUESTO OFICIAL (Entidad)'!D235</f>
        <v>M3</v>
      </c>
      <c r="D227" s="158">
        <f>'PRESUPUESTO OFICIAL (Entidad)'!E235</f>
        <v>10.07</v>
      </c>
      <c r="E227" s="730"/>
      <c r="F227" s="730"/>
      <c r="G227" s="730"/>
      <c r="H227" s="730"/>
      <c r="I227" s="730"/>
      <c r="J227" s="730"/>
      <c r="K227" s="730"/>
      <c r="L227" s="730"/>
      <c r="M227" s="730"/>
      <c r="N227" s="730"/>
      <c r="O227" s="730"/>
      <c r="P227" s="730"/>
      <c r="Q227" s="730"/>
      <c r="R227" s="730"/>
      <c r="S227" s="730"/>
      <c r="T227" s="730"/>
      <c r="U227" s="730"/>
      <c r="V227" s="730"/>
      <c r="W227" s="730"/>
      <c r="X227" s="730"/>
      <c r="Y227" s="730"/>
      <c r="Z227" s="730"/>
      <c r="AA227" s="730"/>
      <c r="AB227" s="730"/>
      <c r="AC227" s="730"/>
      <c r="AD227" s="730"/>
      <c r="AE227" s="730"/>
      <c r="AF227" s="730"/>
      <c r="AG227" s="730"/>
      <c r="AH227" s="730"/>
      <c r="AI227" s="730"/>
      <c r="AJ227" s="730"/>
      <c r="AK227" s="730"/>
      <c r="AL227" s="730"/>
      <c r="AM227" s="730"/>
      <c r="AN227" s="730"/>
      <c r="AO227" s="730"/>
      <c r="AP227" s="730"/>
      <c r="AQ227" s="730"/>
      <c r="AR227" s="730"/>
      <c r="AS227" s="730"/>
      <c r="AT227" s="730"/>
      <c r="AU227" s="730"/>
      <c r="AV227" s="730"/>
      <c r="AW227" s="730"/>
      <c r="AX227" s="730"/>
      <c r="AY227" s="730"/>
      <c r="AZ227" s="730"/>
      <c r="BA227" s="730"/>
      <c r="BB227" s="730"/>
      <c r="BC227" s="730"/>
      <c r="BD227" s="730"/>
      <c r="BE227" s="730"/>
      <c r="BF227" s="730"/>
      <c r="BG227" s="730"/>
      <c r="BH227" s="730"/>
      <c r="BI227" s="730"/>
      <c r="BJ227" s="374"/>
      <c r="BK227" s="712"/>
      <c r="BL227" s="52"/>
      <c r="BM227" s="52"/>
    </row>
    <row r="228" spans="1:65" s="697" customFormat="1" x14ac:dyDescent="0.3">
      <c r="A228" s="667" t="str">
        <f>'PRESUPUESTO OFICIAL (Entidad)'!B236</f>
        <v>F4</v>
      </c>
      <c r="B228" s="700" t="str">
        <f>'PRESUPUESTO OFICIAL (Entidad)'!C236</f>
        <v xml:space="preserve">CIMIENTOS </v>
      </c>
      <c r="C228" s="701"/>
      <c r="D228" s="701"/>
      <c r="E228" s="734"/>
      <c r="F228" s="734"/>
      <c r="G228" s="734"/>
      <c r="H228" s="734"/>
      <c r="I228" s="734"/>
      <c r="J228" s="734"/>
      <c r="K228" s="734"/>
      <c r="L228" s="734"/>
      <c r="M228" s="734"/>
      <c r="N228" s="734"/>
      <c r="O228" s="734"/>
      <c r="P228" s="734"/>
      <c r="Q228" s="734"/>
      <c r="R228" s="734"/>
      <c r="S228" s="734"/>
      <c r="T228" s="734"/>
      <c r="U228" s="734"/>
      <c r="V228" s="734"/>
      <c r="W228" s="734"/>
      <c r="X228" s="734"/>
      <c r="Y228" s="734"/>
      <c r="Z228" s="734"/>
      <c r="AA228" s="734"/>
      <c r="AB228" s="734"/>
      <c r="AC228" s="734"/>
      <c r="AD228" s="734"/>
      <c r="AE228" s="734"/>
      <c r="AF228" s="734"/>
      <c r="AG228" s="734"/>
      <c r="AH228" s="734"/>
      <c r="AI228" s="734"/>
      <c r="AJ228" s="734"/>
      <c r="AK228" s="734"/>
      <c r="AL228" s="734"/>
      <c r="AM228" s="734"/>
      <c r="AN228" s="734"/>
      <c r="AO228" s="734"/>
      <c r="AP228" s="734"/>
      <c r="AQ228" s="734"/>
      <c r="AR228" s="734"/>
      <c r="AS228" s="734"/>
      <c r="AT228" s="734"/>
      <c r="AU228" s="734"/>
      <c r="AV228" s="734"/>
      <c r="AW228" s="734"/>
      <c r="AX228" s="734"/>
      <c r="AY228" s="734"/>
      <c r="AZ228" s="734"/>
      <c r="BA228" s="734"/>
      <c r="BB228" s="734"/>
      <c r="BC228" s="734"/>
      <c r="BD228" s="734"/>
      <c r="BE228" s="734"/>
      <c r="BF228" s="734"/>
      <c r="BG228" s="734"/>
      <c r="BH228" s="734"/>
      <c r="BI228" s="734"/>
      <c r="BJ228" s="680"/>
      <c r="BK228" s="696"/>
      <c r="BL228" s="696"/>
      <c r="BM228" s="696"/>
    </row>
    <row r="229" spans="1:65" ht="15.75" customHeight="1" x14ac:dyDescent="0.3">
      <c r="A229" s="156" t="str">
        <f>'PRESUPUESTO OFICIAL (Entidad)'!B237</f>
        <v>F4,1</v>
      </c>
      <c r="B229" s="111" t="str">
        <f>'PRESUPUESTO OFICIAL (Entidad)'!C237</f>
        <v>Viga de cimentacion en concreto de 3000 PSI (0,12 x 0,20 mts).Incluye acero de refuerzo de 60000 PSI. (4Ø3/8" refuerzo y E=Ø1/4" c/d. 0,10 m).</v>
      </c>
      <c r="C229" s="158" t="str">
        <f>'PRESUPUESTO OFICIAL (Entidad)'!D237</f>
        <v>ML</v>
      </c>
      <c r="D229" s="158">
        <f>'PRESUPUESTO OFICIAL (Entidad)'!E237</f>
        <v>6.4</v>
      </c>
      <c r="E229" s="730"/>
      <c r="F229" s="730"/>
      <c r="G229" s="730"/>
      <c r="H229" s="730"/>
      <c r="I229" s="730"/>
      <c r="J229" s="730"/>
      <c r="K229" s="730"/>
      <c r="L229" s="730"/>
      <c r="M229" s="730"/>
      <c r="N229" s="730"/>
      <c r="O229" s="730"/>
      <c r="P229" s="730"/>
      <c r="Q229" s="730"/>
      <c r="R229" s="730"/>
      <c r="S229" s="730"/>
      <c r="T229" s="730"/>
      <c r="U229" s="730"/>
      <c r="V229" s="730"/>
      <c r="W229" s="730"/>
      <c r="X229" s="730"/>
      <c r="Y229" s="730"/>
      <c r="Z229" s="730"/>
      <c r="AA229" s="730"/>
      <c r="AB229" s="730"/>
      <c r="AC229" s="730"/>
      <c r="AD229" s="730"/>
      <c r="AE229" s="730"/>
      <c r="AF229" s="730"/>
      <c r="AG229" s="730"/>
      <c r="AH229" s="730"/>
      <c r="AI229" s="730"/>
      <c r="AJ229" s="730"/>
      <c r="AK229" s="730"/>
      <c r="AL229" s="730"/>
      <c r="AM229" s="730"/>
      <c r="AN229" s="730"/>
      <c r="AO229" s="730"/>
      <c r="AP229" s="730"/>
      <c r="AQ229" s="730"/>
      <c r="AR229" s="730"/>
      <c r="AS229" s="730"/>
      <c r="AT229" s="730"/>
      <c r="AU229" s="730"/>
      <c r="AV229" s="730"/>
      <c r="AW229" s="730"/>
      <c r="AX229" s="730"/>
      <c r="AY229" s="730"/>
      <c r="AZ229" s="730"/>
      <c r="BA229" s="730"/>
      <c r="BB229" s="730"/>
      <c r="BC229" s="730"/>
      <c r="BD229" s="730"/>
      <c r="BE229" s="730"/>
      <c r="BF229" s="730"/>
      <c r="BG229" s="730"/>
      <c r="BH229" s="730"/>
      <c r="BI229" s="730"/>
      <c r="BJ229" s="374"/>
      <c r="BK229" s="712"/>
      <c r="BL229" s="52"/>
      <c r="BM229" s="52"/>
    </row>
    <row r="230" spans="1:65" s="697" customFormat="1" x14ac:dyDescent="0.3">
      <c r="A230" s="667" t="str">
        <f>'PRESUPUESTO OFICIAL (Entidad)'!B238</f>
        <v>F5</v>
      </c>
      <c r="B230" s="700" t="str">
        <f>'PRESUPUESTO OFICIAL (Entidad)'!C238</f>
        <v>ESTRUCTURA</v>
      </c>
      <c r="C230" s="701"/>
      <c r="D230" s="701"/>
      <c r="E230" s="734"/>
      <c r="F230" s="734"/>
      <c r="G230" s="734"/>
      <c r="H230" s="734"/>
      <c r="I230" s="734"/>
      <c r="J230" s="734"/>
      <c r="K230" s="734"/>
      <c r="L230" s="734"/>
      <c r="M230" s="734"/>
      <c r="N230" s="734"/>
      <c r="O230" s="734"/>
      <c r="P230" s="734"/>
      <c r="Q230" s="734"/>
      <c r="R230" s="734"/>
      <c r="S230" s="734"/>
      <c r="T230" s="734"/>
      <c r="U230" s="734"/>
      <c r="V230" s="734"/>
      <c r="W230" s="734"/>
      <c r="X230" s="734"/>
      <c r="Y230" s="734"/>
      <c r="Z230" s="734"/>
      <c r="AA230" s="734"/>
      <c r="AB230" s="734"/>
      <c r="AC230" s="734"/>
      <c r="AD230" s="734"/>
      <c r="AE230" s="734"/>
      <c r="AF230" s="734"/>
      <c r="AG230" s="734"/>
      <c r="AH230" s="734"/>
      <c r="AI230" s="734"/>
      <c r="AJ230" s="734"/>
      <c r="AK230" s="734"/>
      <c r="AL230" s="734"/>
      <c r="AM230" s="734"/>
      <c r="AN230" s="734"/>
      <c r="AO230" s="734"/>
      <c r="AP230" s="734"/>
      <c r="AQ230" s="734"/>
      <c r="AR230" s="734"/>
      <c r="AS230" s="734"/>
      <c r="AT230" s="734"/>
      <c r="AU230" s="734"/>
      <c r="AV230" s="734"/>
      <c r="AW230" s="734"/>
      <c r="AX230" s="734"/>
      <c r="AY230" s="734"/>
      <c r="AZ230" s="734"/>
      <c r="BA230" s="734"/>
      <c r="BB230" s="734"/>
      <c r="BC230" s="734"/>
      <c r="BD230" s="734"/>
      <c r="BE230" s="734"/>
      <c r="BF230" s="734"/>
      <c r="BG230" s="734"/>
      <c r="BH230" s="734"/>
      <c r="BI230" s="734"/>
      <c r="BJ230" s="680"/>
      <c r="BK230" s="696"/>
      <c r="BL230" s="696"/>
      <c r="BM230" s="696"/>
    </row>
    <row r="231" spans="1:65" ht="15.75" customHeight="1" x14ac:dyDescent="0.3">
      <c r="A231" s="156" t="str">
        <f>'PRESUPUESTO OFICIAL (Entidad)'!B239</f>
        <v>F5,1</v>
      </c>
      <c r="B231" s="111" t="str">
        <f>'PRESUPUESTO OFICIAL (Entidad)'!C239</f>
        <v>Viga aerea en concreto de 3000 PSI (0,12 x 0,20 mts).Incluye acero de refuerzo de 60000 PSI. (4Ø3/8" refuerzo y E=Ø1/4" c/d. 0,10 m).</v>
      </c>
      <c r="C231" s="158" t="str">
        <f>'PRESUPUESTO OFICIAL (Entidad)'!D239</f>
        <v>ML</v>
      </c>
      <c r="D231" s="158">
        <f>'PRESUPUESTO OFICIAL (Entidad)'!E239</f>
        <v>6.4</v>
      </c>
      <c r="E231" s="730"/>
      <c r="F231" s="730"/>
      <c r="G231" s="730"/>
      <c r="H231" s="730"/>
      <c r="I231" s="730"/>
      <c r="J231" s="730"/>
      <c r="K231" s="730"/>
      <c r="L231" s="730"/>
      <c r="M231" s="730"/>
      <c r="N231" s="730"/>
      <c r="O231" s="730"/>
      <c r="P231" s="730"/>
      <c r="Q231" s="730"/>
      <c r="R231" s="730"/>
      <c r="S231" s="730"/>
      <c r="T231" s="730"/>
      <c r="U231" s="730"/>
      <c r="V231" s="730"/>
      <c r="W231" s="730"/>
      <c r="X231" s="730"/>
      <c r="Y231" s="730"/>
      <c r="Z231" s="730"/>
      <c r="AA231" s="730"/>
      <c r="AB231" s="730"/>
      <c r="AC231" s="730"/>
      <c r="AD231" s="730"/>
      <c r="AE231" s="730"/>
      <c r="AF231" s="730"/>
      <c r="AG231" s="730"/>
      <c r="AH231" s="730"/>
      <c r="AI231" s="730"/>
      <c r="AJ231" s="730"/>
      <c r="AK231" s="730"/>
      <c r="AL231" s="730"/>
      <c r="AM231" s="730"/>
      <c r="AN231" s="730"/>
      <c r="AO231" s="730"/>
      <c r="AP231" s="730"/>
      <c r="AQ231" s="730"/>
      <c r="AR231" s="730"/>
      <c r="AS231" s="730"/>
      <c r="AT231" s="730"/>
      <c r="AU231" s="730"/>
      <c r="AV231" s="730"/>
      <c r="AW231" s="730"/>
      <c r="AX231" s="730"/>
      <c r="AY231" s="730"/>
      <c r="AZ231" s="730"/>
      <c r="BA231" s="730"/>
      <c r="BB231" s="730"/>
      <c r="BC231" s="730"/>
      <c r="BD231" s="730"/>
      <c r="BE231" s="730"/>
      <c r="BF231" s="730"/>
      <c r="BG231" s="730"/>
      <c r="BH231" s="730"/>
      <c r="BI231" s="730"/>
      <c r="BJ231" s="374"/>
      <c r="BK231" s="712"/>
      <c r="BL231" s="52"/>
      <c r="BM231" s="52"/>
    </row>
    <row r="232" spans="1:65" ht="15.75" customHeight="1" x14ac:dyDescent="0.3">
      <c r="A232" s="156" t="str">
        <f>'PRESUPUESTO OFICIAL (Entidad)'!B240</f>
        <v>F5,2</v>
      </c>
      <c r="B232" s="111" t="str">
        <f>'PRESUPUESTO OFICIAL (Entidad)'!C240</f>
        <v>Columnas concreto de 3000 PSI (0,12 x 0,20 mts).Incluye acero de refuerzo de 60000 PSI. (4Ø3/8" refuerzo y E=Ø1/4" c/d. 0,10 m).</v>
      </c>
      <c r="C232" s="158" t="str">
        <f>'PRESUPUESTO OFICIAL (Entidad)'!D240</f>
        <v>ML</v>
      </c>
      <c r="D232" s="158">
        <f>'PRESUPUESTO OFICIAL (Entidad)'!E240</f>
        <v>9.32</v>
      </c>
      <c r="E232" s="730"/>
      <c r="F232" s="730"/>
      <c r="G232" s="730"/>
      <c r="H232" s="730"/>
      <c r="I232" s="730"/>
      <c r="J232" s="730"/>
      <c r="K232" s="730"/>
      <c r="L232" s="730"/>
      <c r="M232" s="730"/>
      <c r="N232" s="730"/>
      <c r="O232" s="730"/>
      <c r="P232" s="730"/>
      <c r="Q232" s="730"/>
      <c r="R232" s="730"/>
      <c r="S232" s="730"/>
      <c r="T232" s="730"/>
      <c r="U232" s="730"/>
      <c r="V232" s="730"/>
      <c r="W232" s="730"/>
      <c r="X232" s="730"/>
      <c r="Y232" s="730"/>
      <c r="Z232" s="730"/>
      <c r="AA232" s="730"/>
      <c r="AB232" s="730"/>
      <c r="AC232" s="730"/>
      <c r="AD232" s="730"/>
      <c r="AE232" s="730"/>
      <c r="AF232" s="730"/>
      <c r="AG232" s="730"/>
      <c r="AH232" s="730"/>
      <c r="AI232" s="730"/>
      <c r="AJ232" s="730"/>
      <c r="AK232" s="730"/>
      <c r="AL232" s="730"/>
      <c r="AM232" s="730"/>
      <c r="AN232" s="730"/>
      <c r="AO232" s="730"/>
      <c r="AP232" s="730"/>
      <c r="AQ232" s="730"/>
      <c r="AR232" s="730"/>
      <c r="AS232" s="730"/>
      <c r="AT232" s="730"/>
      <c r="AU232" s="730"/>
      <c r="AV232" s="730"/>
      <c r="AW232" s="730"/>
      <c r="AX232" s="730"/>
      <c r="AY232" s="730"/>
      <c r="AZ232" s="730"/>
      <c r="BA232" s="730"/>
      <c r="BB232" s="730"/>
      <c r="BC232" s="730"/>
      <c r="BD232" s="730"/>
      <c r="BE232" s="730"/>
      <c r="BF232" s="730"/>
      <c r="BG232" s="730"/>
      <c r="BH232" s="730"/>
      <c r="BI232" s="730"/>
      <c r="BJ232" s="374"/>
      <c r="BK232" s="712"/>
      <c r="BL232" s="52"/>
      <c r="BM232" s="52"/>
    </row>
    <row r="233" spans="1:65" s="697" customFormat="1" x14ac:dyDescent="0.3">
      <c r="A233" s="667" t="str">
        <f>'PRESUPUESTO OFICIAL (Entidad)'!B241</f>
        <v>F6</v>
      </c>
      <c r="B233" s="700" t="str">
        <f>'PRESUPUESTO OFICIAL (Entidad)'!C241</f>
        <v>MAMPOSTERIA</v>
      </c>
      <c r="C233" s="701"/>
      <c r="D233" s="701"/>
      <c r="E233" s="734"/>
      <c r="F233" s="734"/>
      <c r="G233" s="734"/>
      <c r="H233" s="734"/>
      <c r="I233" s="734"/>
      <c r="J233" s="734"/>
      <c r="K233" s="734"/>
      <c r="L233" s="734"/>
      <c r="M233" s="734"/>
      <c r="N233" s="734"/>
      <c r="O233" s="734"/>
      <c r="P233" s="734"/>
      <c r="Q233" s="734"/>
      <c r="R233" s="734"/>
      <c r="S233" s="734"/>
      <c r="T233" s="734"/>
      <c r="U233" s="734"/>
      <c r="V233" s="734"/>
      <c r="W233" s="734"/>
      <c r="X233" s="734"/>
      <c r="Y233" s="734"/>
      <c r="Z233" s="734"/>
      <c r="AA233" s="734"/>
      <c r="AB233" s="734"/>
      <c r="AC233" s="734"/>
      <c r="AD233" s="734"/>
      <c r="AE233" s="734"/>
      <c r="AF233" s="734"/>
      <c r="AG233" s="734"/>
      <c r="AH233" s="734"/>
      <c r="AI233" s="734"/>
      <c r="AJ233" s="734"/>
      <c r="AK233" s="734"/>
      <c r="AL233" s="734"/>
      <c r="AM233" s="734"/>
      <c r="AN233" s="734"/>
      <c r="AO233" s="734"/>
      <c r="AP233" s="734"/>
      <c r="AQ233" s="734"/>
      <c r="AR233" s="734"/>
      <c r="AS233" s="734"/>
      <c r="AT233" s="734"/>
      <c r="AU233" s="734"/>
      <c r="AV233" s="734"/>
      <c r="AW233" s="734"/>
      <c r="AX233" s="734"/>
      <c r="AY233" s="734"/>
      <c r="AZ233" s="734"/>
      <c r="BA233" s="734"/>
      <c r="BB233" s="734"/>
      <c r="BC233" s="734"/>
      <c r="BD233" s="734"/>
      <c r="BE233" s="734"/>
      <c r="BF233" s="734"/>
      <c r="BG233" s="734"/>
      <c r="BH233" s="734"/>
      <c r="BI233" s="734"/>
      <c r="BJ233" s="680"/>
      <c r="BK233" s="696"/>
      <c r="BL233" s="696"/>
      <c r="BM233" s="696"/>
    </row>
    <row r="234" spans="1:65" ht="15.75" customHeight="1" x14ac:dyDescent="0.3">
      <c r="A234" s="156" t="str">
        <f>'PRESUPUESTO OFICIAL (Entidad)'!B242</f>
        <v>F6,1</v>
      </c>
      <c r="B234" s="111" t="str">
        <f>'PRESUPUESTO OFICIAL (Entidad)'!C242</f>
        <v>Construccion de Muro en Bloque de arcilla #5 (12x20x30cm) Incluye mortero de pega y bloque.</v>
      </c>
      <c r="C234" s="158" t="str">
        <f>'PRESUPUESTO OFICIAL (Entidad)'!D242</f>
        <v>M2</v>
      </c>
      <c r="D234" s="158">
        <f>'PRESUPUESTO OFICIAL (Entidad)'!E242</f>
        <v>15.36</v>
      </c>
      <c r="E234" s="730"/>
      <c r="F234" s="730"/>
      <c r="G234" s="730"/>
      <c r="H234" s="730"/>
      <c r="I234" s="730"/>
      <c r="J234" s="730"/>
      <c r="K234" s="730"/>
      <c r="L234" s="730"/>
      <c r="M234" s="730"/>
      <c r="N234" s="730"/>
      <c r="O234" s="730"/>
      <c r="P234" s="730"/>
      <c r="Q234" s="730"/>
      <c r="R234" s="730"/>
      <c r="S234" s="730"/>
      <c r="T234" s="730"/>
      <c r="U234" s="730"/>
      <c r="V234" s="730"/>
      <c r="W234" s="730"/>
      <c r="X234" s="730"/>
      <c r="Y234" s="730"/>
      <c r="Z234" s="730"/>
      <c r="AA234" s="730"/>
      <c r="AB234" s="730"/>
      <c r="AC234" s="730"/>
      <c r="AD234" s="730"/>
      <c r="AE234" s="730"/>
      <c r="AF234" s="730"/>
      <c r="AG234" s="730"/>
      <c r="AH234" s="730"/>
      <c r="AI234" s="730"/>
      <c r="AJ234" s="730"/>
      <c r="AK234" s="730"/>
      <c r="AL234" s="730"/>
      <c r="AM234" s="730"/>
      <c r="AN234" s="730"/>
      <c r="AO234" s="730"/>
      <c r="AP234" s="730"/>
      <c r="AQ234" s="730"/>
      <c r="AR234" s="730"/>
      <c r="AS234" s="730"/>
      <c r="AT234" s="730"/>
      <c r="AU234" s="730"/>
      <c r="AV234" s="730"/>
      <c r="AW234" s="730"/>
      <c r="AX234" s="730"/>
      <c r="AY234" s="730"/>
      <c r="AZ234" s="730"/>
      <c r="BA234" s="730"/>
      <c r="BB234" s="730"/>
      <c r="BC234" s="730"/>
      <c r="BD234" s="730"/>
      <c r="BE234" s="730"/>
      <c r="BF234" s="730"/>
      <c r="BG234" s="730"/>
      <c r="BH234" s="730"/>
      <c r="BI234" s="730"/>
      <c r="BJ234" s="374"/>
      <c r="BK234" s="712"/>
      <c r="BL234" s="52"/>
      <c r="BM234" s="52"/>
    </row>
    <row r="235" spans="1:65" ht="15.75" customHeight="1" x14ac:dyDescent="0.3">
      <c r="A235" s="156" t="str">
        <f>'PRESUPUESTO OFICIAL (Entidad)'!B243</f>
        <v>F6,2</v>
      </c>
      <c r="B235" s="111" t="str">
        <f>'PRESUPUESTO OFICIAL (Entidad)'!C243</f>
        <v>Construccion de Mesón en concreto 3000 psi, a=0,60, e=0.10 enchapado, inc. Acero (1Ø1/2"c.015 ambos sentidos).</v>
      </c>
      <c r="C235" s="158" t="str">
        <f>'PRESUPUESTO OFICIAL (Entidad)'!D243</f>
        <v>ML</v>
      </c>
      <c r="D235" s="158">
        <f>'PRESUPUESTO OFICIAL (Entidad)'!E243</f>
        <v>7.85</v>
      </c>
      <c r="E235" s="730"/>
      <c r="F235" s="730"/>
      <c r="G235" s="730"/>
      <c r="H235" s="730"/>
      <c r="I235" s="730"/>
      <c r="J235" s="730"/>
      <c r="K235" s="730"/>
      <c r="L235" s="730"/>
      <c r="M235" s="730"/>
      <c r="N235" s="730"/>
      <c r="O235" s="730"/>
      <c r="P235" s="730"/>
      <c r="Q235" s="730"/>
      <c r="R235" s="730"/>
      <c r="S235" s="730"/>
      <c r="T235" s="730"/>
      <c r="U235" s="730"/>
      <c r="V235" s="730"/>
      <c r="W235" s="730"/>
      <c r="X235" s="730"/>
      <c r="Y235" s="730"/>
      <c r="Z235" s="730"/>
      <c r="AA235" s="730"/>
      <c r="AB235" s="730"/>
      <c r="AC235" s="730"/>
      <c r="AD235" s="730"/>
      <c r="AE235" s="730"/>
      <c r="AF235" s="730"/>
      <c r="AG235" s="730"/>
      <c r="AH235" s="730"/>
      <c r="AI235" s="730"/>
      <c r="AJ235" s="730"/>
      <c r="AK235" s="730"/>
      <c r="AL235" s="730"/>
      <c r="AM235" s="730"/>
      <c r="AN235" s="730"/>
      <c r="AO235" s="730"/>
      <c r="AP235" s="730"/>
      <c r="AQ235" s="730"/>
      <c r="AR235" s="730"/>
      <c r="AS235" s="730"/>
      <c r="AT235" s="730"/>
      <c r="AU235" s="730"/>
      <c r="AV235" s="730"/>
      <c r="AW235" s="730"/>
      <c r="AX235" s="730"/>
      <c r="AY235" s="730"/>
      <c r="AZ235" s="730"/>
      <c r="BA235" s="730"/>
      <c r="BB235" s="730"/>
      <c r="BC235" s="730"/>
      <c r="BD235" s="730"/>
      <c r="BE235" s="730"/>
      <c r="BF235" s="730"/>
      <c r="BG235" s="730"/>
      <c r="BH235" s="730"/>
      <c r="BI235" s="730"/>
      <c r="BJ235" s="374"/>
      <c r="BK235" s="712"/>
      <c r="BL235" s="52"/>
      <c r="BM235" s="52"/>
    </row>
    <row r="236" spans="1:65" s="697" customFormat="1" x14ac:dyDescent="0.3">
      <c r="A236" s="667" t="str">
        <f>'PRESUPUESTO OFICIAL (Entidad)'!B244</f>
        <v>F7</v>
      </c>
      <c r="B236" s="700" t="str">
        <f>'PRESUPUESTO OFICIAL (Entidad)'!C244</f>
        <v>INSTALACIONES HIDRAULICAS Y SANITARIAS</v>
      </c>
      <c r="C236" s="701"/>
      <c r="D236" s="701"/>
      <c r="E236" s="734"/>
      <c r="F236" s="734"/>
      <c r="G236" s="734"/>
      <c r="H236" s="734"/>
      <c r="I236" s="734"/>
      <c r="J236" s="734"/>
      <c r="K236" s="734"/>
      <c r="L236" s="734"/>
      <c r="M236" s="734"/>
      <c r="N236" s="734"/>
      <c r="O236" s="734"/>
      <c r="P236" s="734"/>
      <c r="Q236" s="734"/>
      <c r="R236" s="734"/>
      <c r="S236" s="734"/>
      <c r="T236" s="734"/>
      <c r="U236" s="734"/>
      <c r="V236" s="734"/>
      <c r="W236" s="734"/>
      <c r="X236" s="734"/>
      <c r="Y236" s="734"/>
      <c r="Z236" s="734"/>
      <c r="AA236" s="734"/>
      <c r="AB236" s="734"/>
      <c r="AC236" s="734"/>
      <c r="AD236" s="734"/>
      <c r="AE236" s="734"/>
      <c r="AF236" s="734"/>
      <c r="AG236" s="734"/>
      <c r="AH236" s="734"/>
      <c r="AI236" s="734"/>
      <c r="AJ236" s="734"/>
      <c r="AK236" s="734"/>
      <c r="AL236" s="734"/>
      <c r="AM236" s="734"/>
      <c r="AN236" s="734"/>
      <c r="AO236" s="734"/>
      <c r="AP236" s="734"/>
      <c r="AQ236" s="734"/>
      <c r="AR236" s="734"/>
      <c r="AS236" s="734"/>
      <c r="AT236" s="734"/>
      <c r="AU236" s="734"/>
      <c r="AV236" s="734"/>
      <c r="AW236" s="734"/>
      <c r="AX236" s="734"/>
      <c r="AY236" s="734"/>
      <c r="AZ236" s="734"/>
      <c r="BA236" s="734"/>
      <c r="BB236" s="734"/>
      <c r="BC236" s="734"/>
      <c r="BD236" s="734"/>
      <c r="BE236" s="734"/>
      <c r="BF236" s="734"/>
      <c r="BG236" s="734"/>
      <c r="BH236" s="734"/>
      <c r="BI236" s="734"/>
      <c r="BJ236" s="680"/>
      <c r="BK236" s="696"/>
      <c r="BL236" s="696"/>
      <c r="BM236" s="696"/>
    </row>
    <row r="237" spans="1:65" x14ac:dyDescent="0.3">
      <c r="A237" s="156" t="str">
        <f>'PRESUPUESTO OFICIAL (Entidad)'!B245</f>
        <v>F7,1</v>
      </c>
      <c r="B237" s="111" t="str">
        <f>'PRESUPUESTO OFICIAL (Entidad)'!C245</f>
        <v>Suministro e instalacion de Punto de desague en pvc 2", incluye tuberia.</v>
      </c>
      <c r="C237" s="158" t="str">
        <f>'PRESUPUESTO OFICIAL (Entidad)'!D245</f>
        <v>UND</v>
      </c>
      <c r="D237" s="158">
        <f>'PRESUPUESTO OFICIAL (Entidad)'!E245</f>
        <v>1</v>
      </c>
      <c r="E237" s="730"/>
      <c r="F237" s="730"/>
      <c r="G237" s="730"/>
      <c r="H237" s="730"/>
      <c r="I237" s="730"/>
      <c r="J237" s="730"/>
      <c r="K237" s="730"/>
      <c r="L237" s="730"/>
      <c r="M237" s="730"/>
      <c r="N237" s="730"/>
      <c r="O237" s="730"/>
      <c r="P237" s="730"/>
      <c r="Q237" s="730"/>
      <c r="R237" s="730"/>
      <c r="S237" s="730"/>
      <c r="T237" s="730"/>
      <c r="U237" s="730"/>
      <c r="V237" s="730"/>
      <c r="W237" s="730"/>
      <c r="X237" s="730"/>
      <c r="Y237" s="730"/>
      <c r="Z237" s="730"/>
      <c r="AA237" s="730"/>
      <c r="AB237" s="730"/>
      <c r="AC237" s="730"/>
      <c r="AD237" s="730"/>
      <c r="AE237" s="730"/>
      <c r="AF237" s="730"/>
      <c r="AG237" s="730"/>
      <c r="AH237" s="730"/>
      <c r="AI237" s="730"/>
      <c r="AJ237" s="730"/>
      <c r="AK237" s="730"/>
      <c r="AL237" s="730"/>
      <c r="AM237" s="730"/>
      <c r="AN237" s="730"/>
      <c r="AO237" s="730"/>
      <c r="AP237" s="730"/>
      <c r="AQ237" s="730"/>
      <c r="AR237" s="730"/>
      <c r="AS237" s="730"/>
      <c r="AT237" s="730"/>
      <c r="AU237" s="730"/>
      <c r="AV237" s="730"/>
      <c r="AW237" s="730"/>
      <c r="AX237" s="730"/>
      <c r="AY237" s="730"/>
      <c r="AZ237" s="730"/>
      <c r="BA237" s="730"/>
      <c r="BB237" s="730"/>
      <c r="BC237" s="730"/>
      <c r="BD237" s="730"/>
      <c r="BE237" s="730"/>
      <c r="BF237" s="730"/>
      <c r="BG237" s="730"/>
      <c r="BH237" s="730"/>
      <c r="BI237" s="730"/>
      <c r="BJ237" s="374"/>
      <c r="BK237" s="712"/>
      <c r="BL237" s="52"/>
      <c r="BM237" s="52"/>
    </row>
    <row r="238" spans="1:65" x14ac:dyDescent="0.3">
      <c r="A238" s="156" t="str">
        <f>'PRESUPUESTO OFICIAL (Entidad)'!B246</f>
        <v>F7,2</v>
      </c>
      <c r="B238" s="111" t="str">
        <f>'PRESUPUESTO OFICIAL (Entidad)'!C246</f>
        <v>Suministro e instalacion de Punto de desague en pvc 3", incluye tuberia.</v>
      </c>
      <c r="C238" s="158" t="str">
        <f>'PRESUPUESTO OFICIAL (Entidad)'!D246</f>
        <v>UND</v>
      </c>
      <c r="D238" s="158">
        <f>'PRESUPUESTO OFICIAL (Entidad)'!E246</f>
        <v>1</v>
      </c>
      <c r="E238" s="730"/>
      <c r="F238" s="730"/>
      <c r="G238" s="730"/>
      <c r="H238" s="730"/>
      <c r="I238" s="730"/>
      <c r="J238" s="730"/>
      <c r="K238" s="730"/>
      <c r="L238" s="730"/>
      <c r="M238" s="730"/>
      <c r="N238" s="730"/>
      <c r="O238" s="730"/>
      <c r="P238" s="730"/>
      <c r="Q238" s="730"/>
      <c r="R238" s="730"/>
      <c r="S238" s="730"/>
      <c r="T238" s="730"/>
      <c r="U238" s="730"/>
      <c r="V238" s="730"/>
      <c r="W238" s="730"/>
      <c r="X238" s="730"/>
      <c r="Y238" s="730"/>
      <c r="Z238" s="730"/>
      <c r="AA238" s="730"/>
      <c r="AB238" s="730"/>
      <c r="AC238" s="730"/>
      <c r="AD238" s="730"/>
      <c r="AE238" s="730"/>
      <c r="AF238" s="730"/>
      <c r="AG238" s="730"/>
      <c r="AH238" s="730"/>
      <c r="AI238" s="730"/>
      <c r="AJ238" s="730"/>
      <c r="AK238" s="730"/>
      <c r="AL238" s="730"/>
      <c r="AM238" s="730"/>
      <c r="AN238" s="730"/>
      <c r="AO238" s="730"/>
      <c r="AP238" s="730"/>
      <c r="AQ238" s="730"/>
      <c r="AR238" s="730"/>
      <c r="AS238" s="730"/>
      <c r="AT238" s="730"/>
      <c r="AU238" s="730"/>
      <c r="AV238" s="730"/>
      <c r="AW238" s="730"/>
      <c r="AX238" s="730"/>
      <c r="AY238" s="730"/>
      <c r="AZ238" s="730"/>
      <c r="BA238" s="730"/>
      <c r="BB238" s="730"/>
      <c r="BC238" s="730"/>
      <c r="BD238" s="730"/>
      <c r="BE238" s="730"/>
      <c r="BF238" s="730"/>
      <c r="BG238" s="730"/>
      <c r="BH238" s="730"/>
      <c r="BI238" s="730"/>
      <c r="BJ238" s="374"/>
      <c r="BK238" s="712"/>
      <c r="BL238" s="52"/>
      <c r="BM238" s="52"/>
    </row>
    <row r="239" spans="1:65" x14ac:dyDescent="0.3">
      <c r="A239" s="156" t="str">
        <f>'PRESUPUESTO OFICIAL (Entidad)'!B247</f>
        <v>F7,3</v>
      </c>
      <c r="B239" s="111" t="str">
        <f>'PRESUPUESTO OFICIAL (Entidad)'!C247</f>
        <v>Suministro e instalacion de Punto agua fria de ½" PVC, incluye tuberia.</v>
      </c>
      <c r="C239" s="158" t="str">
        <f>'PRESUPUESTO OFICIAL (Entidad)'!D247</f>
        <v>UND</v>
      </c>
      <c r="D239" s="158">
        <f>'PRESUPUESTO OFICIAL (Entidad)'!E247</f>
        <v>1</v>
      </c>
      <c r="E239" s="730"/>
      <c r="F239" s="730"/>
      <c r="G239" s="730"/>
      <c r="H239" s="730"/>
      <c r="I239" s="730"/>
      <c r="J239" s="730"/>
      <c r="K239" s="730"/>
      <c r="L239" s="730"/>
      <c r="M239" s="730"/>
      <c r="N239" s="730"/>
      <c r="O239" s="730"/>
      <c r="P239" s="730"/>
      <c r="Q239" s="730"/>
      <c r="R239" s="730"/>
      <c r="S239" s="730"/>
      <c r="T239" s="730"/>
      <c r="U239" s="730"/>
      <c r="V239" s="730"/>
      <c r="W239" s="730"/>
      <c r="X239" s="730"/>
      <c r="Y239" s="730"/>
      <c r="Z239" s="730"/>
      <c r="AA239" s="730"/>
      <c r="AB239" s="730"/>
      <c r="AC239" s="730"/>
      <c r="AD239" s="730"/>
      <c r="AE239" s="730"/>
      <c r="AF239" s="730"/>
      <c r="AG239" s="730"/>
      <c r="AH239" s="730"/>
      <c r="AI239" s="730"/>
      <c r="AJ239" s="730"/>
      <c r="AK239" s="730"/>
      <c r="AL239" s="730"/>
      <c r="AM239" s="730"/>
      <c r="AN239" s="730"/>
      <c r="AO239" s="730"/>
      <c r="AP239" s="730"/>
      <c r="AQ239" s="730"/>
      <c r="AR239" s="730"/>
      <c r="AS239" s="730"/>
      <c r="AT239" s="730"/>
      <c r="AU239" s="730"/>
      <c r="AV239" s="730"/>
      <c r="AW239" s="730"/>
      <c r="AX239" s="730"/>
      <c r="AY239" s="730"/>
      <c r="AZ239" s="730"/>
      <c r="BA239" s="730"/>
      <c r="BB239" s="730"/>
      <c r="BC239" s="730"/>
      <c r="BD239" s="730"/>
      <c r="BE239" s="730"/>
      <c r="BF239" s="730"/>
      <c r="BG239" s="730"/>
      <c r="BH239" s="730"/>
      <c r="BI239" s="730"/>
      <c r="BJ239" s="374"/>
      <c r="BK239" s="712"/>
      <c r="BL239" s="52"/>
      <c r="BM239" s="52"/>
    </row>
    <row r="240" spans="1:65" x14ac:dyDescent="0.3">
      <c r="A240" s="156" t="str">
        <f>'PRESUPUESTO OFICIAL (Entidad)'!B248</f>
        <v>F7,4</v>
      </c>
      <c r="B240" s="111" t="str">
        <f>'PRESUPUESTO OFICIAL (Entidad)'!C248</f>
        <v>Suministro e instalacion de Registro de paso  directo  ½" (bola).</v>
      </c>
      <c r="C240" s="158" t="str">
        <f>'PRESUPUESTO OFICIAL (Entidad)'!D248</f>
        <v>UND</v>
      </c>
      <c r="D240" s="158">
        <f>'PRESUPUESTO OFICIAL (Entidad)'!E248</f>
        <v>1</v>
      </c>
      <c r="E240" s="730"/>
      <c r="F240" s="730"/>
      <c r="G240" s="730"/>
      <c r="H240" s="730"/>
      <c r="I240" s="730"/>
      <c r="J240" s="730"/>
      <c r="K240" s="730"/>
      <c r="L240" s="730"/>
      <c r="M240" s="730"/>
      <c r="N240" s="730"/>
      <c r="O240" s="730"/>
      <c r="P240" s="730"/>
      <c r="Q240" s="730"/>
      <c r="R240" s="730"/>
      <c r="S240" s="730"/>
      <c r="T240" s="730"/>
      <c r="U240" s="730"/>
      <c r="V240" s="730"/>
      <c r="W240" s="730"/>
      <c r="X240" s="730"/>
      <c r="Y240" s="730"/>
      <c r="Z240" s="730"/>
      <c r="AA240" s="730"/>
      <c r="AB240" s="730"/>
      <c r="AC240" s="730"/>
      <c r="AD240" s="730"/>
      <c r="AE240" s="730"/>
      <c r="AF240" s="730"/>
      <c r="AG240" s="730"/>
      <c r="AH240" s="730"/>
      <c r="AI240" s="730"/>
      <c r="AJ240" s="730"/>
      <c r="AK240" s="730"/>
      <c r="AL240" s="730"/>
      <c r="AM240" s="730"/>
      <c r="AN240" s="730"/>
      <c r="AO240" s="730"/>
      <c r="AP240" s="730"/>
      <c r="AQ240" s="730"/>
      <c r="AR240" s="730"/>
      <c r="AS240" s="730"/>
      <c r="AT240" s="730"/>
      <c r="AU240" s="730"/>
      <c r="AV240" s="730"/>
      <c r="AW240" s="730"/>
      <c r="AX240" s="730"/>
      <c r="AY240" s="730"/>
      <c r="AZ240" s="730"/>
      <c r="BA240" s="730"/>
      <c r="BB240" s="730"/>
      <c r="BC240" s="730"/>
      <c r="BD240" s="730"/>
      <c r="BE240" s="730"/>
      <c r="BF240" s="730"/>
      <c r="BG240" s="730"/>
      <c r="BH240" s="730"/>
      <c r="BI240" s="730"/>
      <c r="BJ240" s="374"/>
      <c r="BK240" s="712"/>
      <c r="BL240" s="52"/>
      <c r="BM240" s="52"/>
    </row>
    <row r="241" spans="1:65" x14ac:dyDescent="0.3">
      <c r="A241" s="156" t="str">
        <f>'PRESUPUESTO OFICIAL (Entidad)'!B249</f>
        <v>F7,5</v>
      </c>
      <c r="B241" s="111" t="str">
        <f>'PRESUPUESTO OFICIAL (Entidad)'!C249</f>
        <v>Suministro e instalacion de Acometida general de ½".</v>
      </c>
      <c r="C241" s="158" t="str">
        <f>'PRESUPUESTO OFICIAL (Entidad)'!D249</f>
        <v>UND</v>
      </c>
      <c r="D241" s="158">
        <f>'PRESUPUESTO OFICIAL (Entidad)'!E249</f>
        <v>1</v>
      </c>
      <c r="E241" s="730"/>
      <c r="F241" s="730"/>
      <c r="G241" s="730"/>
      <c r="H241" s="730"/>
      <c r="I241" s="730"/>
      <c r="J241" s="730"/>
      <c r="K241" s="730"/>
      <c r="L241" s="730"/>
      <c r="M241" s="730"/>
      <c r="N241" s="730"/>
      <c r="O241" s="730"/>
      <c r="P241" s="730"/>
      <c r="Q241" s="730"/>
      <c r="R241" s="730"/>
      <c r="S241" s="730"/>
      <c r="T241" s="730"/>
      <c r="U241" s="730"/>
      <c r="V241" s="730"/>
      <c r="W241" s="730"/>
      <c r="X241" s="730"/>
      <c r="Y241" s="730"/>
      <c r="Z241" s="730"/>
      <c r="AA241" s="730"/>
      <c r="AB241" s="730"/>
      <c r="AC241" s="730"/>
      <c r="AD241" s="730"/>
      <c r="AE241" s="730"/>
      <c r="AF241" s="730"/>
      <c r="AG241" s="730"/>
      <c r="AH241" s="730"/>
      <c r="AI241" s="730"/>
      <c r="AJ241" s="730"/>
      <c r="AK241" s="730"/>
      <c r="AL241" s="730"/>
      <c r="AM241" s="730"/>
      <c r="AN241" s="730"/>
      <c r="AO241" s="730"/>
      <c r="AP241" s="730"/>
      <c r="AQ241" s="730"/>
      <c r="AR241" s="730"/>
      <c r="AS241" s="730"/>
      <c r="AT241" s="730"/>
      <c r="AU241" s="730"/>
      <c r="AV241" s="730"/>
      <c r="AW241" s="730"/>
      <c r="AX241" s="730"/>
      <c r="AY241" s="730"/>
      <c r="AZ241" s="730"/>
      <c r="BA241" s="730"/>
      <c r="BB241" s="730"/>
      <c r="BC241" s="730"/>
      <c r="BD241" s="730"/>
      <c r="BE241" s="730"/>
      <c r="BF241" s="730"/>
      <c r="BG241" s="730"/>
      <c r="BH241" s="730"/>
      <c r="BI241" s="730"/>
      <c r="BJ241" s="374"/>
      <c r="BK241" s="712"/>
      <c r="BL241" s="52"/>
      <c r="BM241" s="52"/>
    </row>
    <row r="242" spans="1:65" x14ac:dyDescent="0.3">
      <c r="A242" s="156" t="str">
        <f>'PRESUPUESTO OFICIAL (Entidad)'!B250</f>
        <v>F7,6</v>
      </c>
      <c r="B242" s="111" t="str">
        <f>'PRESUPUESTO OFICIAL (Entidad)'!C250</f>
        <v>Suministro e instalacion de salida llave terminal de  ½".</v>
      </c>
      <c r="C242" s="158" t="str">
        <f>'PRESUPUESTO OFICIAL (Entidad)'!D250</f>
        <v>UND</v>
      </c>
      <c r="D242" s="158">
        <f>'PRESUPUESTO OFICIAL (Entidad)'!E250</f>
        <v>1</v>
      </c>
      <c r="E242" s="730"/>
      <c r="F242" s="730"/>
      <c r="G242" s="730"/>
      <c r="H242" s="730"/>
      <c r="I242" s="730"/>
      <c r="J242" s="730"/>
      <c r="K242" s="730"/>
      <c r="L242" s="730"/>
      <c r="M242" s="730"/>
      <c r="N242" s="730"/>
      <c r="O242" s="730"/>
      <c r="P242" s="730"/>
      <c r="Q242" s="730"/>
      <c r="R242" s="730"/>
      <c r="S242" s="730"/>
      <c r="T242" s="730"/>
      <c r="U242" s="730"/>
      <c r="V242" s="730"/>
      <c r="W242" s="730"/>
      <c r="X242" s="730"/>
      <c r="Y242" s="730"/>
      <c r="Z242" s="730"/>
      <c r="AA242" s="730"/>
      <c r="AB242" s="730"/>
      <c r="AC242" s="730"/>
      <c r="AD242" s="730"/>
      <c r="AE242" s="730"/>
      <c r="AF242" s="730"/>
      <c r="AG242" s="730"/>
      <c r="AH242" s="730"/>
      <c r="AI242" s="730"/>
      <c r="AJ242" s="730"/>
      <c r="AK242" s="730"/>
      <c r="AL242" s="730"/>
      <c r="AM242" s="730"/>
      <c r="AN242" s="730"/>
      <c r="AO242" s="730"/>
      <c r="AP242" s="730"/>
      <c r="AQ242" s="730"/>
      <c r="AR242" s="730"/>
      <c r="AS242" s="730"/>
      <c r="AT242" s="730"/>
      <c r="AU242" s="730"/>
      <c r="AV242" s="730"/>
      <c r="AW242" s="730"/>
      <c r="AX242" s="730"/>
      <c r="AY242" s="730"/>
      <c r="AZ242" s="730"/>
      <c r="BA242" s="730"/>
      <c r="BB242" s="730"/>
      <c r="BC242" s="730"/>
      <c r="BD242" s="730"/>
      <c r="BE242" s="730"/>
      <c r="BF242" s="730"/>
      <c r="BG242" s="730"/>
      <c r="BH242" s="730"/>
      <c r="BI242" s="730"/>
      <c r="BJ242" s="374"/>
      <c r="BK242" s="712"/>
      <c r="BL242" s="52"/>
      <c r="BM242" s="52"/>
    </row>
    <row r="243" spans="1:65" x14ac:dyDescent="0.3">
      <c r="A243" s="156" t="str">
        <f>'PRESUPUESTO OFICIAL (Entidad)'!B251</f>
        <v>F7,7</v>
      </c>
      <c r="B243" s="111" t="str">
        <f>'PRESUPUESTO OFICIAL (Entidad)'!C251</f>
        <v>Suministro e instalación de lavaplatos 60X40 .</v>
      </c>
      <c r="C243" s="158" t="str">
        <f>'PRESUPUESTO OFICIAL (Entidad)'!D251</f>
        <v>UND</v>
      </c>
      <c r="D243" s="158">
        <f>'PRESUPUESTO OFICIAL (Entidad)'!E251</f>
        <v>1</v>
      </c>
      <c r="E243" s="730"/>
      <c r="F243" s="730"/>
      <c r="G243" s="730"/>
      <c r="H243" s="730"/>
      <c r="I243" s="730"/>
      <c r="J243" s="730"/>
      <c r="K243" s="730"/>
      <c r="L243" s="730"/>
      <c r="M243" s="730"/>
      <c r="N243" s="730"/>
      <c r="O243" s="730"/>
      <c r="P243" s="730"/>
      <c r="Q243" s="730"/>
      <c r="R243" s="730"/>
      <c r="S243" s="730"/>
      <c r="T243" s="730"/>
      <c r="U243" s="730"/>
      <c r="V243" s="730"/>
      <c r="W243" s="730"/>
      <c r="X243" s="730"/>
      <c r="Y243" s="730"/>
      <c r="Z243" s="730"/>
      <c r="AA243" s="730"/>
      <c r="AB243" s="730"/>
      <c r="AC243" s="730"/>
      <c r="AD243" s="730"/>
      <c r="AE243" s="730"/>
      <c r="AF243" s="730"/>
      <c r="AG243" s="730"/>
      <c r="AH243" s="730"/>
      <c r="AI243" s="730"/>
      <c r="AJ243" s="730"/>
      <c r="AK243" s="730"/>
      <c r="AL243" s="730"/>
      <c r="AM243" s="730"/>
      <c r="AN243" s="730"/>
      <c r="AO243" s="730"/>
      <c r="AP243" s="730"/>
      <c r="AQ243" s="730"/>
      <c r="AR243" s="730"/>
      <c r="AS243" s="730"/>
      <c r="AT243" s="730"/>
      <c r="AU243" s="730"/>
      <c r="AV243" s="730"/>
      <c r="AW243" s="730"/>
      <c r="AX243" s="730"/>
      <c r="AY243" s="730"/>
      <c r="AZ243" s="730"/>
      <c r="BA243" s="730"/>
      <c r="BB243" s="730"/>
      <c r="BC243" s="730"/>
      <c r="BD243" s="730"/>
      <c r="BE243" s="730"/>
      <c r="BF243" s="730"/>
      <c r="BG243" s="730"/>
      <c r="BH243" s="730"/>
      <c r="BI243" s="730"/>
      <c r="BJ243" s="374"/>
      <c r="BK243" s="712"/>
      <c r="BL243" s="52"/>
      <c r="BM243" s="52"/>
    </row>
    <row r="244" spans="1:65" s="697" customFormat="1" x14ac:dyDescent="0.3">
      <c r="A244" s="667" t="str">
        <f>'PRESUPUESTO OFICIAL (Entidad)'!B252</f>
        <v>F8</v>
      </c>
      <c r="B244" s="700" t="str">
        <f>'PRESUPUESTO OFICIAL (Entidad)'!C252</f>
        <v>PAÑETES</v>
      </c>
      <c r="C244" s="701"/>
      <c r="D244" s="701"/>
      <c r="E244" s="734"/>
      <c r="F244" s="734"/>
      <c r="G244" s="734"/>
      <c r="H244" s="734"/>
      <c r="I244" s="734"/>
      <c r="J244" s="734"/>
      <c r="K244" s="734"/>
      <c r="L244" s="734"/>
      <c r="M244" s="734"/>
      <c r="N244" s="734"/>
      <c r="O244" s="734"/>
      <c r="P244" s="734"/>
      <c r="Q244" s="734"/>
      <c r="R244" s="734"/>
      <c r="S244" s="734"/>
      <c r="T244" s="734"/>
      <c r="U244" s="734"/>
      <c r="V244" s="734"/>
      <c r="W244" s="734"/>
      <c r="X244" s="734"/>
      <c r="Y244" s="734"/>
      <c r="Z244" s="734"/>
      <c r="AA244" s="734"/>
      <c r="AB244" s="734"/>
      <c r="AC244" s="734"/>
      <c r="AD244" s="734"/>
      <c r="AE244" s="734"/>
      <c r="AF244" s="734"/>
      <c r="AG244" s="734"/>
      <c r="AH244" s="734"/>
      <c r="AI244" s="734"/>
      <c r="AJ244" s="734"/>
      <c r="AK244" s="734"/>
      <c r="AL244" s="734"/>
      <c r="AM244" s="734"/>
      <c r="AN244" s="734"/>
      <c r="AO244" s="734"/>
      <c r="AP244" s="734"/>
      <c r="AQ244" s="734"/>
      <c r="AR244" s="734"/>
      <c r="AS244" s="734"/>
      <c r="AT244" s="734"/>
      <c r="AU244" s="734"/>
      <c r="AV244" s="734"/>
      <c r="AW244" s="734"/>
      <c r="AX244" s="734"/>
      <c r="AY244" s="734"/>
      <c r="AZ244" s="734"/>
      <c r="BA244" s="734"/>
      <c r="BB244" s="734"/>
      <c r="BC244" s="734"/>
      <c r="BD244" s="734"/>
      <c r="BE244" s="734"/>
      <c r="BF244" s="734"/>
      <c r="BG244" s="734"/>
      <c r="BH244" s="734"/>
      <c r="BI244" s="734"/>
      <c r="BJ244" s="680"/>
      <c r="BK244" s="696"/>
      <c r="BL244" s="696"/>
      <c r="BM244" s="696"/>
    </row>
    <row r="245" spans="1:65" ht="15.75" customHeight="1" x14ac:dyDescent="0.3">
      <c r="A245" s="156" t="str">
        <f>'PRESUPUESTO OFICIAL (Entidad)'!B253</f>
        <v>F8,1</v>
      </c>
      <c r="B245" s="111" t="str">
        <f>'PRESUPUESTO OFICIAL (Entidad)'!C253</f>
        <v>Suministro y aplicación de Pañete muros  1:4 Incluye Filos, carteras y Dilataciones.</v>
      </c>
      <c r="C245" s="158" t="str">
        <f>'PRESUPUESTO OFICIAL (Entidad)'!D253</f>
        <v>M2</v>
      </c>
      <c r="D245" s="158">
        <f>'PRESUPUESTO OFICIAL (Entidad)'!E253</f>
        <v>133.34</v>
      </c>
      <c r="E245" s="730"/>
      <c r="F245" s="730"/>
      <c r="G245" s="730"/>
      <c r="H245" s="730"/>
      <c r="I245" s="730"/>
      <c r="J245" s="730"/>
      <c r="K245" s="730"/>
      <c r="L245" s="730"/>
      <c r="M245" s="730"/>
      <c r="N245" s="730"/>
      <c r="O245" s="730"/>
      <c r="P245" s="730"/>
      <c r="Q245" s="730"/>
      <c r="R245" s="730"/>
      <c r="S245" s="730"/>
      <c r="T245" s="730"/>
      <c r="U245" s="730"/>
      <c r="V245" s="730"/>
      <c r="W245" s="730"/>
      <c r="X245" s="730"/>
      <c r="Y245" s="730"/>
      <c r="Z245" s="730"/>
      <c r="AA245" s="730"/>
      <c r="AB245" s="730"/>
      <c r="AC245" s="730"/>
      <c r="AD245" s="730"/>
      <c r="AE245" s="730"/>
      <c r="AF245" s="730"/>
      <c r="AG245" s="730"/>
      <c r="AH245" s="730"/>
      <c r="AI245" s="730"/>
      <c r="AJ245" s="730"/>
      <c r="AK245" s="730"/>
      <c r="AL245" s="730"/>
      <c r="AM245" s="730"/>
      <c r="AN245" s="730"/>
      <c r="AO245" s="730"/>
      <c r="AP245" s="730"/>
      <c r="AQ245" s="730"/>
      <c r="AR245" s="730"/>
      <c r="AS245" s="730"/>
      <c r="AT245" s="730"/>
      <c r="AU245" s="730"/>
      <c r="AV245" s="730"/>
      <c r="AW245" s="730"/>
      <c r="AX245" s="730"/>
      <c r="AY245" s="730"/>
      <c r="AZ245" s="730"/>
      <c r="BA245" s="730"/>
      <c r="BB245" s="730"/>
      <c r="BC245" s="730"/>
      <c r="BD245" s="730"/>
      <c r="BE245" s="730"/>
      <c r="BF245" s="730"/>
      <c r="BG245" s="730"/>
      <c r="BH245" s="730"/>
      <c r="BI245" s="730"/>
      <c r="BJ245" s="374"/>
      <c r="BK245" s="712"/>
      <c r="BL245" s="52"/>
      <c r="BM245" s="52"/>
    </row>
    <row r="246" spans="1:65" s="697" customFormat="1" x14ac:dyDescent="0.3">
      <c r="A246" s="667" t="str">
        <f>'PRESUPUESTO OFICIAL (Entidad)'!B254</f>
        <v>F9</v>
      </c>
      <c r="B246" s="700" t="str">
        <f>'PRESUPUESTO OFICIAL (Entidad)'!C254</f>
        <v>PISOS Y ENCHAPE</v>
      </c>
      <c r="C246" s="701"/>
      <c r="D246" s="701"/>
      <c r="E246" s="734"/>
      <c r="F246" s="734"/>
      <c r="G246" s="734"/>
      <c r="H246" s="734"/>
      <c r="I246" s="734"/>
      <c r="J246" s="734"/>
      <c r="K246" s="734"/>
      <c r="L246" s="734"/>
      <c r="M246" s="734"/>
      <c r="N246" s="734"/>
      <c r="O246" s="734"/>
      <c r="P246" s="734"/>
      <c r="Q246" s="734"/>
      <c r="R246" s="734"/>
      <c r="S246" s="734"/>
      <c r="T246" s="734"/>
      <c r="U246" s="734"/>
      <c r="V246" s="734"/>
      <c r="W246" s="734"/>
      <c r="X246" s="734"/>
      <c r="Y246" s="734"/>
      <c r="Z246" s="734"/>
      <c r="AA246" s="734"/>
      <c r="AB246" s="734"/>
      <c r="AC246" s="734"/>
      <c r="AD246" s="734"/>
      <c r="AE246" s="734"/>
      <c r="AF246" s="734"/>
      <c r="AG246" s="734"/>
      <c r="AH246" s="734"/>
      <c r="AI246" s="734"/>
      <c r="AJ246" s="734"/>
      <c r="AK246" s="734"/>
      <c r="AL246" s="734"/>
      <c r="AM246" s="734"/>
      <c r="AN246" s="734"/>
      <c r="AO246" s="734"/>
      <c r="AP246" s="734"/>
      <c r="AQ246" s="734"/>
      <c r="AR246" s="734"/>
      <c r="AS246" s="734"/>
      <c r="AT246" s="734"/>
      <c r="AU246" s="734"/>
      <c r="AV246" s="734"/>
      <c r="AW246" s="734"/>
      <c r="AX246" s="734"/>
      <c r="AY246" s="734"/>
      <c r="AZ246" s="734"/>
      <c r="BA246" s="734"/>
      <c r="BB246" s="734"/>
      <c r="BC246" s="734"/>
      <c r="BD246" s="734"/>
      <c r="BE246" s="734"/>
      <c r="BF246" s="734"/>
      <c r="BG246" s="734"/>
      <c r="BH246" s="734"/>
      <c r="BI246" s="734"/>
      <c r="BJ246" s="680"/>
      <c r="BK246" s="696"/>
      <c r="BL246" s="696"/>
      <c r="BM246" s="696"/>
    </row>
    <row r="247" spans="1:65" x14ac:dyDescent="0.3">
      <c r="A247" s="156" t="str">
        <f>'PRESUPUESTO OFICIAL (Entidad)'!B255</f>
        <v>F9,1</v>
      </c>
      <c r="B247" s="111" t="str">
        <f>'PRESUPUESTO OFICIAL (Entidad)'!C255</f>
        <v>Construccion de Placa en concreto de 3000 PSI e=0,10 m.</v>
      </c>
      <c r="C247" s="158" t="str">
        <f>'PRESUPUESTO OFICIAL (Entidad)'!D255</f>
        <v>M2</v>
      </c>
      <c r="D247" s="158">
        <f>'PRESUPUESTO OFICIAL (Entidad)'!E255</f>
        <v>43.01</v>
      </c>
      <c r="E247" s="730"/>
      <c r="F247" s="730"/>
      <c r="G247" s="730"/>
      <c r="H247" s="730"/>
      <c r="I247" s="730"/>
      <c r="J247" s="730"/>
      <c r="K247" s="730"/>
      <c r="L247" s="730"/>
      <c r="M247" s="730"/>
      <c r="N247" s="730"/>
      <c r="O247" s="730"/>
      <c r="P247" s="730"/>
      <c r="Q247" s="730"/>
      <c r="R247" s="730"/>
      <c r="S247" s="730"/>
      <c r="T247" s="730"/>
      <c r="U247" s="730"/>
      <c r="V247" s="730"/>
      <c r="W247" s="730"/>
      <c r="X247" s="730"/>
      <c r="Y247" s="730"/>
      <c r="Z247" s="730"/>
      <c r="AA247" s="730"/>
      <c r="AB247" s="730"/>
      <c r="AC247" s="730"/>
      <c r="AD247" s="730"/>
      <c r="AE247" s="730"/>
      <c r="AF247" s="730"/>
      <c r="AG247" s="730"/>
      <c r="AH247" s="730"/>
      <c r="AI247" s="730"/>
      <c r="AJ247" s="730"/>
      <c r="AK247" s="730"/>
      <c r="AL247" s="730"/>
      <c r="AM247" s="730"/>
      <c r="AN247" s="730"/>
      <c r="AO247" s="730"/>
      <c r="AP247" s="730"/>
      <c r="AQ247" s="730"/>
      <c r="AR247" s="730"/>
      <c r="AS247" s="730"/>
      <c r="AT247" s="730"/>
      <c r="AU247" s="730"/>
      <c r="AV247" s="730"/>
      <c r="AW247" s="730"/>
      <c r="AX247" s="730"/>
      <c r="AY247" s="730"/>
      <c r="AZ247" s="730"/>
      <c r="BA247" s="730"/>
      <c r="BB247" s="730"/>
      <c r="BC247" s="730"/>
      <c r="BD247" s="730"/>
      <c r="BE247" s="730"/>
      <c r="BF247" s="730"/>
      <c r="BG247" s="730"/>
      <c r="BH247" s="730"/>
      <c r="BI247" s="730"/>
      <c r="BJ247" s="374"/>
      <c r="BK247" s="712"/>
      <c r="BL247" s="52"/>
      <c r="BM247" s="52"/>
    </row>
    <row r="248" spans="1:65" x14ac:dyDescent="0.3">
      <c r="A248" s="156" t="str">
        <f>'PRESUPUESTO OFICIAL (Entidad)'!B256</f>
        <v>F9,2</v>
      </c>
      <c r="B248" s="111" t="str">
        <f>'PRESUPUESTO OFICIAL (Entidad)'!C256</f>
        <v>Alistado de piso en mortero e= 0,05m.</v>
      </c>
      <c r="C248" s="158" t="str">
        <f>'PRESUPUESTO OFICIAL (Entidad)'!D256</f>
        <v>M2</v>
      </c>
      <c r="D248" s="158">
        <f>'PRESUPUESTO OFICIAL (Entidad)'!E256</f>
        <v>50.36</v>
      </c>
      <c r="E248" s="730"/>
      <c r="F248" s="730"/>
      <c r="G248" s="730"/>
      <c r="H248" s="730"/>
      <c r="I248" s="730"/>
      <c r="J248" s="730"/>
      <c r="K248" s="730"/>
      <c r="L248" s="730"/>
      <c r="M248" s="730"/>
      <c r="N248" s="730"/>
      <c r="O248" s="730"/>
      <c r="P248" s="730"/>
      <c r="Q248" s="730"/>
      <c r="R248" s="730"/>
      <c r="S248" s="730"/>
      <c r="T248" s="730"/>
      <c r="U248" s="730"/>
      <c r="V248" s="730"/>
      <c r="W248" s="730"/>
      <c r="X248" s="730"/>
      <c r="Y248" s="730"/>
      <c r="Z248" s="730"/>
      <c r="AA248" s="730"/>
      <c r="AB248" s="730"/>
      <c r="AC248" s="730"/>
      <c r="AD248" s="730"/>
      <c r="AE248" s="730"/>
      <c r="AF248" s="730"/>
      <c r="AG248" s="730"/>
      <c r="AH248" s="730"/>
      <c r="AI248" s="730"/>
      <c r="AJ248" s="730"/>
      <c r="AK248" s="730"/>
      <c r="AL248" s="730"/>
      <c r="AM248" s="730"/>
      <c r="AN248" s="730"/>
      <c r="AO248" s="730"/>
      <c r="AP248" s="730"/>
      <c r="AQ248" s="730"/>
      <c r="AR248" s="730"/>
      <c r="AS248" s="730"/>
      <c r="AT248" s="730"/>
      <c r="AU248" s="730"/>
      <c r="AV248" s="730"/>
      <c r="AW248" s="730"/>
      <c r="AX248" s="730"/>
      <c r="AY248" s="730"/>
      <c r="AZ248" s="730"/>
      <c r="BA248" s="730"/>
      <c r="BB248" s="730"/>
      <c r="BC248" s="730"/>
      <c r="BD248" s="730"/>
      <c r="BE248" s="730"/>
      <c r="BF248" s="730"/>
      <c r="BG248" s="730"/>
      <c r="BH248" s="730"/>
      <c r="BI248" s="730"/>
      <c r="BJ248" s="374"/>
      <c r="BK248" s="712"/>
      <c r="BL248" s="52"/>
      <c r="BM248" s="52"/>
    </row>
    <row r="249" spans="1:65" x14ac:dyDescent="0.3">
      <c r="A249" s="156" t="str">
        <f>'PRESUPUESTO OFICIAL (Entidad)'!B257</f>
        <v>F9,3</v>
      </c>
      <c r="B249" s="111" t="str">
        <f>'PRESUPUESTO OFICIAL (Entidad)'!C257</f>
        <v>Suministro e instalacion de Piso en ceramica t-5</v>
      </c>
      <c r="C249" s="158" t="str">
        <f>'PRESUPUESTO OFICIAL (Entidad)'!D257</f>
        <v>M2</v>
      </c>
      <c r="D249" s="158">
        <f>'PRESUPUESTO OFICIAL (Entidad)'!E257</f>
        <v>50.36</v>
      </c>
      <c r="E249" s="730"/>
      <c r="F249" s="730"/>
      <c r="G249" s="730"/>
      <c r="H249" s="730"/>
      <c r="I249" s="730"/>
      <c r="J249" s="730"/>
      <c r="K249" s="730"/>
      <c r="L249" s="730"/>
      <c r="M249" s="730"/>
      <c r="N249" s="730"/>
      <c r="O249" s="730"/>
      <c r="P249" s="730"/>
      <c r="Q249" s="730"/>
      <c r="R249" s="730"/>
      <c r="S249" s="730"/>
      <c r="T249" s="730"/>
      <c r="U249" s="730"/>
      <c r="V249" s="730"/>
      <c r="W249" s="730"/>
      <c r="X249" s="730"/>
      <c r="Y249" s="730"/>
      <c r="Z249" s="730"/>
      <c r="AA249" s="730"/>
      <c r="AB249" s="730"/>
      <c r="AC249" s="730"/>
      <c r="AD249" s="730"/>
      <c r="AE249" s="730"/>
      <c r="AF249" s="730"/>
      <c r="AG249" s="730"/>
      <c r="AH249" s="730"/>
      <c r="AI249" s="730"/>
      <c r="AJ249" s="730"/>
      <c r="AK249" s="730"/>
      <c r="AL249" s="730"/>
      <c r="AM249" s="730"/>
      <c r="AN249" s="730"/>
      <c r="AO249" s="730"/>
      <c r="AP249" s="730"/>
      <c r="AQ249" s="730"/>
      <c r="AR249" s="730"/>
      <c r="AS249" s="730"/>
      <c r="AT249" s="730"/>
      <c r="AU249" s="730"/>
      <c r="AV249" s="730"/>
      <c r="AW249" s="730"/>
      <c r="AX249" s="730"/>
      <c r="AY249" s="730"/>
      <c r="AZ249" s="730"/>
      <c r="BA249" s="730"/>
      <c r="BB249" s="730"/>
      <c r="BC249" s="730"/>
      <c r="BD249" s="730"/>
      <c r="BE249" s="730"/>
      <c r="BF249" s="730"/>
      <c r="BG249" s="730"/>
      <c r="BH249" s="730"/>
      <c r="BI249" s="730"/>
      <c r="BJ249" s="374"/>
      <c r="BK249" s="712"/>
      <c r="BL249" s="52"/>
      <c r="BM249" s="52"/>
    </row>
    <row r="250" spans="1:65" x14ac:dyDescent="0.3">
      <c r="A250" s="156" t="str">
        <f>'PRESUPUESTO OFICIAL (Entidad)'!B258</f>
        <v>F9,4</v>
      </c>
      <c r="B250" s="111" t="str">
        <f>'PRESUPUESTO OFICIAL (Entidad)'!C258</f>
        <v>Suministro e instalacion de Guardaescoba en cerámica   T-5.</v>
      </c>
      <c r="C250" s="158" t="str">
        <f>'PRESUPUESTO OFICIAL (Entidad)'!D258</f>
        <v>ML</v>
      </c>
      <c r="D250" s="158">
        <f>'PRESUPUESTO OFICIAL (Entidad)'!E258</f>
        <v>31.65</v>
      </c>
      <c r="E250" s="730"/>
      <c r="F250" s="730"/>
      <c r="G250" s="730"/>
      <c r="H250" s="730"/>
      <c r="I250" s="730"/>
      <c r="J250" s="730"/>
      <c r="K250" s="730"/>
      <c r="L250" s="730"/>
      <c r="M250" s="730"/>
      <c r="N250" s="730"/>
      <c r="O250" s="730"/>
      <c r="P250" s="730"/>
      <c r="Q250" s="730"/>
      <c r="R250" s="730"/>
      <c r="S250" s="730"/>
      <c r="T250" s="730"/>
      <c r="U250" s="730"/>
      <c r="V250" s="730"/>
      <c r="W250" s="730"/>
      <c r="X250" s="730"/>
      <c r="Y250" s="730"/>
      <c r="Z250" s="730"/>
      <c r="AA250" s="730"/>
      <c r="AB250" s="730"/>
      <c r="AC250" s="730"/>
      <c r="AD250" s="730"/>
      <c r="AE250" s="730"/>
      <c r="AF250" s="730"/>
      <c r="AG250" s="730"/>
      <c r="AH250" s="730"/>
      <c r="AI250" s="730"/>
      <c r="AJ250" s="730"/>
      <c r="AK250" s="730"/>
      <c r="AL250" s="730"/>
      <c r="AM250" s="730"/>
      <c r="AN250" s="730"/>
      <c r="AO250" s="730"/>
      <c r="AP250" s="730"/>
      <c r="AQ250" s="730"/>
      <c r="AR250" s="730"/>
      <c r="AS250" s="730"/>
      <c r="AT250" s="730"/>
      <c r="AU250" s="730"/>
      <c r="AV250" s="730"/>
      <c r="AW250" s="730"/>
      <c r="AX250" s="730"/>
      <c r="AY250" s="730"/>
      <c r="AZ250" s="730"/>
      <c r="BA250" s="730"/>
      <c r="BB250" s="730"/>
      <c r="BC250" s="730"/>
      <c r="BD250" s="730"/>
      <c r="BE250" s="730"/>
      <c r="BF250" s="730"/>
      <c r="BG250" s="730"/>
      <c r="BH250" s="730"/>
      <c r="BI250" s="730"/>
      <c r="BJ250" s="374"/>
      <c r="BK250" s="712"/>
      <c r="BL250" s="52"/>
      <c r="BM250" s="52"/>
    </row>
    <row r="251" spans="1:65" s="697" customFormat="1" x14ac:dyDescent="0.3">
      <c r="A251" s="667" t="str">
        <f>'PRESUPUESTO OFICIAL (Entidad)'!B259</f>
        <v>F10</v>
      </c>
      <c r="B251" s="700" t="str">
        <f>'PRESUPUESTO OFICIAL (Entidad)'!C259</f>
        <v>CARPINTERÍA METÁLICA</v>
      </c>
      <c r="C251" s="701"/>
      <c r="D251" s="701"/>
      <c r="E251" s="734"/>
      <c r="F251" s="734"/>
      <c r="G251" s="734"/>
      <c r="H251" s="734"/>
      <c r="I251" s="734"/>
      <c r="J251" s="734"/>
      <c r="K251" s="734"/>
      <c r="L251" s="734"/>
      <c r="M251" s="734"/>
      <c r="N251" s="734"/>
      <c r="O251" s="734"/>
      <c r="P251" s="734"/>
      <c r="Q251" s="734"/>
      <c r="R251" s="734"/>
      <c r="S251" s="734"/>
      <c r="T251" s="734"/>
      <c r="U251" s="734"/>
      <c r="V251" s="734"/>
      <c r="W251" s="734"/>
      <c r="X251" s="734"/>
      <c r="Y251" s="734"/>
      <c r="Z251" s="734"/>
      <c r="AA251" s="734"/>
      <c r="AB251" s="734"/>
      <c r="AC251" s="734"/>
      <c r="AD251" s="734"/>
      <c r="AE251" s="734"/>
      <c r="AF251" s="734"/>
      <c r="AG251" s="734"/>
      <c r="AH251" s="734"/>
      <c r="AI251" s="734"/>
      <c r="AJ251" s="734"/>
      <c r="AK251" s="734"/>
      <c r="AL251" s="734"/>
      <c r="AM251" s="734"/>
      <c r="AN251" s="734"/>
      <c r="AO251" s="734"/>
      <c r="AP251" s="734"/>
      <c r="AQ251" s="734"/>
      <c r="AR251" s="734"/>
      <c r="AS251" s="734"/>
      <c r="AT251" s="734"/>
      <c r="AU251" s="734"/>
      <c r="AV251" s="734"/>
      <c r="AW251" s="734"/>
      <c r="AX251" s="734"/>
      <c r="AY251" s="734"/>
      <c r="AZ251" s="734"/>
      <c r="BA251" s="734"/>
      <c r="BB251" s="734"/>
      <c r="BC251" s="734"/>
      <c r="BD251" s="734"/>
      <c r="BE251" s="734"/>
      <c r="BF251" s="734"/>
      <c r="BG251" s="734"/>
      <c r="BH251" s="734"/>
      <c r="BI251" s="734"/>
      <c r="BJ251" s="680"/>
      <c r="BK251" s="696"/>
      <c r="BL251" s="696"/>
      <c r="BM251" s="696"/>
    </row>
    <row r="252" spans="1:65" ht="15.75" customHeight="1" x14ac:dyDescent="0.3">
      <c r="A252" s="156" t="str">
        <f>'PRESUPUESTO OFICIAL (Entidad)'!B260</f>
        <v>F10,1</v>
      </c>
      <c r="B252" s="111" t="str">
        <f>'PRESUPUESTO OFICIAL (Entidad)'!C260</f>
        <v xml:space="preserve">Suministro e instalación ventana en lamina C.20 con vidrio 4mm Inc. anticorrosivo + pintura y todo lo necesario para su correcto funcionamiento. </v>
      </c>
      <c r="C252" s="158" t="str">
        <f>'PRESUPUESTO OFICIAL (Entidad)'!D260</f>
        <v>M2</v>
      </c>
      <c r="D252" s="158">
        <f>'PRESUPUESTO OFICIAL (Entidad)'!E260</f>
        <v>3.84</v>
      </c>
      <c r="E252" s="730"/>
      <c r="F252" s="730"/>
      <c r="G252" s="730"/>
      <c r="H252" s="730"/>
      <c r="I252" s="730"/>
      <c r="J252" s="730"/>
      <c r="K252" s="730"/>
      <c r="L252" s="730"/>
      <c r="M252" s="730"/>
      <c r="N252" s="730"/>
      <c r="O252" s="730"/>
      <c r="P252" s="730"/>
      <c r="Q252" s="730"/>
      <c r="R252" s="730"/>
      <c r="S252" s="730"/>
      <c r="T252" s="730"/>
      <c r="U252" s="730"/>
      <c r="V252" s="730"/>
      <c r="W252" s="730"/>
      <c r="X252" s="730"/>
      <c r="Y252" s="730"/>
      <c r="Z252" s="730"/>
      <c r="AA252" s="730"/>
      <c r="AB252" s="730"/>
      <c r="AC252" s="730"/>
      <c r="AD252" s="730"/>
      <c r="AE252" s="730"/>
      <c r="AF252" s="730"/>
      <c r="AG252" s="730"/>
      <c r="AH252" s="730"/>
      <c r="AI252" s="730"/>
      <c r="AJ252" s="730"/>
      <c r="AK252" s="730"/>
      <c r="AL252" s="730"/>
      <c r="AM252" s="730"/>
      <c r="AN252" s="730"/>
      <c r="AO252" s="730"/>
      <c r="AP252" s="730"/>
      <c r="AQ252" s="730"/>
      <c r="AR252" s="730"/>
      <c r="AS252" s="730"/>
      <c r="AT252" s="730"/>
      <c r="AU252" s="730"/>
      <c r="AV252" s="730"/>
      <c r="AW252" s="730"/>
      <c r="AX252" s="730"/>
      <c r="AY252" s="730"/>
      <c r="AZ252" s="730"/>
      <c r="BA252" s="730"/>
      <c r="BB252" s="730"/>
      <c r="BC252" s="730"/>
      <c r="BD252" s="730"/>
      <c r="BE252" s="730"/>
      <c r="BF252" s="730"/>
      <c r="BG252" s="730"/>
      <c r="BH252" s="730"/>
      <c r="BI252" s="730"/>
      <c r="BJ252" s="374"/>
      <c r="BK252" s="52"/>
      <c r="BL252" s="712"/>
      <c r="BM252" s="52"/>
    </row>
    <row r="253" spans="1:65" ht="15.75" customHeight="1" x14ac:dyDescent="0.3">
      <c r="A253" s="156" t="str">
        <f>'PRESUPUESTO OFICIAL (Entidad)'!B261</f>
        <v>F10,2</v>
      </c>
      <c r="B253" s="111" t="str">
        <f>'PRESUPUESTO OFICIAL (Entidad)'!C261</f>
        <v>Suministro e instalación de Marco y puerta metálicos lamina C. R. cal. 20, de 1,00x2.00 m. Incluye anticorrosivo y pintura.</v>
      </c>
      <c r="C253" s="158" t="str">
        <f>'PRESUPUESTO OFICIAL (Entidad)'!D261</f>
        <v>UND</v>
      </c>
      <c r="D253" s="158">
        <f>'PRESUPUESTO OFICIAL (Entidad)'!E261</f>
        <v>1</v>
      </c>
      <c r="E253" s="730"/>
      <c r="F253" s="730"/>
      <c r="G253" s="730"/>
      <c r="H253" s="730"/>
      <c r="I253" s="730"/>
      <c r="J253" s="730"/>
      <c r="K253" s="730"/>
      <c r="L253" s="730"/>
      <c r="M253" s="730"/>
      <c r="N253" s="730"/>
      <c r="O253" s="730"/>
      <c r="P253" s="730"/>
      <c r="Q253" s="730"/>
      <c r="R253" s="730"/>
      <c r="S253" s="730"/>
      <c r="T253" s="730"/>
      <c r="U253" s="730"/>
      <c r="V253" s="730"/>
      <c r="W253" s="730"/>
      <c r="X253" s="730"/>
      <c r="Y253" s="730"/>
      <c r="Z253" s="730"/>
      <c r="AA253" s="730"/>
      <c r="AB253" s="730"/>
      <c r="AC253" s="730"/>
      <c r="AD253" s="730"/>
      <c r="AE253" s="730"/>
      <c r="AF253" s="730"/>
      <c r="AG253" s="730"/>
      <c r="AH253" s="730"/>
      <c r="AI253" s="730"/>
      <c r="AJ253" s="730"/>
      <c r="AK253" s="730"/>
      <c r="AL253" s="730"/>
      <c r="AM253" s="730"/>
      <c r="AN253" s="730"/>
      <c r="AO253" s="730"/>
      <c r="AP253" s="730"/>
      <c r="AQ253" s="730"/>
      <c r="AR253" s="730"/>
      <c r="AS253" s="730"/>
      <c r="AT253" s="730"/>
      <c r="AU253" s="730"/>
      <c r="AV253" s="730"/>
      <c r="AW253" s="730"/>
      <c r="AX253" s="730"/>
      <c r="AY253" s="730"/>
      <c r="AZ253" s="730"/>
      <c r="BA253" s="730"/>
      <c r="BB253" s="730"/>
      <c r="BC253" s="730"/>
      <c r="BD253" s="730"/>
      <c r="BE253" s="730"/>
      <c r="BF253" s="730"/>
      <c r="BG253" s="730"/>
      <c r="BH253" s="730"/>
      <c r="BI253" s="730"/>
      <c r="BJ253" s="374"/>
      <c r="BK253" s="52"/>
      <c r="BL253" s="712"/>
      <c r="BM253" s="52"/>
    </row>
    <row r="254" spans="1:65" s="697" customFormat="1" x14ac:dyDescent="0.3">
      <c r="A254" s="667" t="str">
        <f>'PRESUPUESTO OFICIAL (Entidad)'!B262</f>
        <v>F11</v>
      </c>
      <c r="B254" s="700" t="str">
        <f>'PRESUPUESTO OFICIAL (Entidad)'!C262</f>
        <v>PINTURA GENERAL Y ACABADOS</v>
      </c>
      <c r="C254" s="701"/>
      <c r="D254" s="701"/>
      <c r="E254" s="734"/>
      <c r="F254" s="734"/>
      <c r="G254" s="734"/>
      <c r="H254" s="734"/>
      <c r="I254" s="734"/>
      <c r="J254" s="734"/>
      <c r="K254" s="734"/>
      <c r="L254" s="734"/>
      <c r="M254" s="734"/>
      <c r="N254" s="734"/>
      <c r="O254" s="734"/>
      <c r="P254" s="734"/>
      <c r="Q254" s="734"/>
      <c r="R254" s="734"/>
      <c r="S254" s="734"/>
      <c r="T254" s="734"/>
      <c r="U254" s="734"/>
      <c r="V254" s="734"/>
      <c r="W254" s="734"/>
      <c r="X254" s="734"/>
      <c r="Y254" s="734"/>
      <c r="Z254" s="734"/>
      <c r="AA254" s="734"/>
      <c r="AB254" s="734"/>
      <c r="AC254" s="734"/>
      <c r="AD254" s="734"/>
      <c r="AE254" s="734"/>
      <c r="AF254" s="734"/>
      <c r="AG254" s="734"/>
      <c r="AH254" s="734"/>
      <c r="AI254" s="734"/>
      <c r="AJ254" s="734"/>
      <c r="AK254" s="734"/>
      <c r="AL254" s="734"/>
      <c r="AM254" s="734"/>
      <c r="AN254" s="734"/>
      <c r="AO254" s="734"/>
      <c r="AP254" s="734"/>
      <c r="AQ254" s="734"/>
      <c r="AR254" s="734"/>
      <c r="AS254" s="734"/>
      <c r="AT254" s="734"/>
      <c r="AU254" s="734"/>
      <c r="AV254" s="734"/>
      <c r="AW254" s="734"/>
      <c r="AX254" s="734"/>
      <c r="AY254" s="734"/>
      <c r="AZ254" s="734"/>
      <c r="BA254" s="734"/>
      <c r="BB254" s="734"/>
      <c r="BC254" s="734"/>
      <c r="BD254" s="734"/>
      <c r="BE254" s="734"/>
      <c r="BF254" s="734"/>
      <c r="BG254" s="734"/>
      <c r="BH254" s="734"/>
      <c r="BI254" s="734"/>
      <c r="BJ254" s="680"/>
      <c r="BK254" s="696"/>
      <c r="BL254" s="696"/>
      <c r="BM254" s="696"/>
    </row>
    <row r="255" spans="1:65" ht="15.75" customHeight="1" x14ac:dyDescent="0.3">
      <c r="A255" s="156" t="str">
        <f>'PRESUPUESTO OFICIAL (Entidad)'!B263</f>
        <v>F11,1</v>
      </c>
      <c r="B255" s="111" t="str">
        <f>'PRESUPUESTO OFICIAL (Entidad)'!C263</f>
        <v>Suministro y aplicación de pintura de Correa en perfil metálica .04x.08 mts Cal. 18. Existente (Incluye lijada de perfil)</v>
      </c>
      <c r="C255" s="158" t="str">
        <f>'PRESUPUESTO OFICIAL (Entidad)'!D263</f>
        <v>ML</v>
      </c>
      <c r="D255" s="158">
        <f>'PRESUPUESTO OFICIAL (Entidad)'!E263</f>
        <v>58.8</v>
      </c>
      <c r="E255" s="730"/>
      <c r="F255" s="730"/>
      <c r="G255" s="730"/>
      <c r="H255" s="730"/>
      <c r="I255" s="730"/>
      <c r="J255" s="730"/>
      <c r="K255" s="730"/>
      <c r="L255" s="730"/>
      <c r="M255" s="730"/>
      <c r="N255" s="730"/>
      <c r="O255" s="730"/>
      <c r="P255" s="730"/>
      <c r="Q255" s="730"/>
      <c r="R255" s="730"/>
      <c r="S255" s="730"/>
      <c r="T255" s="730"/>
      <c r="U255" s="730"/>
      <c r="V255" s="730"/>
      <c r="W255" s="730"/>
      <c r="X255" s="730"/>
      <c r="Y255" s="730"/>
      <c r="Z255" s="730"/>
      <c r="AA255" s="730"/>
      <c r="AB255" s="730"/>
      <c r="AC255" s="730"/>
      <c r="AD255" s="730"/>
      <c r="AE255" s="730"/>
      <c r="AF255" s="730"/>
      <c r="AG255" s="730"/>
      <c r="AH255" s="730"/>
      <c r="AI255" s="730"/>
      <c r="AJ255" s="730"/>
      <c r="AK255" s="730"/>
      <c r="AL255" s="730"/>
      <c r="AM255" s="730"/>
      <c r="AN255" s="730"/>
      <c r="AO255" s="730"/>
      <c r="AP255" s="730"/>
      <c r="AQ255" s="730"/>
      <c r="AR255" s="730"/>
      <c r="AS255" s="730"/>
      <c r="AT255" s="730"/>
      <c r="AU255" s="730"/>
      <c r="AV255" s="730"/>
      <c r="AW255" s="730"/>
      <c r="AX255" s="730"/>
      <c r="AY255" s="730"/>
      <c r="AZ255" s="730"/>
      <c r="BA255" s="730"/>
      <c r="BB255" s="730"/>
      <c r="BC255" s="730"/>
      <c r="BD255" s="730"/>
      <c r="BE255" s="730"/>
      <c r="BF255" s="730"/>
      <c r="BG255" s="730"/>
      <c r="BH255" s="730"/>
      <c r="BI255" s="730"/>
      <c r="BJ255" s="374"/>
      <c r="BK255" s="52"/>
      <c r="BL255" s="52"/>
      <c r="BM255" s="712"/>
    </row>
    <row r="256" spans="1:65" x14ac:dyDescent="0.3">
      <c r="A256" s="156" t="str">
        <f>'PRESUPUESTO OFICIAL (Entidad)'!B264</f>
        <v>F11,2</v>
      </c>
      <c r="B256" s="111" t="str">
        <f>'PRESUPUESTO OFICIAL (Entidad)'!C264</f>
        <v>Suministro y aplicación de pintura de cerchal metálica existente. (Incluye lijada)</v>
      </c>
      <c r="C256" s="158" t="str">
        <f>'PRESUPUESTO OFICIAL (Entidad)'!D264</f>
        <v>ML</v>
      </c>
      <c r="D256" s="158">
        <f>'PRESUPUESTO OFICIAL (Entidad)'!E264</f>
        <v>7.77</v>
      </c>
      <c r="E256" s="730"/>
      <c r="F256" s="730"/>
      <c r="G256" s="730"/>
      <c r="H256" s="730"/>
      <c r="I256" s="730"/>
      <c r="J256" s="730"/>
      <c r="K256" s="730"/>
      <c r="L256" s="730"/>
      <c r="M256" s="730"/>
      <c r="N256" s="730"/>
      <c r="O256" s="730"/>
      <c r="P256" s="730"/>
      <c r="Q256" s="730"/>
      <c r="R256" s="730"/>
      <c r="S256" s="730"/>
      <c r="T256" s="730"/>
      <c r="U256" s="730"/>
      <c r="V256" s="730"/>
      <c r="W256" s="730"/>
      <c r="X256" s="730"/>
      <c r="Y256" s="730"/>
      <c r="Z256" s="730"/>
      <c r="AA256" s="730"/>
      <c r="AB256" s="730"/>
      <c r="AC256" s="730"/>
      <c r="AD256" s="730"/>
      <c r="AE256" s="730"/>
      <c r="AF256" s="730"/>
      <c r="AG256" s="730"/>
      <c r="AH256" s="730"/>
      <c r="AI256" s="730"/>
      <c r="AJ256" s="730"/>
      <c r="AK256" s="730"/>
      <c r="AL256" s="730"/>
      <c r="AM256" s="730"/>
      <c r="AN256" s="730"/>
      <c r="AO256" s="730"/>
      <c r="AP256" s="730"/>
      <c r="AQ256" s="730"/>
      <c r="AR256" s="730"/>
      <c r="AS256" s="730"/>
      <c r="AT256" s="730"/>
      <c r="AU256" s="730"/>
      <c r="AV256" s="730"/>
      <c r="AW256" s="730"/>
      <c r="AX256" s="730"/>
      <c r="AY256" s="730"/>
      <c r="AZ256" s="730"/>
      <c r="BA256" s="730"/>
      <c r="BB256" s="730"/>
      <c r="BC256" s="730"/>
      <c r="BD256" s="730"/>
      <c r="BE256" s="730"/>
      <c r="BF256" s="730"/>
      <c r="BG256" s="730"/>
      <c r="BH256" s="730"/>
      <c r="BI256" s="730"/>
      <c r="BJ256" s="374"/>
      <c r="BK256" s="52"/>
      <c r="BL256" s="52"/>
      <c r="BM256" s="712"/>
    </row>
    <row r="257" spans="1:65" x14ac:dyDescent="0.3">
      <c r="A257" s="156" t="str">
        <f>'PRESUPUESTO OFICIAL (Entidad)'!B265</f>
        <v>F11,3</v>
      </c>
      <c r="B257" s="111" t="str">
        <f>'PRESUPUESTO OFICIAL (Entidad)'!C265</f>
        <v>Suministro y aplicación de Estuco y pintura vinilo tipo1 tres manos sobre muros.</v>
      </c>
      <c r="C257" s="158" t="str">
        <f>'PRESUPUESTO OFICIAL (Entidad)'!D265</f>
        <v>M2</v>
      </c>
      <c r="D257" s="158">
        <f>'PRESUPUESTO OFICIAL (Entidad)'!E265</f>
        <v>72.56</v>
      </c>
      <c r="E257" s="730"/>
      <c r="F257" s="730"/>
      <c r="G257" s="730"/>
      <c r="H257" s="730"/>
      <c r="I257" s="730"/>
      <c r="J257" s="730"/>
      <c r="K257" s="730"/>
      <c r="L257" s="730"/>
      <c r="M257" s="730"/>
      <c r="N257" s="730"/>
      <c r="O257" s="730"/>
      <c r="P257" s="730"/>
      <c r="Q257" s="730"/>
      <c r="R257" s="730"/>
      <c r="S257" s="730"/>
      <c r="T257" s="730"/>
      <c r="U257" s="730"/>
      <c r="V257" s="730"/>
      <c r="W257" s="730"/>
      <c r="X257" s="730"/>
      <c r="Y257" s="730"/>
      <c r="Z257" s="730"/>
      <c r="AA257" s="730"/>
      <c r="AB257" s="730"/>
      <c r="AC257" s="730"/>
      <c r="AD257" s="730"/>
      <c r="AE257" s="730"/>
      <c r="AF257" s="730"/>
      <c r="AG257" s="730"/>
      <c r="AH257" s="730"/>
      <c r="AI257" s="730"/>
      <c r="AJ257" s="730"/>
      <c r="AK257" s="730"/>
      <c r="AL257" s="730"/>
      <c r="AM257" s="730"/>
      <c r="AN257" s="730"/>
      <c r="AO257" s="730"/>
      <c r="AP257" s="730"/>
      <c r="AQ257" s="730"/>
      <c r="AR257" s="730"/>
      <c r="AS257" s="730"/>
      <c r="AT257" s="730"/>
      <c r="AU257" s="730"/>
      <c r="AV257" s="730"/>
      <c r="AW257" s="730"/>
      <c r="AX257" s="730"/>
      <c r="AY257" s="730"/>
      <c r="AZ257" s="730"/>
      <c r="BA257" s="730"/>
      <c r="BB257" s="730"/>
      <c r="BC257" s="730"/>
      <c r="BD257" s="730"/>
      <c r="BE257" s="730"/>
      <c r="BF257" s="730"/>
      <c r="BG257" s="730"/>
      <c r="BH257" s="730"/>
      <c r="BI257" s="730"/>
      <c r="BJ257" s="374"/>
      <c r="BK257" s="52"/>
      <c r="BL257" s="52"/>
      <c r="BM257" s="712"/>
    </row>
    <row r="258" spans="1:65" x14ac:dyDescent="0.3">
      <c r="A258" s="156" t="str">
        <f>'PRESUPUESTO OFICIAL (Entidad)'!B266</f>
        <v>F11,4</v>
      </c>
      <c r="B258" s="111" t="str">
        <f>'PRESUPUESTO OFICIAL (Entidad)'!C266</f>
        <v>Suministrar y aplicar Esgrafiado en Graniplast.</v>
      </c>
      <c r="C258" s="158" t="str">
        <f>'PRESUPUESTO OFICIAL (Entidad)'!D266</f>
        <v>M2</v>
      </c>
      <c r="D258" s="158">
        <f>'PRESUPUESTO OFICIAL (Entidad)'!E266</f>
        <v>54.93</v>
      </c>
      <c r="E258" s="730"/>
      <c r="F258" s="730"/>
      <c r="G258" s="730"/>
      <c r="H258" s="730"/>
      <c r="I258" s="730"/>
      <c r="J258" s="730"/>
      <c r="K258" s="730"/>
      <c r="L258" s="730"/>
      <c r="M258" s="730"/>
      <c r="N258" s="730"/>
      <c r="O258" s="730"/>
      <c r="P258" s="730"/>
      <c r="Q258" s="730"/>
      <c r="R258" s="730"/>
      <c r="S258" s="730"/>
      <c r="T258" s="730"/>
      <c r="U258" s="730"/>
      <c r="V258" s="730"/>
      <c r="W258" s="730"/>
      <c r="X258" s="730"/>
      <c r="Y258" s="730"/>
      <c r="Z258" s="730"/>
      <c r="AA258" s="730"/>
      <c r="AB258" s="730"/>
      <c r="AC258" s="730"/>
      <c r="AD258" s="730"/>
      <c r="AE258" s="730"/>
      <c r="AF258" s="730"/>
      <c r="AG258" s="730"/>
      <c r="AH258" s="730"/>
      <c r="AI258" s="730"/>
      <c r="AJ258" s="730"/>
      <c r="AK258" s="730"/>
      <c r="AL258" s="730"/>
      <c r="AM258" s="730"/>
      <c r="AN258" s="730"/>
      <c r="AO258" s="730"/>
      <c r="AP258" s="730"/>
      <c r="AQ258" s="730"/>
      <c r="AR258" s="730"/>
      <c r="AS258" s="730"/>
      <c r="AT258" s="730"/>
      <c r="AU258" s="730"/>
      <c r="AV258" s="730"/>
      <c r="AW258" s="730"/>
      <c r="AX258" s="730"/>
      <c r="AY258" s="730"/>
      <c r="AZ258" s="730"/>
      <c r="BA258" s="730"/>
      <c r="BB258" s="730"/>
      <c r="BC258" s="730"/>
      <c r="BD258" s="730"/>
      <c r="BE258" s="730"/>
      <c r="BF258" s="730"/>
      <c r="BG258" s="730"/>
      <c r="BH258" s="730"/>
      <c r="BI258" s="730"/>
      <c r="BJ258" s="374"/>
      <c r="BK258" s="52"/>
      <c r="BL258" s="52"/>
      <c r="BM258" s="712"/>
    </row>
    <row r="259" spans="1:65" s="697" customFormat="1" x14ac:dyDescent="0.3">
      <c r="A259" s="667" t="str">
        <f>'PRESUPUESTO OFICIAL (Entidad)'!B267</f>
        <v>F12</v>
      </c>
      <c r="B259" s="700" t="str">
        <f>'PRESUPUESTO OFICIAL (Entidad)'!C267</f>
        <v>EXTERIORES Y OBRAS COMPLEMENTARIAS</v>
      </c>
      <c r="C259" s="701"/>
      <c r="D259" s="701"/>
      <c r="E259" s="734"/>
      <c r="F259" s="734"/>
      <c r="G259" s="734"/>
      <c r="H259" s="734"/>
      <c r="I259" s="734"/>
      <c r="J259" s="734"/>
      <c r="K259" s="734"/>
      <c r="L259" s="734"/>
      <c r="M259" s="734"/>
      <c r="N259" s="734"/>
      <c r="O259" s="734"/>
      <c r="P259" s="734"/>
      <c r="Q259" s="734"/>
      <c r="R259" s="734"/>
      <c r="S259" s="734"/>
      <c r="T259" s="734"/>
      <c r="U259" s="734"/>
      <c r="V259" s="734"/>
      <c r="W259" s="734"/>
      <c r="X259" s="734"/>
      <c r="Y259" s="734"/>
      <c r="Z259" s="734"/>
      <c r="AA259" s="734"/>
      <c r="AB259" s="734"/>
      <c r="AC259" s="734"/>
      <c r="AD259" s="734"/>
      <c r="AE259" s="734"/>
      <c r="AF259" s="734"/>
      <c r="AG259" s="734"/>
      <c r="AH259" s="734"/>
      <c r="AI259" s="734"/>
      <c r="AJ259" s="734"/>
      <c r="AK259" s="734"/>
      <c r="AL259" s="734"/>
      <c r="AM259" s="734"/>
      <c r="AN259" s="734"/>
      <c r="AO259" s="734"/>
      <c r="AP259" s="734"/>
      <c r="AQ259" s="734"/>
      <c r="AR259" s="734"/>
      <c r="AS259" s="734"/>
      <c r="AT259" s="734"/>
      <c r="AU259" s="734"/>
      <c r="AV259" s="734"/>
      <c r="AW259" s="734"/>
      <c r="AX259" s="734"/>
      <c r="AY259" s="734"/>
      <c r="AZ259" s="734"/>
      <c r="BA259" s="734"/>
      <c r="BB259" s="734"/>
      <c r="BC259" s="734"/>
      <c r="BD259" s="734"/>
      <c r="BE259" s="734"/>
      <c r="BF259" s="734"/>
      <c r="BG259" s="734"/>
      <c r="BH259" s="734"/>
      <c r="BI259" s="734"/>
      <c r="BJ259" s="680"/>
      <c r="BK259" s="696"/>
      <c r="BL259" s="696"/>
      <c r="BM259" s="696"/>
    </row>
    <row r="260" spans="1:65" ht="15.75" customHeight="1" x14ac:dyDescent="0.3">
      <c r="A260" s="156" t="str">
        <f>'PRESUPUESTO OFICIAL (Entidad)'!B268</f>
        <v>F12,1</v>
      </c>
      <c r="B260" s="111" t="str">
        <f>'PRESUPUESTO OFICIAL (Entidad)'!C268</f>
        <v>Placa de piso para exteriores en concreto 2500 P.S.I., barrido y dilatado e=0.10 m.</v>
      </c>
      <c r="C260" s="158" t="str">
        <f>'PRESUPUESTO OFICIAL (Entidad)'!D268</f>
        <v>M2</v>
      </c>
      <c r="D260" s="158">
        <f>'PRESUPUESTO OFICIAL (Entidad)'!E268</f>
        <v>7.35</v>
      </c>
      <c r="E260" s="730"/>
      <c r="F260" s="730"/>
      <c r="G260" s="730"/>
      <c r="H260" s="730"/>
      <c r="I260" s="730"/>
      <c r="J260" s="730"/>
      <c r="K260" s="730"/>
      <c r="L260" s="730"/>
      <c r="M260" s="730"/>
      <c r="N260" s="730"/>
      <c r="O260" s="730"/>
      <c r="P260" s="730"/>
      <c r="Q260" s="730"/>
      <c r="R260" s="730"/>
      <c r="S260" s="730"/>
      <c r="T260" s="730"/>
      <c r="U260" s="730"/>
      <c r="V260" s="730"/>
      <c r="W260" s="730"/>
      <c r="X260" s="730"/>
      <c r="Y260" s="730"/>
      <c r="Z260" s="730"/>
      <c r="AA260" s="730"/>
      <c r="AB260" s="730"/>
      <c r="AC260" s="730"/>
      <c r="AD260" s="730"/>
      <c r="AE260" s="730"/>
      <c r="AF260" s="730"/>
      <c r="AG260" s="730"/>
      <c r="AH260" s="730"/>
      <c r="AI260" s="730"/>
      <c r="AJ260" s="730"/>
      <c r="AK260" s="730"/>
      <c r="AL260" s="730"/>
      <c r="AM260" s="730"/>
      <c r="AN260" s="730"/>
      <c r="AO260" s="730"/>
      <c r="AP260" s="730"/>
      <c r="AQ260" s="730"/>
      <c r="AR260" s="730"/>
      <c r="AS260" s="730"/>
      <c r="AT260" s="730"/>
      <c r="AU260" s="730"/>
      <c r="AV260" s="730"/>
      <c r="AW260" s="730"/>
      <c r="AX260" s="730"/>
      <c r="AY260" s="730"/>
      <c r="AZ260" s="730"/>
      <c r="BA260" s="730"/>
      <c r="BB260" s="730"/>
      <c r="BC260" s="730"/>
      <c r="BD260" s="730"/>
      <c r="BE260" s="730"/>
      <c r="BF260" s="730"/>
      <c r="BG260" s="730"/>
      <c r="BH260" s="730"/>
      <c r="BI260" s="730"/>
      <c r="BJ260" s="374"/>
      <c r="BK260" s="712"/>
      <c r="BL260" s="52"/>
      <c r="BM260" s="52"/>
    </row>
    <row r="261" spans="1:65" s="697" customFormat="1" x14ac:dyDescent="0.3">
      <c r="A261" s="667" t="str">
        <f>'PRESUPUESTO OFICIAL (Entidad)'!B269</f>
        <v>F13</v>
      </c>
      <c r="B261" s="700" t="str">
        <f>'PRESUPUESTO OFICIAL (Entidad)'!C269</f>
        <v>LIMPIEZA GENERAL</v>
      </c>
      <c r="C261" s="701"/>
      <c r="D261" s="701"/>
      <c r="E261" s="734"/>
      <c r="F261" s="734"/>
      <c r="G261" s="734"/>
      <c r="H261" s="734"/>
      <c r="I261" s="734"/>
      <c r="J261" s="734"/>
      <c r="K261" s="734"/>
      <c r="L261" s="734"/>
      <c r="M261" s="734"/>
      <c r="N261" s="734"/>
      <c r="O261" s="734"/>
      <c r="P261" s="734"/>
      <c r="Q261" s="734"/>
      <c r="R261" s="734"/>
      <c r="S261" s="734"/>
      <c r="T261" s="734"/>
      <c r="U261" s="734"/>
      <c r="V261" s="734"/>
      <c r="W261" s="734"/>
      <c r="X261" s="734"/>
      <c r="Y261" s="734"/>
      <c r="Z261" s="734"/>
      <c r="AA261" s="734"/>
      <c r="AB261" s="734"/>
      <c r="AC261" s="734"/>
      <c r="AD261" s="734"/>
      <c r="AE261" s="734"/>
      <c r="AF261" s="734"/>
      <c r="AG261" s="734"/>
      <c r="AH261" s="734"/>
      <c r="AI261" s="734"/>
      <c r="AJ261" s="734"/>
      <c r="AK261" s="734"/>
      <c r="AL261" s="734"/>
      <c r="AM261" s="734"/>
      <c r="AN261" s="734"/>
      <c r="AO261" s="734"/>
      <c r="AP261" s="734"/>
      <c r="AQ261" s="734"/>
      <c r="AR261" s="734"/>
      <c r="AS261" s="734"/>
      <c r="AT261" s="734"/>
      <c r="AU261" s="734"/>
      <c r="AV261" s="734"/>
      <c r="AW261" s="734"/>
      <c r="AX261" s="734"/>
      <c r="AY261" s="734"/>
      <c r="AZ261" s="734"/>
      <c r="BA261" s="734"/>
      <c r="BB261" s="734"/>
      <c r="BC261" s="734"/>
      <c r="BD261" s="734"/>
      <c r="BE261" s="734"/>
      <c r="BF261" s="734"/>
      <c r="BG261" s="734"/>
      <c r="BH261" s="734"/>
      <c r="BI261" s="734"/>
      <c r="BJ261" s="680"/>
      <c r="BK261" s="696"/>
      <c r="BL261" s="696"/>
      <c r="BM261" s="696"/>
    </row>
    <row r="262" spans="1:65" x14ac:dyDescent="0.3">
      <c r="A262" s="156" t="str">
        <f>'PRESUPUESTO OFICIAL (Entidad)'!B270</f>
        <v>F13,1</v>
      </c>
      <c r="B262" s="111" t="str">
        <f>'PRESUPUESTO OFICIAL (Entidad)'!C270</f>
        <v>Aseo final de obra.</v>
      </c>
      <c r="C262" s="158" t="str">
        <f>'PRESUPUESTO OFICIAL (Entidad)'!D270</f>
        <v>M2</v>
      </c>
      <c r="D262" s="158">
        <f>'PRESUPUESTO OFICIAL (Entidad)'!E270</f>
        <v>54.39</v>
      </c>
      <c r="E262" s="730"/>
      <c r="F262" s="730"/>
      <c r="G262" s="730"/>
      <c r="H262" s="730"/>
      <c r="I262" s="730"/>
      <c r="J262" s="730"/>
      <c r="K262" s="730"/>
      <c r="L262" s="730"/>
      <c r="M262" s="730"/>
      <c r="N262" s="730"/>
      <c r="O262" s="730"/>
      <c r="P262" s="730"/>
      <c r="Q262" s="730"/>
      <c r="R262" s="730"/>
      <c r="S262" s="730"/>
      <c r="T262" s="730"/>
      <c r="U262" s="730"/>
      <c r="V262" s="730"/>
      <c r="W262" s="730"/>
      <c r="X262" s="730"/>
      <c r="Y262" s="730"/>
      <c r="Z262" s="730"/>
      <c r="AA262" s="730"/>
      <c r="AB262" s="730"/>
      <c r="AC262" s="730"/>
      <c r="AD262" s="730"/>
      <c r="AE262" s="730"/>
      <c r="AF262" s="730"/>
      <c r="AG262" s="730"/>
      <c r="AH262" s="730"/>
      <c r="AI262" s="730"/>
      <c r="AJ262" s="730"/>
      <c r="AK262" s="730"/>
      <c r="AL262" s="730"/>
      <c r="AM262" s="730"/>
      <c r="AN262" s="730"/>
      <c r="AO262" s="730"/>
      <c r="AP262" s="730"/>
      <c r="AQ262" s="730"/>
      <c r="AR262" s="730"/>
      <c r="AS262" s="730"/>
      <c r="AT262" s="730"/>
      <c r="AU262" s="730"/>
      <c r="AV262" s="730"/>
      <c r="AW262" s="730"/>
      <c r="AX262" s="730"/>
      <c r="AY262" s="730"/>
      <c r="AZ262" s="730"/>
      <c r="BA262" s="730"/>
      <c r="BB262" s="730"/>
      <c r="BC262" s="730"/>
      <c r="BD262" s="730"/>
      <c r="BE262" s="730"/>
      <c r="BF262" s="730"/>
      <c r="BG262" s="730"/>
      <c r="BH262" s="730"/>
      <c r="BI262" s="730"/>
      <c r="BJ262" s="374"/>
      <c r="BK262" s="52"/>
      <c r="BL262" s="52"/>
      <c r="BM262" s="712"/>
    </row>
    <row r="263" spans="1:65" x14ac:dyDescent="0.3">
      <c r="B263" s="367"/>
      <c r="C263" s="671"/>
      <c r="D263" s="671"/>
      <c r="E263" s="741"/>
      <c r="F263" s="741"/>
      <c r="G263" s="741"/>
      <c r="H263" s="741"/>
      <c r="I263" s="741"/>
      <c r="J263" s="741"/>
      <c r="K263" s="741"/>
      <c r="L263" s="741"/>
      <c r="M263" s="741"/>
      <c r="N263" s="741"/>
      <c r="O263" s="741"/>
      <c r="P263" s="741"/>
      <c r="Q263" s="741"/>
      <c r="R263" s="741"/>
      <c r="S263" s="741"/>
      <c r="T263" s="741"/>
      <c r="U263" s="741"/>
      <c r="V263" s="741"/>
      <c r="W263" s="741"/>
      <c r="X263" s="741"/>
      <c r="Y263" s="741"/>
      <c r="Z263" s="741"/>
      <c r="AA263" s="741"/>
      <c r="AB263" s="741"/>
      <c r="AC263" s="741"/>
      <c r="AD263" s="741"/>
      <c r="AE263" s="741"/>
      <c r="AF263" s="741"/>
      <c r="AG263" s="741"/>
      <c r="AH263" s="741"/>
      <c r="AI263" s="741"/>
      <c r="AJ263" s="741"/>
      <c r="AK263" s="741"/>
      <c r="AL263" s="741"/>
      <c r="AM263" s="741"/>
      <c r="AN263" s="741"/>
      <c r="AO263" s="741"/>
      <c r="AP263" s="741"/>
      <c r="AQ263" s="741"/>
      <c r="AR263" s="741"/>
      <c r="AS263" s="741"/>
      <c r="AT263" s="741"/>
      <c r="AU263" s="741"/>
      <c r="AV263" s="741"/>
      <c r="AW263" s="741"/>
      <c r="AX263" s="741"/>
      <c r="AY263" s="741"/>
      <c r="AZ263" s="741"/>
      <c r="BA263" s="741"/>
      <c r="BB263" s="741"/>
      <c r="BC263" s="741"/>
      <c r="BD263" s="741"/>
      <c r="BE263" s="741"/>
      <c r="BF263" s="741"/>
      <c r="BG263" s="741"/>
      <c r="BH263" s="741"/>
      <c r="BI263" s="741"/>
      <c r="BM263" s="370"/>
    </row>
    <row r="264" spans="1:65" x14ac:dyDescent="0.3">
      <c r="B264" s="367"/>
      <c r="C264" s="671"/>
      <c r="D264" s="671"/>
      <c r="E264" s="741"/>
      <c r="F264" s="741"/>
      <c r="G264" s="741"/>
      <c r="H264" s="741"/>
      <c r="I264" s="741"/>
      <c r="J264" s="741"/>
      <c r="K264" s="741"/>
      <c r="L264" s="741"/>
      <c r="M264" s="741"/>
      <c r="N264" s="741"/>
      <c r="O264" s="741"/>
      <c r="P264" s="741"/>
      <c r="Q264" s="741"/>
      <c r="R264" s="741"/>
      <c r="S264" s="741"/>
      <c r="T264" s="741"/>
      <c r="U264" s="741"/>
      <c r="V264" s="741"/>
      <c r="W264" s="741"/>
      <c r="X264" s="741"/>
      <c r="Y264" s="741"/>
      <c r="Z264" s="741"/>
      <c r="AA264" s="741"/>
      <c r="AB264" s="741"/>
      <c r="AC264" s="741"/>
      <c r="AD264" s="741"/>
      <c r="AE264" s="741"/>
      <c r="AF264" s="741"/>
      <c r="AG264" s="741"/>
      <c r="AH264" s="741"/>
      <c r="AI264" s="741"/>
      <c r="AJ264" s="741"/>
      <c r="AK264" s="741"/>
      <c r="AL264" s="741"/>
      <c r="AM264" s="741"/>
      <c r="AN264" s="741"/>
      <c r="AO264" s="741"/>
      <c r="AP264" s="741"/>
      <c r="AQ264" s="741"/>
      <c r="AR264" s="741"/>
      <c r="AS264" s="741"/>
      <c r="AT264" s="741"/>
      <c r="AU264" s="741"/>
      <c r="AV264" s="741"/>
      <c r="AW264" s="741"/>
      <c r="AX264" s="741"/>
      <c r="AY264" s="741"/>
      <c r="AZ264" s="741"/>
      <c r="BA264" s="741"/>
      <c r="BB264" s="741"/>
      <c r="BC264" s="741"/>
      <c r="BD264" s="741"/>
      <c r="BE264" s="741"/>
      <c r="BF264" s="741"/>
      <c r="BG264" s="741"/>
      <c r="BH264" s="741"/>
      <c r="BI264" s="741"/>
      <c r="BM264" s="370"/>
    </row>
    <row r="265" spans="1:65" x14ac:dyDescent="0.3">
      <c r="B265" s="367"/>
      <c r="C265" s="671"/>
      <c r="D265" s="671"/>
      <c r="E265" s="741"/>
      <c r="F265" s="741"/>
      <c r="G265" s="741"/>
      <c r="H265" s="741"/>
      <c r="I265" s="741"/>
      <c r="J265" s="741"/>
      <c r="K265" s="741"/>
      <c r="L265" s="741"/>
      <c r="M265" s="741"/>
      <c r="N265" s="741"/>
      <c r="O265" s="741"/>
      <c r="P265" s="741"/>
      <c r="Q265" s="741"/>
      <c r="R265" s="741"/>
      <c r="S265" s="741"/>
      <c r="T265" s="741"/>
      <c r="U265" s="741"/>
      <c r="V265" s="741"/>
      <c r="W265" s="741"/>
      <c r="X265" s="741"/>
      <c r="Y265" s="741"/>
      <c r="Z265" s="741"/>
      <c r="AA265" s="741"/>
      <c r="AB265" s="741"/>
      <c r="AC265" s="741"/>
      <c r="AD265" s="741"/>
      <c r="AE265" s="741"/>
      <c r="AF265" s="741"/>
      <c r="AG265" s="741"/>
      <c r="AH265" s="741"/>
      <c r="AI265" s="741"/>
      <c r="AJ265" s="741"/>
      <c r="AK265" s="741"/>
      <c r="AL265" s="741"/>
      <c r="AM265" s="741"/>
      <c r="AN265" s="741"/>
      <c r="AO265" s="741"/>
      <c r="AP265" s="741"/>
      <c r="AQ265" s="741"/>
      <c r="AR265" s="741"/>
      <c r="AS265" s="741"/>
      <c r="AT265" s="741"/>
      <c r="AU265" s="741"/>
      <c r="AV265" s="741"/>
      <c r="AW265" s="741"/>
      <c r="AX265" s="741"/>
      <c r="AY265" s="741"/>
      <c r="AZ265" s="741"/>
      <c r="BA265" s="741"/>
      <c r="BB265" s="741"/>
      <c r="BC265" s="741"/>
      <c r="BD265" s="741"/>
      <c r="BE265" s="741"/>
      <c r="BF265" s="741"/>
      <c r="BG265" s="741"/>
      <c r="BH265" s="741"/>
      <c r="BI265" s="741"/>
      <c r="BM265" s="370"/>
    </row>
    <row r="266" spans="1:65" x14ac:dyDescent="0.3">
      <c r="A266" s="709"/>
      <c r="E266" s="741"/>
      <c r="F266" s="741"/>
      <c r="G266" s="741"/>
      <c r="H266" s="741"/>
      <c r="I266" s="741"/>
      <c r="J266" s="741"/>
      <c r="K266" s="741"/>
      <c r="L266" s="741"/>
      <c r="M266" s="741"/>
      <c r="N266" s="741"/>
      <c r="O266" s="741"/>
      <c r="P266" s="741"/>
      <c r="Q266" s="741"/>
      <c r="R266" s="741"/>
      <c r="S266" s="741"/>
      <c r="T266" s="741"/>
      <c r="U266" s="741"/>
      <c r="V266" s="741"/>
      <c r="W266" s="741"/>
      <c r="X266" s="741"/>
      <c r="Y266" s="741"/>
      <c r="Z266" s="741"/>
      <c r="AA266" s="741"/>
      <c r="AB266" s="741"/>
      <c r="AC266" s="741"/>
      <c r="AD266" s="741"/>
      <c r="AE266" s="741"/>
      <c r="AF266" s="741"/>
      <c r="AG266" s="741"/>
      <c r="AH266" s="741"/>
      <c r="AI266" s="741"/>
      <c r="AJ266" s="741"/>
      <c r="AK266" s="741"/>
      <c r="AL266" s="741"/>
      <c r="AM266" s="741"/>
      <c r="AN266" s="741"/>
      <c r="AO266" s="741"/>
      <c r="AP266" s="741"/>
      <c r="AQ266" s="741"/>
      <c r="AR266" s="741"/>
      <c r="AS266" s="741"/>
      <c r="AT266" s="741"/>
      <c r="AU266" s="741"/>
      <c r="AV266" s="741"/>
      <c r="AW266" s="741"/>
      <c r="AX266" s="741"/>
      <c r="AY266" s="741"/>
      <c r="AZ266" s="741"/>
      <c r="BA266" s="741"/>
      <c r="BB266" s="741"/>
      <c r="BC266" s="741"/>
      <c r="BD266" s="741"/>
      <c r="BE266" s="741"/>
      <c r="BF266" s="741"/>
      <c r="BG266" s="741"/>
      <c r="BH266" s="741"/>
      <c r="BI266" s="741"/>
      <c r="BM266" s="370"/>
    </row>
    <row r="267" spans="1:65" x14ac:dyDescent="0.3">
      <c r="A267" s="709"/>
      <c r="E267" s="755"/>
      <c r="F267" s="755"/>
      <c r="G267" s="755"/>
      <c r="H267" s="755"/>
      <c r="I267" s="755"/>
      <c r="J267" s="755"/>
      <c r="K267" s="755"/>
      <c r="L267" s="755"/>
      <c r="M267" s="755"/>
      <c r="N267" s="755"/>
      <c r="O267" s="755"/>
      <c r="P267" s="755"/>
      <c r="Q267" s="755"/>
      <c r="R267" s="755"/>
      <c r="S267" s="755"/>
      <c r="T267" s="755"/>
      <c r="U267" s="755"/>
      <c r="V267" s="755"/>
      <c r="W267" s="755"/>
      <c r="X267" s="755"/>
      <c r="Y267" s="755"/>
      <c r="Z267" s="755"/>
      <c r="AA267" s="741"/>
      <c r="AB267" s="741"/>
      <c r="AC267" s="741"/>
      <c r="AD267" s="741"/>
      <c r="AE267" s="741"/>
      <c r="AF267" s="741"/>
      <c r="AG267" s="741"/>
      <c r="AH267" s="755"/>
      <c r="AI267" s="755"/>
      <c r="AJ267" s="755"/>
      <c r="AK267" s="755"/>
      <c r="AL267" s="755"/>
      <c r="AM267" s="755"/>
      <c r="AN267" s="755"/>
      <c r="AO267" s="755"/>
      <c r="AP267" s="755"/>
      <c r="AQ267" s="755"/>
      <c r="AR267" s="755"/>
      <c r="AS267" s="755"/>
      <c r="AT267" s="755"/>
      <c r="AU267" s="755"/>
      <c r="AV267" s="755"/>
      <c r="AW267" s="755"/>
      <c r="AX267" s="755"/>
      <c r="AY267" s="755"/>
      <c r="AZ267" s="755"/>
      <c r="BA267" s="755"/>
      <c r="BB267" s="755"/>
      <c r="BC267" s="755"/>
      <c r="BD267" s="755"/>
      <c r="BE267" s="755"/>
      <c r="BF267" s="755"/>
      <c r="BG267" s="755"/>
      <c r="BH267" s="755"/>
      <c r="BI267" s="755"/>
      <c r="BM267" s="370"/>
    </row>
    <row r="268" spans="1:65" x14ac:dyDescent="0.3">
      <c r="A268" s="709"/>
      <c r="E268" s="717" t="s">
        <v>691</v>
      </c>
      <c r="F268" s="717"/>
      <c r="G268" s="717"/>
      <c r="H268" s="717"/>
      <c r="I268" s="717"/>
      <c r="J268" s="717"/>
      <c r="K268" s="717"/>
      <c r="L268" s="717"/>
      <c r="M268" s="717"/>
      <c r="N268" s="717"/>
      <c r="O268" s="717"/>
      <c r="P268" s="717"/>
      <c r="Q268" s="717"/>
      <c r="R268" s="717"/>
      <c r="S268" s="717"/>
      <c r="T268" s="717"/>
      <c r="U268" s="717"/>
      <c r="V268" s="717"/>
      <c r="W268" s="717"/>
      <c r="X268" s="717"/>
      <c r="Y268" s="717"/>
      <c r="Z268" s="717"/>
      <c r="AA268" s="741"/>
      <c r="AB268" s="741"/>
      <c r="AC268" s="741"/>
      <c r="AD268" s="741"/>
      <c r="AE268" s="741"/>
      <c r="AF268" s="741"/>
      <c r="AG268" s="741"/>
      <c r="AH268" s="754" t="s">
        <v>122</v>
      </c>
      <c r="AI268" s="754"/>
      <c r="AJ268" s="754"/>
      <c r="AK268" s="754"/>
      <c r="AL268" s="754"/>
      <c r="AM268" s="754"/>
      <c r="AN268" s="754"/>
      <c r="AO268" s="754"/>
      <c r="AP268" s="754"/>
      <c r="AQ268" s="754"/>
      <c r="AR268" s="754"/>
      <c r="AS268" s="754"/>
      <c r="AT268" s="754"/>
      <c r="AU268" s="754"/>
      <c r="AV268" s="754"/>
      <c r="AW268" s="754"/>
      <c r="AX268" s="754"/>
      <c r="AY268" s="754"/>
      <c r="AZ268" s="754"/>
      <c r="BA268" s="754"/>
      <c r="BB268" s="754"/>
      <c r="BC268" s="754"/>
      <c r="BD268" s="754"/>
      <c r="BE268" s="754"/>
      <c r="BF268" s="754"/>
      <c r="BG268" s="754"/>
      <c r="BH268" s="754"/>
      <c r="BI268" s="754"/>
      <c r="BM268" s="370"/>
    </row>
    <row r="269" spans="1:65" x14ac:dyDescent="0.3">
      <c r="A269" s="709"/>
      <c r="E269" s="718" t="s">
        <v>121</v>
      </c>
      <c r="F269" s="718"/>
      <c r="G269" s="718"/>
      <c r="H269" s="718"/>
      <c r="I269" s="718"/>
      <c r="J269" s="718"/>
      <c r="K269" s="718"/>
      <c r="L269" s="718"/>
      <c r="M269" s="718"/>
      <c r="N269" s="718"/>
      <c r="O269" s="718"/>
      <c r="P269" s="718"/>
      <c r="Q269" s="718"/>
      <c r="R269" s="718"/>
      <c r="S269" s="718"/>
      <c r="T269" s="718"/>
      <c r="U269" s="718"/>
      <c r="V269" s="718"/>
      <c r="W269" s="718"/>
      <c r="X269" s="718"/>
      <c r="Y269" s="718"/>
      <c r="Z269" s="718"/>
      <c r="AA269" s="741"/>
      <c r="AB269" s="741"/>
      <c r="AC269" s="741"/>
      <c r="AD269" s="741"/>
      <c r="AE269" s="741"/>
      <c r="AF269" s="741"/>
      <c r="AG269" s="741"/>
      <c r="AH269" s="741" t="s">
        <v>123</v>
      </c>
      <c r="AI269" s="741"/>
      <c r="AJ269" s="741"/>
      <c r="AK269" s="741"/>
      <c r="AL269" s="741"/>
      <c r="AM269" s="741"/>
      <c r="AN269" s="741"/>
      <c r="AO269" s="741"/>
      <c r="AP269" s="741"/>
      <c r="AQ269" s="741"/>
      <c r="AR269" s="741"/>
      <c r="AS269" s="741"/>
      <c r="AT269" s="741"/>
      <c r="AU269" s="741"/>
      <c r="AV269" s="741"/>
      <c r="AW269" s="741"/>
      <c r="AX269" s="741"/>
      <c r="AY269" s="741"/>
      <c r="AZ269" s="741"/>
      <c r="BA269" s="741"/>
      <c r="BB269" s="741"/>
      <c r="BC269" s="741"/>
      <c r="BD269" s="741"/>
      <c r="BE269" s="741"/>
      <c r="BF269" s="741"/>
      <c r="BG269" s="741"/>
      <c r="BH269" s="741"/>
      <c r="BI269" s="741"/>
      <c r="BM269" s="370"/>
    </row>
    <row r="270" spans="1:65" ht="16.2" thickBot="1" x14ac:dyDescent="0.35">
      <c r="A270" s="710"/>
      <c r="B270" s="468"/>
      <c r="C270" s="391"/>
      <c r="D270" s="391"/>
      <c r="E270" s="771"/>
      <c r="F270" s="771"/>
      <c r="G270" s="771"/>
      <c r="H270" s="771"/>
      <c r="I270" s="771"/>
      <c r="J270" s="771"/>
      <c r="K270" s="771"/>
      <c r="L270" s="771"/>
      <c r="M270" s="771"/>
      <c r="N270" s="771"/>
      <c r="O270" s="771"/>
      <c r="P270" s="771"/>
      <c r="Q270" s="771"/>
      <c r="R270" s="771"/>
      <c r="S270" s="771"/>
      <c r="T270" s="771"/>
      <c r="U270" s="771"/>
      <c r="V270" s="771"/>
      <c r="W270" s="771"/>
      <c r="X270" s="771"/>
      <c r="Y270" s="771"/>
      <c r="Z270" s="771"/>
      <c r="AA270" s="771"/>
      <c r="AB270" s="771"/>
      <c r="AC270" s="771"/>
      <c r="AD270" s="771"/>
      <c r="AE270" s="771"/>
      <c r="AF270" s="771"/>
      <c r="AG270" s="771"/>
      <c r="AH270" s="771"/>
      <c r="AI270" s="771"/>
      <c r="AJ270" s="771"/>
      <c r="AK270" s="771"/>
      <c r="AL270" s="771"/>
      <c r="AM270" s="771"/>
      <c r="AN270" s="771"/>
      <c r="AO270" s="771"/>
      <c r="AP270" s="771"/>
      <c r="AQ270" s="771"/>
      <c r="AR270" s="771"/>
      <c r="AS270" s="771"/>
      <c r="AT270" s="771"/>
      <c r="AU270" s="771"/>
      <c r="AV270" s="771"/>
      <c r="AW270" s="771"/>
      <c r="AX270" s="771"/>
      <c r="AY270" s="771"/>
      <c r="AZ270" s="771"/>
      <c r="BA270" s="771"/>
      <c r="BB270" s="771"/>
      <c r="BC270" s="771"/>
      <c r="BD270" s="771"/>
      <c r="BE270" s="771"/>
      <c r="BF270" s="771"/>
      <c r="BG270" s="771"/>
      <c r="BH270" s="771"/>
      <c r="BI270" s="771"/>
      <c r="BJ270" s="371"/>
      <c r="BK270" s="371"/>
      <c r="BL270" s="371"/>
      <c r="BM270" s="372"/>
    </row>
    <row r="274" spans="29:29" x14ac:dyDescent="0.3">
      <c r="AC274" s="393"/>
    </row>
  </sheetData>
  <autoFilter ref="A6:D262" xr:uid="{AFE28C94-32B7-464F-B065-93B1F8566D4A}"/>
  <mergeCells count="2072">
    <mergeCell ref="S266:Z266"/>
    <mergeCell ref="L266:R266"/>
    <mergeCell ref="AV265:BB265"/>
    <mergeCell ref="BC264:BI264"/>
    <mergeCell ref="AV264:BB264"/>
    <mergeCell ref="BC266:BI266"/>
    <mergeCell ref="AV266:BB266"/>
    <mergeCell ref="L265:R265"/>
    <mergeCell ref="AH264:AN264"/>
    <mergeCell ref="AA264:AG264"/>
    <mergeCell ref="S264:Z264"/>
    <mergeCell ref="L264:R264"/>
    <mergeCell ref="E264:K264"/>
    <mergeCell ref="E266:K266"/>
    <mergeCell ref="AH131:AN131"/>
    <mergeCell ref="AO131:AU131"/>
    <mergeCell ref="AV131:BB131"/>
    <mergeCell ref="BC131:BI131"/>
    <mergeCell ref="E132:K132"/>
    <mergeCell ref="L132:R132"/>
    <mergeCell ref="S132:Z132"/>
    <mergeCell ref="AA132:AG132"/>
    <mergeCell ref="AH132:AN132"/>
    <mergeCell ref="AO132:AU132"/>
    <mergeCell ref="AV132:BB132"/>
    <mergeCell ref="BC132:BI132"/>
    <mergeCell ref="E133:K133"/>
    <mergeCell ref="L133:R133"/>
    <mergeCell ref="S133:Z133"/>
    <mergeCell ref="AA133:AG133"/>
    <mergeCell ref="AH133:AN133"/>
    <mergeCell ref="E134:K134"/>
    <mergeCell ref="AA127:AG127"/>
    <mergeCell ref="AH127:AN127"/>
    <mergeCell ref="BC133:BI133"/>
    <mergeCell ref="AV129:BB129"/>
    <mergeCell ref="BC129:BI129"/>
    <mergeCell ref="L129:R129"/>
    <mergeCell ref="S129:Z129"/>
    <mergeCell ref="AA129:AG129"/>
    <mergeCell ref="AH129:AN129"/>
    <mergeCell ref="AO129:AU129"/>
    <mergeCell ref="AO270:AU270"/>
    <mergeCell ref="AV270:BB270"/>
    <mergeCell ref="BC270:BI270"/>
    <mergeCell ref="E270:K270"/>
    <mergeCell ref="L270:R270"/>
    <mergeCell ref="S270:Z270"/>
    <mergeCell ref="AA270:AG270"/>
    <mergeCell ref="AH270:AN270"/>
    <mergeCell ref="AA267:AG267"/>
    <mergeCell ref="E269:Z269"/>
    <mergeCell ref="AA269:AG269"/>
    <mergeCell ref="AA268:AG268"/>
    <mergeCell ref="E268:Z268"/>
    <mergeCell ref="AO264:AU264"/>
    <mergeCell ref="AO265:AU265"/>
    <mergeCell ref="AO266:AU266"/>
    <mergeCell ref="S265:Z265"/>
    <mergeCell ref="AA265:AG265"/>
    <mergeCell ref="AH265:AN265"/>
    <mergeCell ref="BC265:BI265"/>
    <mergeCell ref="AH266:AN266"/>
    <mergeCell ref="AA266:AG266"/>
    <mergeCell ref="E129:K129"/>
    <mergeCell ref="E131:K131"/>
    <mergeCell ref="L131:R131"/>
    <mergeCell ref="S131:Z131"/>
    <mergeCell ref="AA131:AG131"/>
    <mergeCell ref="AV125:BB125"/>
    <mergeCell ref="BC125:BI125"/>
    <mergeCell ref="E126:K126"/>
    <mergeCell ref="L126:R126"/>
    <mergeCell ref="S126:Z126"/>
    <mergeCell ref="AA126:AG126"/>
    <mergeCell ref="AH126:AN126"/>
    <mergeCell ref="AO126:AU126"/>
    <mergeCell ref="AV126:BB126"/>
    <mergeCell ref="BC126:BI126"/>
    <mergeCell ref="L125:R125"/>
    <mergeCell ref="S125:Z125"/>
    <mergeCell ref="AA125:AG125"/>
    <mergeCell ref="AH125:AN125"/>
    <mergeCell ref="AO125:AU125"/>
    <mergeCell ref="AO127:AU127"/>
    <mergeCell ref="AV127:BB127"/>
    <mergeCell ref="BC127:BI127"/>
    <mergeCell ref="L128:R128"/>
    <mergeCell ref="S128:Z128"/>
    <mergeCell ref="AA128:AG128"/>
    <mergeCell ref="AH128:AN128"/>
    <mergeCell ref="AO128:AU128"/>
    <mergeCell ref="AV128:BB128"/>
    <mergeCell ref="BC128:BI128"/>
    <mergeCell ref="L127:R127"/>
    <mergeCell ref="S127:Z127"/>
    <mergeCell ref="AV123:BB123"/>
    <mergeCell ref="BC123:BI123"/>
    <mergeCell ref="E124:K124"/>
    <mergeCell ref="L124:R124"/>
    <mergeCell ref="S124:Z124"/>
    <mergeCell ref="AA124:AG124"/>
    <mergeCell ref="AH124:AN124"/>
    <mergeCell ref="AO124:AU124"/>
    <mergeCell ref="AV124:BB124"/>
    <mergeCell ref="BC124:BI124"/>
    <mergeCell ref="L123:R123"/>
    <mergeCell ref="S123:Z123"/>
    <mergeCell ref="AA123:AG123"/>
    <mergeCell ref="AH123:AN123"/>
    <mergeCell ref="AO123:AU123"/>
    <mergeCell ref="E123:K123"/>
    <mergeCell ref="E125:K125"/>
    <mergeCell ref="AV121:BB121"/>
    <mergeCell ref="BC121:BI121"/>
    <mergeCell ref="E122:K122"/>
    <mergeCell ref="L122:R122"/>
    <mergeCell ref="S122:Z122"/>
    <mergeCell ref="AA122:AG122"/>
    <mergeCell ref="AH122:AN122"/>
    <mergeCell ref="AO122:AU122"/>
    <mergeCell ref="AV122:BB122"/>
    <mergeCell ref="BC122:BI122"/>
    <mergeCell ref="L121:R121"/>
    <mergeCell ref="S121:Z121"/>
    <mergeCell ref="AA121:AG121"/>
    <mergeCell ref="AH121:AN121"/>
    <mergeCell ref="AO121:AU121"/>
    <mergeCell ref="AV119:BB119"/>
    <mergeCell ref="BC119:BI119"/>
    <mergeCell ref="E120:K120"/>
    <mergeCell ref="L120:R120"/>
    <mergeCell ref="S120:Z120"/>
    <mergeCell ref="AA120:AG120"/>
    <mergeCell ref="AH120:AN120"/>
    <mergeCell ref="AO120:AU120"/>
    <mergeCell ref="AV120:BB120"/>
    <mergeCell ref="BC120:BI120"/>
    <mergeCell ref="L119:R119"/>
    <mergeCell ref="S119:Z119"/>
    <mergeCell ref="AA119:AG119"/>
    <mergeCell ref="AH119:AN119"/>
    <mergeCell ref="AO119:AU119"/>
    <mergeCell ref="E119:K119"/>
    <mergeCell ref="E121:K121"/>
    <mergeCell ref="AV117:BB117"/>
    <mergeCell ref="BC117:BI117"/>
    <mergeCell ref="E118:K118"/>
    <mergeCell ref="L118:R118"/>
    <mergeCell ref="S118:Z118"/>
    <mergeCell ref="AA118:AG118"/>
    <mergeCell ref="AH118:AN118"/>
    <mergeCell ref="AO118:AU118"/>
    <mergeCell ref="AV118:BB118"/>
    <mergeCell ref="BC118:BI118"/>
    <mergeCell ref="L117:R117"/>
    <mergeCell ref="S117:Z117"/>
    <mergeCell ref="AA117:AG117"/>
    <mergeCell ref="AH117:AN117"/>
    <mergeCell ref="AO117:AU117"/>
    <mergeCell ref="AV115:BB115"/>
    <mergeCell ref="BC115:BI115"/>
    <mergeCell ref="E116:K116"/>
    <mergeCell ref="L116:R116"/>
    <mergeCell ref="S116:Z116"/>
    <mergeCell ref="AA116:AG116"/>
    <mergeCell ref="AH116:AN116"/>
    <mergeCell ref="AO116:AU116"/>
    <mergeCell ref="AV116:BB116"/>
    <mergeCell ref="BC116:BI116"/>
    <mergeCell ref="L115:R115"/>
    <mergeCell ref="S115:Z115"/>
    <mergeCell ref="AA115:AG115"/>
    <mergeCell ref="AH115:AN115"/>
    <mergeCell ref="AO115:AU115"/>
    <mergeCell ref="E115:K115"/>
    <mergeCell ref="E117:K117"/>
    <mergeCell ref="AV113:BB113"/>
    <mergeCell ref="BC113:BI113"/>
    <mergeCell ref="E114:K114"/>
    <mergeCell ref="L114:R114"/>
    <mergeCell ref="S114:Z114"/>
    <mergeCell ref="AA114:AG114"/>
    <mergeCell ref="AH114:AN114"/>
    <mergeCell ref="AO114:AU114"/>
    <mergeCell ref="AV114:BB114"/>
    <mergeCell ref="BC114:BI114"/>
    <mergeCell ref="L113:R113"/>
    <mergeCell ref="S113:Z113"/>
    <mergeCell ref="AA113:AG113"/>
    <mergeCell ref="AH113:AN113"/>
    <mergeCell ref="AO113:AU113"/>
    <mergeCell ref="AO111:AU111"/>
    <mergeCell ref="AV111:BB111"/>
    <mergeCell ref="BC111:BI111"/>
    <mergeCell ref="E112:K112"/>
    <mergeCell ref="L112:R112"/>
    <mergeCell ref="S112:Z112"/>
    <mergeCell ref="AA112:AG112"/>
    <mergeCell ref="AH112:AN112"/>
    <mergeCell ref="AO112:AU112"/>
    <mergeCell ref="AV112:BB112"/>
    <mergeCell ref="BC112:BI112"/>
    <mergeCell ref="E111:K111"/>
    <mergeCell ref="L111:R111"/>
    <mergeCell ref="S111:Z111"/>
    <mergeCell ref="AA111:AG111"/>
    <mergeCell ref="AH111:AN111"/>
    <mergeCell ref="E113:K113"/>
    <mergeCell ref="AO109:AU109"/>
    <mergeCell ref="AV109:BB109"/>
    <mergeCell ref="BC109:BI109"/>
    <mergeCell ref="E110:K110"/>
    <mergeCell ref="L110:R110"/>
    <mergeCell ref="S110:Z110"/>
    <mergeCell ref="AA110:AG110"/>
    <mergeCell ref="AH110:AN110"/>
    <mergeCell ref="AO110:AU110"/>
    <mergeCell ref="AV110:BB110"/>
    <mergeCell ref="BC110:BI110"/>
    <mergeCell ref="E109:K109"/>
    <mergeCell ref="L109:R109"/>
    <mergeCell ref="S109:Z109"/>
    <mergeCell ref="AA109:AG109"/>
    <mergeCell ref="AH109:AN109"/>
    <mergeCell ref="AV107:BB107"/>
    <mergeCell ref="BC107:BI107"/>
    <mergeCell ref="E108:K108"/>
    <mergeCell ref="L108:R108"/>
    <mergeCell ref="S108:Z108"/>
    <mergeCell ref="AA108:AG108"/>
    <mergeCell ref="AH108:AN108"/>
    <mergeCell ref="AO108:AU108"/>
    <mergeCell ref="AV108:BB108"/>
    <mergeCell ref="BC108:BI108"/>
    <mergeCell ref="L107:R107"/>
    <mergeCell ref="S107:Z107"/>
    <mergeCell ref="AA107:AG107"/>
    <mergeCell ref="AH107:AN107"/>
    <mergeCell ref="AO107:AU107"/>
    <mergeCell ref="E107:K107"/>
    <mergeCell ref="AV105:BB105"/>
    <mergeCell ref="BC105:BI105"/>
    <mergeCell ref="E106:K106"/>
    <mergeCell ref="L106:R106"/>
    <mergeCell ref="S106:Z106"/>
    <mergeCell ref="AA106:AG106"/>
    <mergeCell ref="AH106:AN106"/>
    <mergeCell ref="AO106:AU106"/>
    <mergeCell ref="AV106:BB106"/>
    <mergeCell ref="BC106:BI106"/>
    <mergeCell ref="L105:R105"/>
    <mergeCell ref="S105:Z105"/>
    <mergeCell ref="AA105:AG105"/>
    <mergeCell ref="AH105:AN105"/>
    <mergeCell ref="AO105:AU105"/>
    <mergeCell ref="AV103:BB103"/>
    <mergeCell ref="BC103:BI103"/>
    <mergeCell ref="E104:K104"/>
    <mergeCell ref="L104:R104"/>
    <mergeCell ref="S104:Z104"/>
    <mergeCell ref="AA104:AG104"/>
    <mergeCell ref="AH104:AN104"/>
    <mergeCell ref="AO104:AU104"/>
    <mergeCell ref="AV104:BB104"/>
    <mergeCell ref="BC104:BI104"/>
    <mergeCell ref="L103:R103"/>
    <mergeCell ref="S103:Z103"/>
    <mergeCell ref="AA103:AG103"/>
    <mergeCell ref="AH103:AN103"/>
    <mergeCell ref="AO103:AU103"/>
    <mergeCell ref="E103:K103"/>
    <mergeCell ref="E105:K105"/>
    <mergeCell ref="AV101:BB101"/>
    <mergeCell ref="BC101:BI101"/>
    <mergeCell ref="E102:K102"/>
    <mergeCell ref="L102:R102"/>
    <mergeCell ref="S102:Z102"/>
    <mergeCell ref="AA102:AG102"/>
    <mergeCell ref="AH102:AN102"/>
    <mergeCell ref="AO102:AU102"/>
    <mergeCell ref="AV102:BB102"/>
    <mergeCell ref="BC102:BI102"/>
    <mergeCell ref="L101:R101"/>
    <mergeCell ref="S101:Z101"/>
    <mergeCell ref="AA101:AG101"/>
    <mergeCell ref="AH101:AN101"/>
    <mergeCell ref="AO101:AU101"/>
    <mergeCell ref="AV99:BB99"/>
    <mergeCell ref="BC99:BI99"/>
    <mergeCell ref="E100:K100"/>
    <mergeCell ref="L100:R100"/>
    <mergeCell ref="S100:Z100"/>
    <mergeCell ref="AA100:AG100"/>
    <mergeCell ref="AH100:AN100"/>
    <mergeCell ref="AO100:AU100"/>
    <mergeCell ref="AV100:BB100"/>
    <mergeCell ref="BC100:BI100"/>
    <mergeCell ref="L99:R99"/>
    <mergeCell ref="S99:Z99"/>
    <mergeCell ref="AA99:AG99"/>
    <mergeCell ref="AH99:AN99"/>
    <mergeCell ref="AO99:AU99"/>
    <mergeCell ref="E99:K99"/>
    <mergeCell ref="E101:K101"/>
    <mergeCell ref="AV97:BB97"/>
    <mergeCell ref="BC97:BI97"/>
    <mergeCell ref="E98:K98"/>
    <mergeCell ref="L98:R98"/>
    <mergeCell ref="S98:Z98"/>
    <mergeCell ref="AA98:AG98"/>
    <mergeCell ref="AH98:AN98"/>
    <mergeCell ref="AO98:AU98"/>
    <mergeCell ref="AV98:BB98"/>
    <mergeCell ref="BC98:BI98"/>
    <mergeCell ref="L97:R97"/>
    <mergeCell ref="S97:Z97"/>
    <mergeCell ref="AA97:AG97"/>
    <mergeCell ref="AH97:AN97"/>
    <mergeCell ref="AO97:AU97"/>
    <mergeCell ref="AV95:BB95"/>
    <mergeCell ref="BC95:BI95"/>
    <mergeCell ref="E96:K96"/>
    <mergeCell ref="L96:R96"/>
    <mergeCell ref="S96:Z96"/>
    <mergeCell ref="AA96:AG96"/>
    <mergeCell ref="AH96:AN96"/>
    <mergeCell ref="AO96:AU96"/>
    <mergeCell ref="AV96:BB96"/>
    <mergeCell ref="BC96:BI96"/>
    <mergeCell ref="L95:R95"/>
    <mergeCell ref="S95:Z95"/>
    <mergeCell ref="AA95:AG95"/>
    <mergeCell ref="AH95:AN95"/>
    <mergeCell ref="AO95:AU95"/>
    <mergeCell ref="E95:K95"/>
    <mergeCell ref="E97:K97"/>
    <mergeCell ref="AV93:BB93"/>
    <mergeCell ref="BC93:BI93"/>
    <mergeCell ref="E94:K94"/>
    <mergeCell ref="L94:R94"/>
    <mergeCell ref="S94:Z94"/>
    <mergeCell ref="AA94:AG94"/>
    <mergeCell ref="AH94:AN94"/>
    <mergeCell ref="AO94:AU94"/>
    <mergeCell ref="AV94:BB94"/>
    <mergeCell ref="BC94:BI94"/>
    <mergeCell ref="L93:R93"/>
    <mergeCell ref="S93:Z93"/>
    <mergeCell ref="AA93:AG93"/>
    <mergeCell ref="AH93:AN93"/>
    <mergeCell ref="AO93:AU93"/>
    <mergeCell ref="AV91:BB91"/>
    <mergeCell ref="BC91:BI91"/>
    <mergeCell ref="E92:K92"/>
    <mergeCell ref="L92:R92"/>
    <mergeCell ref="S92:Z92"/>
    <mergeCell ref="AA92:AG92"/>
    <mergeCell ref="AH92:AN92"/>
    <mergeCell ref="AO92:AU92"/>
    <mergeCell ref="AV92:BB92"/>
    <mergeCell ref="BC92:BI92"/>
    <mergeCell ref="L91:R91"/>
    <mergeCell ref="S91:Z91"/>
    <mergeCell ref="AA91:AG91"/>
    <mergeCell ref="AH91:AN91"/>
    <mergeCell ref="AO91:AU91"/>
    <mergeCell ref="E91:K91"/>
    <mergeCell ref="E93:K93"/>
    <mergeCell ref="AV89:BB89"/>
    <mergeCell ref="BC89:BI89"/>
    <mergeCell ref="E90:K90"/>
    <mergeCell ref="L90:R90"/>
    <mergeCell ref="S90:Z90"/>
    <mergeCell ref="AA90:AG90"/>
    <mergeCell ref="AH90:AN90"/>
    <mergeCell ref="AO90:AU90"/>
    <mergeCell ref="AV90:BB90"/>
    <mergeCell ref="BC90:BI90"/>
    <mergeCell ref="L89:R89"/>
    <mergeCell ref="S89:Z89"/>
    <mergeCell ref="AA89:AG89"/>
    <mergeCell ref="AH89:AN89"/>
    <mergeCell ref="AO89:AU89"/>
    <mergeCell ref="AV87:BB87"/>
    <mergeCell ref="BC87:BI87"/>
    <mergeCell ref="E88:K88"/>
    <mergeCell ref="L88:R88"/>
    <mergeCell ref="S88:Z88"/>
    <mergeCell ref="AA88:AG88"/>
    <mergeCell ref="AH88:AN88"/>
    <mergeCell ref="AO88:AU88"/>
    <mergeCell ref="AV88:BB88"/>
    <mergeCell ref="BC88:BI88"/>
    <mergeCell ref="L87:R87"/>
    <mergeCell ref="S87:Z87"/>
    <mergeCell ref="AA87:AG87"/>
    <mergeCell ref="AH87:AN87"/>
    <mergeCell ref="AO87:AU87"/>
    <mergeCell ref="E87:K87"/>
    <mergeCell ref="E89:K89"/>
    <mergeCell ref="AO85:AU85"/>
    <mergeCell ref="AV85:BB85"/>
    <mergeCell ref="BC85:BI85"/>
    <mergeCell ref="E86:K86"/>
    <mergeCell ref="L86:R86"/>
    <mergeCell ref="S86:Z86"/>
    <mergeCell ref="AA86:AG86"/>
    <mergeCell ref="AH86:AN86"/>
    <mergeCell ref="AO86:AU86"/>
    <mergeCell ref="AV86:BB86"/>
    <mergeCell ref="BC86:BI86"/>
    <mergeCell ref="E85:K85"/>
    <mergeCell ref="L85:R85"/>
    <mergeCell ref="S85:Z85"/>
    <mergeCell ref="AA85:AG85"/>
    <mergeCell ref="AH85:AN85"/>
    <mergeCell ref="AO83:AU83"/>
    <mergeCell ref="AV83:BB83"/>
    <mergeCell ref="BC83:BI83"/>
    <mergeCell ref="E84:K84"/>
    <mergeCell ref="L84:R84"/>
    <mergeCell ref="S84:Z84"/>
    <mergeCell ref="AA84:AG84"/>
    <mergeCell ref="AH84:AN84"/>
    <mergeCell ref="AO84:AU84"/>
    <mergeCell ref="AV84:BB84"/>
    <mergeCell ref="BC84:BI84"/>
    <mergeCell ref="E83:K83"/>
    <mergeCell ref="L83:R83"/>
    <mergeCell ref="S83:Z83"/>
    <mergeCell ref="AA83:AG83"/>
    <mergeCell ref="AH83:AN83"/>
    <mergeCell ref="AO81:AU81"/>
    <mergeCell ref="AV81:BB81"/>
    <mergeCell ref="BC81:BI81"/>
    <mergeCell ref="E82:K82"/>
    <mergeCell ref="L82:R82"/>
    <mergeCell ref="S82:Z82"/>
    <mergeCell ref="AA82:AG82"/>
    <mergeCell ref="AH82:AN82"/>
    <mergeCell ref="AO82:AU82"/>
    <mergeCell ref="AV82:BB82"/>
    <mergeCell ref="BC82:BI82"/>
    <mergeCell ref="E81:K81"/>
    <mergeCell ref="L81:R81"/>
    <mergeCell ref="S81:Z81"/>
    <mergeCell ref="AA81:AG81"/>
    <mergeCell ref="AH81:AN81"/>
    <mergeCell ref="AO79:AU79"/>
    <mergeCell ref="AV79:BB79"/>
    <mergeCell ref="BC79:BI79"/>
    <mergeCell ref="E80:K80"/>
    <mergeCell ref="L80:R80"/>
    <mergeCell ref="S80:Z80"/>
    <mergeCell ref="AA80:AG80"/>
    <mergeCell ref="AH80:AN80"/>
    <mergeCell ref="AO80:AU80"/>
    <mergeCell ref="AV80:BB80"/>
    <mergeCell ref="BC80:BI80"/>
    <mergeCell ref="E79:K79"/>
    <mergeCell ref="L79:R79"/>
    <mergeCell ref="S79:Z79"/>
    <mergeCell ref="AA79:AG79"/>
    <mergeCell ref="AH79:AN79"/>
    <mergeCell ref="AO75:AU75"/>
    <mergeCell ref="AV75:BB75"/>
    <mergeCell ref="BC75:BI75"/>
    <mergeCell ref="E77:K77"/>
    <mergeCell ref="L77:R77"/>
    <mergeCell ref="S77:Z77"/>
    <mergeCell ref="AA77:AG77"/>
    <mergeCell ref="AH77:AN77"/>
    <mergeCell ref="AO77:AU77"/>
    <mergeCell ref="AV77:BB77"/>
    <mergeCell ref="BC77:BI77"/>
    <mergeCell ref="E75:K75"/>
    <mergeCell ref="L75:R75"/>
    <mergeCell ref="S75:Z75"/>
    <mergeCell ref="AA75:AG75"/>
    <mergeCell ref="AH75:AN75"/>
    <mergeCell ref="AO72:AU72"/>
    <mergeCell ref="AV72:BB72"/>
    <mergeCell ref="BC72:BI72"/>
    <mergeCell ref="E73:K73"/>
    <mergeCell ref="L73:R73"/>
    <mergeCell ref="S73:Z73"/>
    <mergeCell ref="AA73:AG73"/>
    <mergeCell ref="AH73:AN73"/>
    <mergeCell ref="AO73:AU73"/>
    <mergeCell ref="AV73:BB73"/>
    <mergeCell ref="BC73:BI73"/>
    <mergeCell ref="E72:K72"/>
    <mergeCell ref="L72:R72"/>
    <mergeCell ref="S72:Z72"/>
    <mergeCell ref="AA72:AG72"/>
    <mergeCell ref="AH72:AN72"/>
    <mergeCell ref="AO70:AU70"/>
    <mergeCell ref="AV70:BB70"/>
    <mergeCell ref="BC70:BI70"/>
    <mergeCell ref="E71:K71"/>
    <mergeCell ref="L71:R71"/>
    <mergeCell ref="S71:Z71"/>
    <mergeCell ref="AA71:AG71"/>
    <mergeCell ref="AH71:AN71"/>
    <mergeCell ref="AO71:AU71"/>
    <mergeCell ref="AV71:BB71"/>
    <mergeCell ref="BC71:BI71"/>
    <mergeCell ref="E70:K70"/>
    <mergeCell ref="L70:R70"/>
    <mergeCell ref="S70:Z70"/>
    <mergeCell ref="AA70:AG70"/>
    <mergeCell ref="AH70:AN70"/>
    <mergeCell ref="AO68:AU68"/>
    <mergeCell ref="AV68:BB68"/>
    <mergeCell ref="BC68:BI68"/>
    <mergeCell ref="E69:K69"/>
    <mergeCell ref="L69:R69"/>
    <mergeCell ref="S69:Z69"/>
    <mergeCell ref="AA69:AG69"/>
    <mergeCell ref="AH69:AN69"/>
    <mergeCell ref="AO69:AU69"/>
    <mergeCell ref="AV69:BB69"/>
    <mergeCell ref="BC69:BI69"/>
    <mergeCell ref="E68:K68"/>
    <mergeCell ref="L68:R68"/>
    <mergeCell ref="S68:Z68"/>
    <mergeCell ref="AA68:AG68"/>
    <mergeCell ref="AH68:AN68"/>
    <mergeCell ref="AO66:AU66"/>
    <mergeCell ref="AV66:BB66"/>
    <mergeCell ref="BC66:BI66"/>
    <mergeCell ref="E67:K67"/>
    <mergeCell ref="L67:R67"/>
    <mergeCell ref="S67:Z67"/>
    <mergeCell ref="AA67:AG67"/>
    <mergeCell ref="AH67:AN67"/>
    <mergeCell ref="AO67:AU67"/>
    <mergeCell ref="AV67:BB67"/>
    <mergeCell ref="BC67:BI67"/>
    <mergeCell ref="E66:K66"/>
    <mergeCell ref="L66:R66"/>
    <mergeCell ref="S66:Z66"/>
    <mergeCell ref="AA66:AG66"/>
    <mergeCell ref="AH66:AN66"/>
    <mergeCell ref="AO64:AU64"/>
    <mergeCell ref="AV64:BB64"/>
    <mergeCell ref="BC64:BI64"/>
    <mergeCell ref="E65:K65"/>
    <mergeCell ref="L65:R65"/>
    <mergeCell ref="S65:Z65"/>
    <mergeCell ref="AA65:AG65"/>
    <mergeCell ref="AH65:AN65"/>
    <mergeCell ref="AO65:AU65"/>
    <mergeCell ref="AV65:BB65"/>
    <mergeCell ref="BC65:BI65"/>
    <mergeCell ref="E64:K64"/>
    <mergeCell ref="L64:R64"/>
    <mergeCell ref="S64:Z64"/>
    <mergeCell ref="AA64:AG64"/>
    <mergeCell ref="AH64:AN64"/>
    <mergeCell ref="AO62:AU62"/>
    <mergeCell ref="AV62:BB62"/>
    <mergeCell ref="BC62:BI62"/>
    <mergeCell ref="E63:K63"/>
    <mergeCell ref="L63:R63"/>
    <mergeCell ref="S63:Z63"/>
    <mergeCell ref="AA63:AG63"/>
    <mergeCell ref="AH63:AN63"/>
    <mergeCell ref="AO63:AU63"/>
    <mergeCell ref="AV63:BB63"/>
    <mergeCell ref="BC63:BI63"/>
    <mergeCell ref="E62:K62"/>
    <mergeCell ref="L62:R62"/>
    <mergeCell ref="S62:Z62"/>
    <mergeCell ref="AA62:AG62"/>
    <mergeCell ref="AH62:AN62"/>
    <mergeCell ref="AO60:AU60"/>
    <mergeCell ref="AV60:BB60"/>
    <mergeCell ref="BC60:BI60"/>
    <mergeCell ref="E61:K61"/>
    <mergeCell ref="L61:R61"/>
    <mergeCell ref="S61:Z61"/>
    <mergeCell ref="AA61:AG61"/>
    <mergeCell ref="AH61:AN61"/>
    <mergeCell ref="AO61:AU61"/>
    <mergeCell ref="AV61:BB61"/>
    <mergeCell ref="BC61:BI61"/>
    <mergeCell ref="E60:K60"/>
    <mergeCell ref="L60:R60"/>
    <mergeCell ref="S60:Z60"/>
    <mergeCell ref="AA60:AG60"/>
    <mergeCell ref="AH60:AN60"/>
    <mergeCell ref="AO58:AU58"/>
    <mergeCell ref="AV58:BB58"/>
    <mergeCell ref="BC58:BI58"/>
    <mergeCell ref="E59:K59"/>
    <mergeCell ref="L59:R59"/>
    <mergeCell ref="S59:Z59"/>
    <mergeCell ref="AA59:AG59"/>
    <mergeCell ref="AH59:AN59"/>
    <mergeCell ref="AO59:AU59"/>
    <mergeCell ref="AV59:BB59"/>
    <mergeCell ref="BC59:BI59"/>
    <mergeCell ref="E58:K58"/>
    <mergeCell ref="L58:R58"/>
    <mergeCell ref="S58:Z58"/>
    <mergeCell ref="AA58:AG58"/>
    <mergeCell ref="AH58:AN58"/>
    <mergeCell ref="AO56:AU56"/>
    <mergeCell ref="AV56:BB56"/>
    <mergeCell ref="BC56:BI56"/>
    <mergeCell ref="E57:K57"/>
    <mergeCell ref="L57:R57"/>
    <mergeCell ref="S57:Z57"/>
    <mergeCell ref="AA57:AG57"/>
    <mergeCell ref="AH57:AN57"/>
    <mergeCell ref="AO57:AU57"/>
    <mergeCell ref="AV57:BB57"/>
    <mergeCell ref="BC57:BI57"/>
    <mergeCell ref="E56:K56"/>
    <mergeCell ref="L56:R56"/>
    <mergeCell ref="S56:Z56"/>
    <mergeCell ref="AA56:AG56"/>
    <mergeCell ref="AH56:AN56"/>
    <mergeCell ref="AO54:AU54"/>
    <mergeCell ref="AV54:BB54"/>
    <mergeCell ref="BC54:BI54"/>
    <mergeCell ref="E55:K55"/>
    <mergeCell ref="L55:R55"/>
    <mergeCell ref="S55:Z55"/>
    <mergeCell ref="AA55:AG55"/>
    <mergeCell ref="AH55:AN55"/>
    <mergeCell ref="AO55:AU55"/>
    <mergeCell ref="AV55:BB55"/>
    <mergeCell ref="BC55:BI55"/>
    <mergeCell ref="E54:K54"/>
    <mergeCell ref="L54:R54"/>
    <mergeCell ref="S54:Z54"/>
    <mergeCell ref="AA54:AG54"/>
    <mergeCell ref="AH54:AN54"/>
    <mergeCell ref="AO52:AU52"/>
    <mergeCell ref="AV52:BB52"/>
    <mergeCell ref="BC52:BI52"/>
    <mergeCell ref="E53:K53"/>
    <mergeCell ref="L53:R53"/>
    <mergeCell ref="S53:Z53"/>
    <mergeCell ref="AA53:AG53"/>
    <mergeCell ref="AH53:AN53"/>
    <mergeCell ref="AO53:AU53"/>
    <mergeCell ref="AV53:BB53"/>
    <mergeCell ref="BC53:BI53"/>
    <mergeCell ref="E52:K52"/>
    <mergeCell ref="L52:R52"/>
    <mergeCell ref="S52:Z52"/>
    <mergeCell ref="AA52:AG52"/>
    <mergeCell ref="AH52:AN52"/>
    <mergeCell ref="AO50:AU50"/>
    <mergeCell ref="AV50:BB50"/>
    <mergeCell ref="BC50:BI50"/>
    <mergeCell ref="E51:K51"/>
    <mergeCell ref="L51:R51"/>
    <mergeCell ref="S51:Z51"/>
    <mergeCell ref="AA51:AG51"/>
    <mergeCell ref="AH51:AN51"/>
    <mergeCell ref="AO51:AU51"/>
    <mergeCell ref="AV51:BB51"/>
    <mergeCell ref="BC51:BI51"/>
    <mergeCell ref="E50:K50"/>
    <mergeCell ref="L50:R50"/>
    <mergeCell ref="S50:Z50"/>
    <mergeCell ref="AA50:AG50"/>
    <mergeCell ref="AH50:AN50"/>
    <mergeCell ref="AO48:AU48"/>
    <mergeCell ref="AV48:BB48"/>
    <mergeCell ref="BC48:BI48"/>
    <mergeCell ref="E49:K49"/>
    <mergeCell ref="L49:R49"/>
    <mergeCell ref="S49:Z49"/>
    <mergeCell ref="AA49:AG49"/>
    <mergeCell ref="AH49:AN49"/>
    <mergeCell ref="AO49:AU49"/>
    <mergeCell ref="AV49:BB49"/>
    <mergeCell ref="BC49:BI49"/>
    <mergeCell ref="E48:K48"/>
    <mergeCell ref="L48:R48"/>
    <mergeCell ref="S48:Z48"/>
    <mergeCell ref="AA48:AG48"/>
    <mergeCell ref="AH48:AN48"/>
    <mergeCell ref="AO46:AU46"/>
    <mergeCell ref="AV46:BB46"/>
    <mergeCell ref="BC46:BI46"/>
    <mergeCell ref="E47:K47"/>
    <mergeCell ref="L47:R47"/>
    <mergeCell ref="S47:Z47"/>
    <mergeCell ref="AA47:AG47"/>
    <mergeCell ref="AH47:AN47"/>
    <mergeCell ref="AO47:AU47"/>
    <mergeCell ref="AV47:BB47"/>
    <mergeCell ref="BC47:BI47"/>
    <mergeCell ref="E46:K46"/>
    <mergeCell ref="L46:R46"/>
    <mergeCell ref="S46:Z46"/>
    <mergeCell ref="AA46:AG46"/>
    <mergeCell ref="AH46:AN46"/>
    <mergeCell ref="AO44:AU44"/>
    <mergeCell ref="AV44:BB44"/>
    <mergeCell ref="BC44:BI44"/>
    <mergeCell ref="E45:K45"/>
    <mergeCell ref="L45:R45"/>
    <mergeCell ref="S45:Z45"/>
    <mergeCell ref="AA45:AG45"/>
    <mergeCell ref="AH45:AN45"/>
    <mergeCell ref="AO45:AU45"/>
    <mergeCell ref="AV45:BB45"/>
    <mergeCell ref="BC45:BI45"/>
    <mergeCell ref="E44:K44"/>
    <mergeCell ref="L44:R44"/>
    <mergeCell ref="S44:Z44"/>
    <mergeCell ref="AA44:AG44"/>
    <mergeCell ref="AH44:AN44"/>
    <mergeCell ref="AO42:AU42"/>
    <mergeCell ref="AV42:BB42"/>
    <mergeCell ref="BC42:BI42"/>
    <mergeCell ref="E43:K43"/>
    <mergeCell ref="L43:R43"/>
    <mergeCell ref="S43:Z43"/>
    <mergeCell ref="AA43:AG43"/>
    <mergeCell ref="AH43:AN43"/>
    <mergeCell ref="AO43:AU43"/>
    <mergeCell ref="AV43:BB43"/>
    <mergeCell ref="BC43:BI43"/>
    <mergeCell ref="E42:K42"/>
    <mergeCell ref="L42:R42"/>
    <mergeCell ref="S42:Z42"/>
    <mergeCell ref="AA42:AG42"/>
    <mergeCell ref="AH42:AN42"/>
    <mergeCell ref="AO40:AU40"/>
    <mergeCell ref="AV40:BB40"/>
    <mergeCell ref="BC40:BI40"/>
    <mergeCell ref="E41:K41"/>
    <mergeCell ref="L41:R41"/>
    <mergeCell ref="S41:Z41"/>
    <mergeCell ref="AA41:AG41"/>
    <mergeCell ref="AH41:AN41"/>
    <mergeCell ref="AO41:AU41"/>
    <mergeCell ref="AV41:BB41"/>
    <mergeCell ref="BC41:BI41"/>
    <mergeCell ref="E40:K40"/>
    <mergeCell ref="L40:R40"/>
    <mergeCell ref="S40:Z40"/>
    <mergeCell ref="AA40:AG40"/>
    <mergeCell ref="AH40:AN40"/>
    <mergeCell ref="AO38:AU38"/>
    <mergeCell ref="AV38:BB38"/>
    <mergeCell ref="BC38:BI38"/>
    <mergeCell ref="E39:K39"/>
    <mergeCell ref="L39:R39"/>
    <mergeCell ref="S39:Z39"/>
    <mergeCell ref="AA39:AG39"/>
    <mergeCell ref="AH39:AN39"/>
    <mergeCell ref="AO39:AU39"/>
    <mergeCell ref="AV39:BB39"/>
    <mergeCell ref="BC39:BI39"/>
    <mergeCell ref="E38:K38"/>
    <mergeCell ref="L38:R38"/>
    <mergeCell ref="S38:Z38"/>
    <mergeCell ref="AA38:AG38"/>
    <mergeCell ref="AH38:AN38"/>
    <mergeCell ref="AO36:AU36"/>
    <mergeCell ref="AV36:BB36"/>
    <mergeCell ref="BC36:BI36"/>
    <mergeCell ref="E37:K37"/>
    <mergeCell ref="L37:R37"/>
    <mergeCell ref="S37:Z37"/>
    <mergeCell ref="AA37:AG37"/>
    <mergeCell ref="AH37:AN37"/>
    <mergeCell ref="AO37:AU37"/>
    <mergeCell ref="AV37:BB37"/>
    <mergeCell ref="BC37:BI37"/>
    <mergeCell ref="E36:K36"/>
    <mergeCell ref="L36:R36"/>
    <mergeCell ref="S36:Z36"/>
    <mergeCell ref="AA36:AG36"/>
    <mergeCell ref="AH36:AN36"/>
    <mergeCell ref="AO34:AU34"/>
    <mergeCell ref="AV34:BB34"/>
    <mergeCell ref="BC34:BI34"/>
    <mergeCell ref="E35:K35"/>
    <mergeCell ref="L35:R35"/>
    <mergeCell ref="S35:Z35"/>
    <mergeCell ref="AA35:AG35"/>
    <mergeCell ref="AH35:AN35"/>
    <mergeCell ref="AO35:AU35"/>
    <mergeCell ref="AV35:BB35"/>
    <mergeCell ref="BC35:BI35"/>
    <mergeCell ref="E34:K34"/>
    <mergeCell ref="L34:R34"/>
    <mergeCell ref="S34:Z34"/>
    <mergeCell ref="AA34:AG34"/>
    <mergeCell ref="AH34:AN34"/>
    <mergeCell ref="AO32:AU32"/>
    <mergeCell ref="AV32:BB32"/>
    <mergeCell ref="BC32:BI32"/>
    <mergeCell ref="E33:K33"/>
    <mergeCell ref="L33:R33"/>
    <mergeCell ref="S33:Z33"/>
    <mergeCell ref="AA33:AG33"/>
    <mergeCell ref="AH33:AN33"/>
    <mergeCell ref="AO33:AU33"/>
    <mergeCell ref="AV33:BB33"/>
    <mergeCell ref="BC33:BI33"/>
    <mergeCell ref="E32:K32"/>
    <mergeCell ref="L32:R32"/>
    <mergeCell ref="S32:Z32"/>
    <mergeCell ref="AA32:AG32"/>
    <mergeCell ref="AH32:AN32"/>
    <mergeCell ref="AO30:AU30"/>
    <mergeCell ref="AV30:BB30"/>
    <mergeCell ref="BC30:BI30"/>
    <mergeCell ref="E31:K31"/>
    <mergeCell ref="L31:R31"/>
    <mergeCell ref="S31:Z31"/>
    <mergeCell ref="AA31:AG31"/>
    <mergeCell ref="AH31:AN31"/>
    <mergeCell ref="AO31:AU31"/>
    <mergeCell ref="AV31:BB31"/>
    <mergeCell ref="BC31:BI31"/>
    <mergeCell ref="E30:K30"/>
    <mergeCell ref="L30:R30"/>
    <mergeCell ref="S30:Z30"/>
    <mergeCell ref="AA30:AG30"/>
    <mergeCell ref="AH30:AN30"/>
    <mergeCell ref="AO28:AU28"/>
    <mergeCell ref="AV28:BB28"/>
    <mergeCell ref="BC28:BI28"/>
    <mergeCell ref="E29:K29"/>
    <mergeCell ref="L29:R29"/>
    <mergeCell ref="S29:Z29"/>
    <mergeCell ref="AA29:AG29"/>
    <mergeCell ref="AH29:AN29"/>
    <mergeCell ref="AO29:AU29"/>
    <mergeCell ref="AV29:BB29"/>
    <mergeCell ref="BC29:BI29"/>
    <mergeCell ref="E28:K28"/>
    <mergeCell ref="L28:R28"/>
    <mergeCell ref="S28:Z28"/>
    <mergeCell ref="AA28:AG28"/>
    <mergeCell ref="AH28:AN28"/>
    <mergeCell ref="AV26:BB26"/>
    <mergeCell ref="BC26:BI26"/>
    <mergeCell ref="E27:K27"/>
    <mergeCell ref="L27:R27"/>
    <mergeCell ref="S27:Z27"/>
    <mergeCell ref="AA27:AG27"/>
    <mergeCell ref="AH27:AN27"/>
    <mergeCell ref="AO27:AU27"/>
    <mergeCell ref="AV27:BB27"/>
    <mergeCell ref="BC27:BI27"/>
    <mergeCell ref="L26:R26"/>
    <mergeCell ref="S26:Z26"/>
    <mergeCell ref="AA26:AG26"/>
    <mergeCell ref="AH26:AN26"/>
    <mergeCell ref="AO26:AU26"/>
    <mergeCell ref="AV24:BB24"/>
    <mergeCell ref="BC24:BI24"/>
    <mergeCell ref="E25:K25"/>
    <mergeCell ref="L25:R25"/>
    <mergeCell ref="S25:Z25"/>
    <mergeCell ref="AA25:AG25"/>
    <mergeCell ref="AH25:AN25"/>
    <mergeCell ref="AO25:AU25"/>
    <mergeCell ref="AV25:BB25"/>
    <mergeCell ref="BC25:BI25"/>
    <mergeCell ref="L24:R24"/>
    <mergeCell ref="S24:Z24"/>
    <mergeCell ref="AA24:AG24"/>
    <mergeCell ref="AH24:AN24"/>
    <mergeCell ref="AO24:AU24"/>
    <mergeCell ref="E24:K24"/>
    <mergeCell ref="E26:K26"/>
    <mergeCell ref="AV22:BB22"/>
    <mergeCell ref="BC22:BI22"/>
    <mergeCell ref="E23:K23"/>
    <mergeCell ref="L23:R23"/>
    <mergeCell ref="S23:Z23"/>
    <mergeCell ref="AA23:AG23"/>
    <mergeCell ref="AH23:AN23"/>
    <mergeCell ref="AO23:AU23"/>
    <mergeCell ref="AV23:BB23"/>
    <mergeCell ref="BC23:BI23"/>
    <mergeCell ref="L22:R22"/>
    <mergeCell ref="S22:Z22"/>
    <mergeCell ref="AA22:AG22"/>
    <mergeCell ref="AH22:AN22"/>
    <mergeCell ref="AO22:AU22"/>
    <mergeCell ref="AV20:BB20"/>
    <mergeCell ref="BC20:BI20"/>
    <mergeCell ref="E21:K21"/>
    <mergeCell ref="L21:R21"/>
    <mergeCell ref="S21:Z21"/>
    <mergeCell ref="AA21:AG21"/>
    <mergeCell ref="AH21:AN21"/>
    <mergeCell ref="AO21:AU21"/>
    <mergeCell ref="AV21:BB21"/>
    <mergeCell ref="BC21:BI21"/>
    <mergeCell ref="L20:R20"/>
    <mergeCell ref="S20:Z20"/>
    <mergeCell ref="AA20:AG20"/>
    <mergeCell ref="AH20:AN20"/>
    <mergeCell ref="AO20:AU20"/>
    <mergeCell ref="E20:K20"/>
    <mergeCell ref="E22:K22"/>
    <mergeCell ref="AV18:BB18"/>
    <mergeCell ref="BC18:BI18"/>
    <mergeCell ref="E19:K19"/>
    <mergeCell ref="L19:R19"/>
    <mergeCell ref="S19:Z19"/>
    <mergeCell ref="AA19:AG19"/>
    <mergeCell ref="AH19:AN19"/>
    <mergeCell ref="AO19:AU19"/>
    <mergeCell ref="AV19:BB19"/>
    <mergeCell ref="BC19:BI19"/>
    <mergeCell ref="L18:R18"/>
    <mergeCell ref="S18:Z18"/>
    <mergeCell ref="AA18:AG18"/>
    <mergeCell ref="AH18:AN18"/>
    <mergeCell ref="AO18:AU18"/>
    <mergeCell ref="AV16:BB16"/>
    <mergeCell ref="BC16:BI16"/>
    <mergeCell ref="E17:K17"/>
    <mergeCell ref="L17:R17"/>
    <mergeCell ref="S17:Z17"/>
    <mergeCell ref="AA17:AG17"/>
    <mergeCell ref="AH17:AN17"/>
    <mergeCell ref="AO17:AU17"/>
    <mergeCell ref="AV17:BB17"/>
    <mergeCell ref="BC17:BI17"/>
    <mergeCell ref="L16:R16"/>
    <mergeCell ref="S16:Z16"/>
    <mergeCell ref="AA16:AG16"/>
    <mergeCell ref="AH16:AN16"/>
    <mergeCell ref="AO16:AU16"/>
    <mergeCell ref="E16:K16"/>
    <mergeCell ref="E18:K18"/>
    <mergeCell ref="E15:K15"/>
    <mergeCell ref="L15:R15"/>
    <mergeCell ref="S15:Z15"/>
    <mergeCell ref="AA15:AG15"/>
    <mergeCell ref="AH15:AN15"/>
    <mergeCell ref="AO15:AU15"/>
    <mergeCell ref="AV15:BB15"/>
    <mergeCell ref="BC15:BI15"/>
    <mergeCell ref="L14:R14"/>
    <mergeCell ref="S14:Z14"/>
    <mergeCell ref="AA14:AG14"/>
    <mergeCell ref="AH14:AN14"/>
    <mergeCell ref="AO14:AU14"/>
    <mergeCell ref="AV12:BB12"/>
    <mergeCell ref="BC12:BI12"/>
    <mergeCell ref="E13:K13"/>
    <mergeCell ref="L13:R13"/>
    <mergeCell ref="S13:Z13"/>
    <mergeCell ref="AA13:AG13"/>
    <mergeCell ref="AH13:AN13"/>
    <mergeCell ref="AO13:AU13"/>
    <mergeCell ref="AV13:BB13"/>
    <mergeCell ref="BC13:BI13"/>
    <mergeCell ref="L12:R12"/>
    <mergeCell ref="S12:Z12"/>
    <mergeCell ref="AA12:AG12"/>
    <mergeCell ref="AH12:AN12"/>
    <mergeCell ref="AO12:AU12"/>
    <mergeCell ref="E12:K12"/>
    <mergeCell ref="E14:K14"/>
    <mergeCell ref="AV14:BB14"/>
    <mergeCell ref="BC14:BI14"/>
    <mergeCell ref="L11:R11"/>
    <mergeCell ref="S11:Z11"/>
    <mergeCell ref="AA11:AG11"/>
    <mergeCell ref="AH11:AN11"/>
    <mergeCell ref="AO11:AU11"/>
    <mergeCell ref="AV11:BB11"/>
    <mergeCell ref="S10:Z10"/>
    <mergeCell ref="AA10:AG10"/>
    <mergeCell ref="AH10:AN10"/>
    <mergeCell ref="AO10:AU10"/>
    <mergeCell ref="AV8:BB8"/>
    <mergeCell ref="BC8:BI8"/>
    <mergeCell ref="E9:K9"/>
    <mergeCell ref="L9:R9"/>
    <mergeCell ref="S9:Z9"/>
    <mergeCell ref="AA9:AG9"/>
    <mergeCell ref="AH9:AN9"/>
    <mergeCell ref="AO9:AU9"/>
    <mergeCell ref="AV9:BB9"/>
    <mergeCell ref="BC9:BI9"/>
    <mergeCell ref="L8:R8"/>
    <mergeCell ref="S8:Z8"/>
    <mergeCell ref="AA8:AG8"/>
    <mergeCell ref="AH8:AN8"/>
    <mergeCell ref="AO8:AU8"/>
    <mergeCell ref="E8:K8"/>
    <mergeCell ref="A4:BM4"/>
    <mergeCell ref="A2:BM2"/>
    <mergeCell ref="A1:BM1"/>
    <mergeCell ref="AH269:BI269"/>
    <mergeCell ref="AH268:BI268"/>
    <mergeCell ref="AH267:BI267"/>
    <mergeCell ref="E267:Z267"/>
    <mergeCell ref="BC11:BI11"/>
    <mergeCell ref="L10:R10"/>
    <mergeCell ref="BJ5:BM5"/>
    <mergeCell ref="BJ3:BM3"/>
    <mergeCell ref="E265:K265"/>
    <mergeCell ref="E128:K128"/>
    <mergeCell ref="E127:K127"/>
    <mergeCell ref="A5:B5"/>
    <mergeCell ref="E5:AG5"/>
    <mergeCell ref="E6:K6"/>
    <mergeCell ref="L6:R6"/>
    <mergeCell ref="S6:Z6"/>
    <mergeCell ref="AA6:AG6"/>
    <mergeCell ref="AH6:AN6"/>
    <mergeCell ref="AO6:AU6"/>
    <mergeCell ref="AV6:BB6"/>
    <mergeCell ref="BC6:BI6"/>
    <mergeCell ref="A3:BI3"/>
    <mergeCell ref="AH5:BI5"/>
    <mergeCell ref="E10:K10"/>
    <mergeCell ref="AV10:BB10"/>
    <mergeCell ref="BC10:BI10"/>
    <mergeCell ref="E11:K11"/>
    <mergeCell ref="AO133:AU133"/>
    <mergeCell ref="AV133:BB133"/>
    <mergeCell ref="AA134:AG134"/>
    <mergeCell ref="AH134:AN134"/>
    <mergeCell ref="AO134:AU134"/>
    <mergeCell ref="AV134:BB134"/>
    <mergeCell ref="BC134:BI134"/>
    <mergeCell ref="E135:K135"/>
    <mergeCell ref="L135:R135"/>
    <mergeCell ref="S135:Z135"/>
    <mergeCell ref="AA135:AG135"/>
    <mergeCell ref="AH135:AN135"/>
    <mergeCell ref="AO135:AU135"/>
    <mergeCell ref="AV135:BB135"/>
    <mergeCell ref="BC135:BI135"/>
    <mergeCell ref="E136:K136"/>
    <mergeCell ref="L136:R136"/>
    <mergeCell ref="S136:Z136"/>
    <mergeCell ref="AA136:AG136"/>
    <mergeCell ref="AH136:AN136"/>
    <mergeCell ref="AO136:AU136"/>
    <mergeCell ref="AV136:BB136"/>
    <mergeCell ref="BC136:BI136"/>
    <mergeCell ref="L134:R134"/>
    <mergeCell ref="S134:Z134"/>
    <mergeCell ref="E137:K137"/>
    <mergeCell ref="L137:R137"/>
    <mergeCell ref="S137:Z137"/>
    <mergeCell ref="AA137:AG137"/>
    <mergeCell ref="AH137:AN137"/>
    <mergeCell ref="AO137:AU137"/>
    <mergeCell ref="AV137:BB137"/>
    <mergeCell ref="BC137:BI137"/>
    <mergeCell ref="E138:K138"/>
    <mergeCell ref="L138:R138"/>
    <mergeCell ref="S138:Z138"/>
    <mergeCell ref="AA138:AG138"/>
    <mergeCell ref="AH138:AN138"/>
    <mergeCell ref="AO138:AU138"/>
    <mergeCell ref="AV138:BB138"/>
    <mergeCell ref="BC138:BI138"/>
    <mergeCell ref="E139:K139"/>
    <mergeCell ref="L139:R139"/>
    <mergeCell ref="S139:Z139"/>
    <mergeCell ref="AA139:AG139"/>
    <mergeCell ref="AH139:AN139"/>
    <mergeCell ref="AO139:AU139"/>
    <mergeCell ref="AV139:BB139"/>
    <mergeCell ref="BC139:BI139"/>
    <mergeCell ref="E140:K140"/>
    <mergeCell ref="L140:R140"/>
    <mergeCell ref="S140:Z140"/>
    <mergeCell ref="AA140:AG140"/>
    <mergeCell ref="AH140:AN140"/>
    <mergeCell ref="AO140:AU140"/>
    <mergeCell ref="AV140:BB140"/>
    <mergeCell ref="BC140:BI140"/>
    <mergeCell ref="E141:K141"/>
    <mergeCell ref="L141:R141"/>
    <mergeCell ref="S141:Z141"/>
    <mergeCell ref="AA141:AG141"/>
    <mergeCell ref="AH141:AN141"/>
    <mergeCell ref="AO141:AU141"/>
    <mergeCell ref="AV141:BB141"/>
    <mergeCell ref="BC141:BI141"/>
    <mergeCell ref="E142:K142"/>
    <mergeCell ref="L142:R142"/>
    <mergeCell ref="S142:Z142"/>
    <mergeCell ref="AA142:AG142"/>
    <mergeCell ref="AH142:AN142"/>
    <mergeCell ref="AO142:AU142"/>
    <mergeCell ref="AV142:BB142"/>
    <mergeCell ref="BC142:BI142"/>
    <mergeCell ref="E143:K143"/>
    <mergeCell ref="L143:R143"/>
    <mergeCell ref="S143:Z143"/>
    <mergeCell ref="AA143:AG143"/>
    <mergeCell ref="AH143:AN143"/>
    <mergeCell ref="AO143:AU143"/>
    <mergeCell ref="AV143:BB143"/>
    <mergeCell ref="BC143:BI143"/>
    <mergeCell ref="E144:K144"/>
    <mergeCell ref="L144:R144"/>
    <mergeCell ref="S144:Z144"/>
    <mergeCell ref="AA144:AG144"/>
    <mergeCell ref="AH144:AN144"/>
    <mergeCell ref="AO144:AU144"/>
    <mergeCell ref="AV144:BB144"/>
    <mergeCell ref="BC144:BI144"/>
    <mergeCell ref="E145:K145"/>
    <mergeCell ref="L145:R145"/>
    <mergeCell ref="S145:Z145"/>
    <mergeCell ref="AA145:AG145"/>
    <mergeCell ref="AH145:AN145"/>
    <mergeCell ref="AO145:AU145"/>
    <mergeCell ref="AV145:BB145"/>
    <mergeCell ref="BC145:BI145"/>
    <mergeCell ref="E146:K146"/>
    <mergeCell ref="L146:R146"/>
    <mergeCell ref="S146:Z146"/>
    <mergeCell ref="AA146:AG146"/>
    <mergeCell ref="AH146:AN146"/>
    <mergeCell ref="AO146:AU146"/>
    <mergeCell ref="AV146:BB146"/>
    <mergeCell ref="BC146:BI146"/>
    <mergeCell ref="E147:K147"/>
    <mergeCell ref="L147:R147"/>
    <mergeCell ref="S147:Z147"/>
    <mergeCell ref="AA147:AG147"/>
    <mergeCell ref="AH147:AN147"/>
    <mergeCell ref="AO147:AU147"/>
    <mergeCell ref="AV147:BB147"/>
    <mergeCell ref="BC147:BI147"/>
    <mergeCell ref="E148:K148"/>
    <mergeCell ref="L148:R148"/>
    <mergeCell ref="S148:Z148"/>
    <mergeCell ref="AA148:AG148"/>
    <mergeCell ref="AH148:AN148"/>
    <mergeCell ref="AO148:AU148"/>
    <mergeCell ref="AV148:BB148"/>
    <mergeCell ref="BC148:BI148"/>
    <mergeCell ref="E149:K149"/>
    <mergeCell ref="L149:R149"/>
    <mergeCell ref="S149:Z149"/>
    <mergeCell ref="AA149:AG149"/>
    <mergeCell ref="AH149:AN149"/>
    <mergeCell ref="AO149:AU149"/>
    <mergeCell ref="AV149:BB149"/>
    <mergeCell ref="BC149:BI149"/>
    <mergeCell ref="E150:K150"/>
    <mergeCell ref="L150:R150"/>
    <mergeCell ref="S150:Z150"/>
    <mergeCell ref="AA150:AG150"/>
    <mergeCell ref="AH150:AN150"/>
    <mergeCell ref="AO150:AU150"/>
    <mergeCell ref="AV150:BB150"/>
    <mergeCell ref="BC150:BI150"/>
    <mergeCell ref="E151:K151"/>
    <mergeCell ref="L151:R151"/>
    <mergeCell ref="S151:Z151"/>
    <mergeCell ref="AA151:AG151"/>
    <mergeCell ref="AH151:AN151"/>
    <mergeCell ref="AO151:AU151"/>
    <mergeCell ref="AV151:BB151"/>
    <mergeCell ref="BC151:BI151"/>
    <mergeCell ref="E152:K152"/>
    <mergeCell ref="L152:R152"/>
    <mergeCell ref="S152:Z152"/>
    <mergeCell ref="AA152:AG152"/>
    <mergeCell ref="AH152:AN152"/>
    <mergeCell ref="AO152:AU152"/>
    <mergeCell ref="AV152:BB152"/>
    <mergeCell ref="BC152:BI152"/>
    <mergeCell ref="E153:K153"/>
    <mergeCell ref="L153:R153"/>
    <mergeCell ref="S153:Z153"/>
    <mergeCell ref="AA153:AG153"/>
    <mergeCell ref="AH153:AN153"/>
    <mergeCell ref="AO153:AU153"/>
    <mergeCell ref="AV153:BB153"/>
    <mergeCell ref="BC153:BI153"/>
    <mergeCell ref="E154:K154"/>
    <mergeCell ref="L154:R154"/>
    <mergeCell ref="S154:Z154"/>
    <mergeCell ref="AA154:AG154"/>
    <mergeCell ref="AH154:AN154"/>
    <mergeCell ref="AO154:AU154"/>
    <mergeCell ref="AV154:BB154"/>
    <mergeCell ref="BC154:BI154"/>
    <mergeCell ref="E155:K155"/>
    <mergeCell ref="L155:R155"/>
    <mergeCell ref="S155:Z155"/>
    <mergeCell ref="AA155:AG155"/>
    <mergeCell ref="AH155:AN155"/>
    <mergeCell ref="AO155:AU155"/>
    <mergeCell ref="AV155:BB155"/>
    <mergeCell ref="BC155:BI155"/>
    <mergeCell ref="E156:K156"/>
    <mergeCell ref="L156:R156"/>
    <mergeCell ref="S156:Z156"/>
    <mergeCell ref="AA156:AG156"/>
    <mergeCell ref="AH156:AN156"/>
    <mergeCell ref="AO156:AU156"/>
    <mergeCell ref="AV156:BB156"/>
    <mergeCell ref="BC156:BI156"/>
    <mergeCell ref="E157:K157"/>
    <mergeCell ref="L157:R157"/>
    <mergeCell ref="S157:Z157"/>
    <mergeCell ref="AA157:AG157"/>
    <mergeCell ref="AH157:AN157"/>
    <mergeCell ref="AO157:AU157"/>
    <mergeCell ref="AV157:BB157"/>
    <mergeCell ref="BC157:BI157"/>
    <mergeCell ref="E158:K158"/>
    <mergeCell ref="L158:R158"/>
    <mergeCell ref="S158:Z158"/>
    <mergeCell ref="AA158:AG158"/>
    <mergeCell ref="AH158:AN158"/>
    <mergeCell ref="AO158:AU158"/>
    <mergeCell ref="AV158:BB158"/>
    <mergeCell ref="BC158:BI158"/>
    <mergeCell ref="E159:K159"/>
    <mergeCell ref="L159:R159"/>
    <mergeCell ref="S159:Z159"/>
    <mergeCell ref="AA159:AG159"/>
    <mergeCell ref="AH159:AN159"/>
    <mergeCell ref="AO159:AU159"/>
    <mergeCell ref="AV159:BB159"/>
    <mergeCell ref="BC159:BI159"/>
    <mergeCell ref="E160:K160"/>
    <mergeCell ref="L160:R160"/>
    <mergeCell ref="S160:Z160"/>
    <mergeCell ref="AA160:AG160"/>
    <mergeCell ref="AH160:AN160"/>
    <mergeCell ref="AO160:AU160"/>
    <mergeCell ref="AV160:BB160"/>
    <mergeCell ref="BC160:BI160"/>
    <mergeCell ref="E161:K161"/>
    <mergeCell ref="L161:R161"/>
    <mergeCell ref="S161:Z161"/>
    <mergeCell ref="AA161:AG161"/>
    <mergeCell ref="AH161:AN161"/>
    <mergeCell ref="AO161:AU161"/>
    <mergeCell ref="AV161:BB161"/>
    <mergeCell ref="BC161:BI161"/>
    <mergeCell ref="E162:K162"/>
    <mergeCell ref="L162:R162"/>
    <mergeCell ref="S162:Z162"/>
    <mergeCell ref="AA162:AG162"/>
    <mergeCell ref="AH162:AN162"/>
    <mergeCell ref="AO162:AU162"/>
    <mergeCell ref="AV162:BB162"/>
    <mergeCell ref="BC162:BI162"/>
    <mergeCell ref="E163:K163"/>
    <mergeCell ref="L163:R163"/>
    <mergeCell ref="S163:Z163"/>
    <mergeCell ref="AA163:AG163"/>
    <mergeCell ref="AH163:AN163"/>
    <mergeCell ref="AO163:AU163"/>
    <mergeCell ref="AV163:BB163"/>
    <mergeCell ref="BC163:BI163"/>
    <mergeCell ref="E164:K164"/>
    <mergeCell ref="L164:R164"/>
    <mergeCell ref="S164:Z164"/>
    <mergeCell ref="AA164:AG164"/>
    <mergeCell ref="AH164:AN164"/>
    <mergeCell ref="AO164:AU164"/>
    <mergeCell ref="AV164:BB164"/>
    <mergeCell ref="BC164:BI164"/>
    <mergeCell ref="E165:K165"/>
    <mergeCell ref="L165:R165"/>
    <mergeCell ref="S165:Z165"/>
    <mergeCell ref="AA165:AG165"/>
    <mergeCell ref="AH165:AN165"/>
    <mergeCell ref="AO165:AU165"/>
    <mergeCell ref="AV165:BB165"/>
    <mergeCell ref="BC165:BI165"/>
    <mergeCell ref="E166:K166"/>
    <mergeCell ref="L166:R166"/>
    <mergeCell ref="S166:Z166"/>
    <mergeCell ref="AA166:AG166"/>
    <mergeCell ref="AH166:AN166"/>
    <mergeCell ref="AO166:AU166"/>
    <mergeCell ref="AV166:BB166"/>
    <mergeCell ref="BC166:BI166"/>
    <mergeCell ref="E167:K167"/>
    <mergeCell ref="L167:R167"/>
    <mergeCell ref="S167:Z167"/>
    <mergeCell ref="AA167:AG167"/>
    <mergeCell ref="AH167:AN167"/>
    <mergeCell ref="AO167:AU167"/>
    <mergeCell ref="AV167:BB167"/>
    <mergeCell ref="BC167:BI167"/>
    <mergeCell ref="E168:K168"/>
    <mergeCell ref="L168:R168"/>
    <mergeCell ref="S168:Z168"/>
    <mergeCell ref="AA168:AG168"/>
    <mergeCell ref="AH168:AN168"/>
    <mergeCell ref="AO168:AU168"/>
    <mergeCell ref="AV168:BB168"/>
    <mergeCell ref="BC168:BI168"/>
    <mergeCell ref="E169:K169"/>
    <mergeCell ref="L169:R169"/>
    <mergeCell ref="S169:Z169"/>
    <mergeCell ref="AA169:AG169"/>
    <mergeCell ref="AH169:AN169"/>
    <mergeCell ref="AO169:AU169"/>
    <mergeCell ref="AV169:BB169"/>
    <mergeCell ref="BC169:BI169"/>
    <mergeCell ref="E170:K170"/>
    <mergeCell ref="L170:R170"/>
    <mergeCell ref="S170:Z170"/>
    <mergeCell ref="AA170:AG170"/>
    <mergeCell ref="AH170:AN170"/>
    <mergeCell ref="AO170:AU170"/>
    <mergeCell ref="AV170:BB170"/>
    <mergeCell ref="BC170:BI170"/>
    <mergeCell ref="E171:K171"/>
    <mergeCell ref="L171:R171"/>
    <mergeCell ref="S171:Z171"/>
    <mergeCell ref="AA171:AG171"/>
    <mergeCell ref="AH171:AN171"/>
    <mergeCell ref="AO171:AU171"/>
    <mergeCell ref="AV171:BB171"/>
    <mergeCell ref="BC171:BI171"/>
    <mergeCell ref="E172:K172"/>
    <mergeCell ref="L172:R172"/>
    <mergeCell ref="S172:Z172"/>
    <mergeCell ref="AA172:AG172"/>
    <mergeCell ref="AH172:AN172"/>
    <mergeCell ref="AO172:AU172"/>
    <mergeCell ref="AV172:BB172"/>
    <mergeCell ref="BC172:BI172"/>
    <mergeCell ref="E173:K173"/>
    <mergeCell ref="L173:R173"/>
    <mergeCell ref="S173:Z173"/>
    <mergeCell ref="AA173:AG173"/>
    <mergeCell ref="AH173:AN173"/>
    <mergeCell ref="AO173:AU173"/>
    <mergeCell ref="AV173:BB173"/>
    <mergeCell ref="BC173:BI173"/>
    <mergeCell ref="E174:K174"/>
    <mergeCell ref="L174:R174"/>
    <mergeCell ref="S174:Z174"/>
    <mergeCell ref="AA174:AG174"/>
    <mergeCell ref="AH174:AN174"/>
    <mergeCell ref="AO174:AU174"/>
    <mergeCell ref="AV174:BB174"/>
    <mergeCell ref="BC174:BI174"/>
    <mergeCell ref="E175:K175"/>
    <mergeCell ref="L175:R175"/>
    <mergeCell ref="S175:Z175"/>
    <mergeCell ref="AA175:AG175"/>
    <mergeCell ref="AH175:AN175"/>
    <mergeCell ref="AO175:AU175"/>
    <mergeCell ref="AV175:BB175"/>
    <mergeCell ref="BC175:BI175"/>
    <mergeCell ref="E176:K176"/>
    <mergeCell ref="L176:R176"/>
    <mergeCell ref="S176:Z176"/>
    <mergeCell ref="AA176:AG176"/>
    <mergeCell ref="AH176:AN176"/>
    <mergeCell ref="AO176:AU176"/>
    <mergeCell ref="AV176:BB176"/>
    <mergeCell ref="BC176:BI176"/>
    <mergeCell ref="E177:K177"/>
    <mergeCell ref="L177:R177"/>
    <mergeCell ref="S177:Z177"/>
    <mergeCell ref="AA177:AG177"/>
    <mergeCell ref="AH177:AN177"/>
    <mergeCell ref="AO177:AU177"/>
    <mergeCell ref="AV177:BB177"/>
    <mergeCell ref="BC177:BI177"/>
    <mergeCell ref="E183:K183"/>
    <mergeCell ref="L183:R183"/>
    <mergeCell ref="S183:Z183"/>
    <mergeCell ref="AA183:AG183"/>
    <mergeCell ref="AH183:AN183"/>
    <mergeCell ref="AO183:AU183"/>
    <mergeCell ref="AV183:BB183"/>
    <mergeCell ref="BC183:BI183"/>
    <mergeCell ref="E178:K178"/>
    <mergeCell ref="L178:R178"/>
    <mergeCell ref="S178:Z178"/>
    <mergeCell ref="AA178:AG178"/>
    <mergeCell ref="AH178:AN178"/>
    <mergeCell ref="AO178:AU178"/>
    <mergeCell ref="AV178:BB178"/>
    <mergeCell ref="BC178:BI178"/>
    <mergeCell ref="E179:K179"/>
    <mergeCell ref="L179:R179"/>
    <mergeCell ref="S179:Z179"/>
    <mergeCell ref="AA179:AG179"/>
    <mergeCell ref="AH179:AN179"/>
    <mergeCell ref="AO179:AU179"/>
    <mergeCell ref="AV179:BB179"/>
    <mergeCell ref="BC179:BI179"/>
    <mergeCell ref="E180:K180"/>
    <mergeCell ref="L180:R180"/>
    <mergeCell ref="S180:Z180"/>
    <mergeCell ref="AA180:AG180"/>
    <mergeCell ref="AH180:AN180"/>
    <mergeCell ref="AO180:AU180"/>
    <mergeCell ref="AV180:BB180"/>
    <mergeCell ref="BC180:BI180"/>
    <mergeCell ref="E189:K189"/>
    <mergeCell ref="L189:R189"/>
    <mergeCell ref="S189:Z189"/>
    <mergeCell ref="AA189:AG189"/>
    <mergeCell ref="AH189:AN189"/>
    <mergeCell ref="AO189:AU189"/>
    <mergeCell ref="AV189:BB189"/>
    <mergeCell ref="BC189:BI189"/>
    <mergeCell ref="E186:K186"/>
    <mergeCell ref="L186:R186"/>
    <mergeCell ref="S186:Z186"/>
    <mergeCell ref="AA186:AG186"/>
    <mergeCell ref="AH186:AN186"/>
    <mergeCell ref="AO186:AU186"/>
    <mergeCell ref="AV186:BB186"/>
    <mergeCell ref="BC186:BI186"/>
    <mergeCell ref="E181:K181"/>
    <mergeCell ref="L181:R181"/>
    <mergeCell ref="S181:Z181"/>
    <mergeCell ref="AA181:AG181"/>
    <mergeCell ref="AH181:AN181"/>
    <mergeCell ref="AO181:AU181"/>
    <mergeCell ref="AV181:BB181"/>
    <mergeCell ref="BC181:BI181"/>
    <mergeCell ref="E182:K182"/>
    <mergeCell ref="L182:R182"/>
    <mergeCell ref="S182:Z182"/>
    <mergeCell ref="AA182:AG182"/>
    <mergeCell ref="AH182:AN182"/>
    <mergeCell ref="AO182:AU182"/>
    <mergeCell ref="AV182:BB182"/>
    <mergeCell ref="BC182:BI182"/>
    <mergeCell ref="E190:K190"/>
    <mergeCell ref="L190:R190"/>
    <mergeCell ref="S190:Z190"/>
    <mergeCell ref="AA190:AG190"/>
    <mergeCell ref="AH190:AN190"/>
    <mergeCell ref="AO190:AU190"/>
    <mergeCell ref="AV190:BB190"/>
    <mergeCell ref="BC190:BI190"/>
    <mergeCell ref="E191:K191"/>
    <mergeCell ref="L191:R191"/>
    <mergeCell ref="S191:Z191"/>
    <mergeCell ref="AA191:AG191"/>
    <mergeCell ref="AH191:AN191"/>
    <mergeCell ref="AO191:AU191"/>
    <mergeCell ref="AV191:BB191"/>
    <mergeCell ref="BC191:BI191"/>
    <mergeCell ref="E184:K184"/>
    <mergeCell ref="L184:R184"/>
    <mergeCell ref="S184:Z184"/>
    <mergeCell ref="AA184:AG184"/>
    <mergeCell ref="AH184:AN184"/>
    <mergeCell ref="AO184:AU184"/>
    <mergeCell ref="AV184:BB184"/>
    <mergeCell ref="BC184:BI184"/>
    <mergeCell ref="E185:K185"/>
    <mergeCell ref="L185:R185"/>
    <mergeCell ref="S185:Z185"/>
    <mergeCell ref="AA185:AG185"/>
    <mergeCell ref="AH185:AN185"/>
    <mergeCell ref="AO185:AU185"/>
    <mergeCell ref="AV185:BB185"/>
    <mergeCell ref="BC185:BI185"/>
    <mergeCell ref="L187:R187"/>
    <mergeCell ref="S187:Z187"/>
    <mergeCell ref="AA187:AG187"/>
    <mergeCell ref="AH187:AN187"/>
    <mergeCell ref="AO187:AU187"/>
    <mergeCell ref="AV187:BB187"/>
    <mergeCell ref="BC187:BI187"/>
    <mergeCell ref="E192:K192"/>
    <mergeCell ref="L192:R192"/>
    <mergeCell ref="S192:Z192"/>
    <mergeCell ref="AA192:AG192"/>
    <mergeCell ref="AH192:AN192"/>
    <mergeCell ref="AO192:AU192"/>
    <mergeCell ref="AV192:BB192"/>
    <mergeCell ref="BC192:BI192"/>
    <mergeCell ref="E193:K193"/>
    <mergeCell ref="L193:R193"/>
    <mergeCell ref="S193:Z193"/>
    <mergeCell ref="AA193:AG193"/>
    <mergeCell ref="AH193:AN193"/>
    <mergeCell ref="AO193:AU193"/>
    <mergeCell ref="AV193:BB193"/>
    <mergeCell ref="BC193:BI193"/>
    <mergeCell ref="E194:K194"/>
    <mergeCell ref="L194:R194"/>
    <mergeCell ref="S194:Z194"/>
    <mergeCell ref="AA194:AG194"/>
    <mergeCell ref="AH194:AN194"/>
    <mergeCell ref="AO194:AU194"/>
    <mergeCell ref="AV194:BB194"/>
    <mergeCell ref="BC194:BI194"/>
    <mergeCell ref="E195:K195"/>
    <mergeCell ref="L195:R195"/>
    <mergeCell ref="S195:Z195"/>
    <mergeCell ref="AA195:AG195"/>
    <mergeCell ref="AH195:AN195"/>
    <mergeCell ref="AO195:AU195"/>
    <mergeCell ref="AV195:BB195"/>
    <mergeCell ref="BC195:BI195"/>
    <mergeCell ref="E196:K196"/>
    <mergeCell ref="L196:R196"/>
    <mergeCell ref="S196:Z196"/>
    <mergeCell ref="AA196:AG196"/>
    <mergeCell ref="AH196:AN196"/>
    <mergeCell ref="AO196:AU196"/>
    <mergeCell ref="AV196:BB196"/>
    <mergeCell ref="BC196:BI196"/>
    <mergeCell ref="E197:K197"/>
    <mergeCell ref="L197:R197"/>
    <mergeCell ref="S197:Z197"/>
    <mergeCell ref="AA197:AG197"/>
    <mergeCell ref="AH197:AN197"/>
    <mergeCell ref="AO197:AU197"/>
    <mergeCell ref="AV197:BB197"/>
    <mergeCell ref="BC197:BI197"/>
    <mergeCell ref="E198:K198"/>
    <mergeCell ref="L198:R198"/>
    <mergeCell ref="S198:Z198"/>
    <mergeCell ref="AA198:AG198"/>
    <mergeCell ref="AH198:AN198"/>
    <mergeCell ref="AO198:AU198"/>
    <mergeCell ref="AV198:BB198"/>
    <mergeCell ref="BC198:BI198"/>
    <mergeCell ref="E199:K199"/>
    <mergeCell ref="L199:R199"/>
    <mergeCell ref="S199:Z199"/>
    <mergeCell ref="AA199:AG199"/>
    <mergeCell ref="AH199:AN199"/>
    <mergeCell ref="AO199:AU199"/>
    <mergeCell ref="AV199:BB199"/>
    <mergeCell ref="BC199:BI199"/>
    <mergeCell ref="E200:K200"/>
    <mergeCell ref="L200:R200"/>
    <mergeCell ref="S200:Z200"/>
    <mergeCell ref="AA200:AG200"/>
    <mergeCell ref="AH200:AN200"/>
    <mergeCell ref="AO200:AU200"/>
    <mergeCell ref="AV200:BB200"/>
    <mergeCell ref="BC200:BI200"/>
    <mergeCell ref="E201:K201"/>
    <mergeCell ref="L201:R201"/>
    <mergeCell ref="S201:Z201"/>
    <mergeCell ref="AA201:AG201"/>
    <mergeCell ref="AH201:AN201"/>
    <mergeCell ref="AO201:AU201"/>
    <mergeCell ref="AV201:BB201"/>
    <mergeCell ref="BC201:BI201"/>
    <mergeCell ref="E202:K202"/>
    <mergeCell ref="L202:R202"/>
    <mergeCell ref="S202:Z202"/>
    <mergeCell ref="AA202:AG202"/>
    <mergeCell ref="AH202:AN202"/>
    <mergeCell ref="AO202:AU202"/>
    <mergeCell ref="AV202:BB202"/>
    <mergeCell ref="BC202:BI202"/>
    <mergeCell ref="E220:K220"/>
    <mergeCell ref="L220:R220"/>
    <mergeCell ref="S220:Z220"/>
    <mergeCell ref="AA220:AG220"/>
    <mergeCell ref="AH220:AN220"/>
    <mergeCell ref="AO220:AU220"/>
    <mergeCell ref="AV220:BB220"/>
    <mergeCell ref="BC220:BI220"/>
    <mergeCell ref="BC204:BI204"/>
    <mergeCell ref="E205:K205"/>
    <mergeCell ref="L205:R205"/>
    <mergeCell ref="S205:Z205"/>
    <mergeCell ref="AA205:AG205"/>
    <mergeCell ref="AH205:AN205"/>
    <mergeCell ref="AO205:AU205"/>
    <mergeCell ref="AA213:AG213"/>
    <mergeCell ref="E74:K74"/>
    <mergeCell ref="L74:R74"/>
    <mergeCell ref="S74:Z74"/>
    <mergeCell ref="AA74:AG74"/>
    <mergeCell ref="AH74:AN74"/>
    <mergeCell ref="AO74:AU74"/>
    <mergeCell ref="AV74:BB74"/>
    <mergeCell ref="BC74:BI74"/>
    <mergeCell ref="E76:K76"/>
    <mergeCell ref="L76:R76"/>
    <mergeCell ref="S76:Z76"/>
    <mergeCell ref="AA76:AG76"/>
    <mergeCell ref="AH76:AN76"/>
    <mergeCell ref="AO76:AU76"/>
    <mergeCell ref="AV76:BB76"/>
    <mergeCell ref="BC76:BI76"/>
    <mergeCell ref="E263:K263"/>
    <mergeCell ref="L263:R263"/>
    <mergeCell ref="S263:Z263"/>
    <mergeCell ref="AA263:AG263"/>
    <mergeCell ref="AH263:AN263"/>
    <mergeCell ref="AO263:AU263"/>
    <mergeCell ref="AV263:BB263"/>
    <mergeCell ref="BC263:BI263"/>
    <mergeCell ref="E221:K221"/>
    <mergeCell ref="L221:R221"/>
    <mergeCell ref="S221:Z221"/>
    <mergeCell ref="AA221:AG221"/>
    <mergeCell ref="AH221:AN221"/>
    <mergeCell ref="AV221:BB221"/>
    <mergeCell ref="BC221:BI221"/>
    <mergeCell ref="E187:K187"/>
    <mergeCell ref="E204:K204"/>
    <mergeCell ref="L204:R204"/>
    <mergeCell ref="S204:Z204"/>
    <mergeCell ref="AA204:AG204"/>
    <mergeCell ref="AH204:AN204"/>
    <mergeCell ref="AO204:AU204"/>
    <mergeCell ref="AV204:BB204"/>
    <mergeCell ref="AV205:BB205"/>
    <mergeCell ref="BC205:BI205"/>
    <mergeCell ref="E206:K206"/>
    <mergeCell ref="L206:R206"/>
    <mergeCell ref="S206:Z206"/>
    <mergeCell ref="AA206:AG206"/>
    <mergeCell ref="AH206:AN206"/>
    <mergeCell ref="AO206:AU206"/>
    <mergeCell ref="AV206:BB206"/>
    <mergeCell ref="BC206:BI206"/>
    <mergeCell ref="E207:K207"/>
    <mergeCell ref="L207:R207"/>
    <mergeCell ref="S207:Z207"/>
    <mergeCell ref="AA207:AG207"/>
    <mergeCell ref="AH207:AN207"/>
    <mergeCell ref="AO207:AU207"/>
    <mergeCell ref="AV207:BB207"/>
    <mergeCell ref="BC207:BI207"/>
    <mergeCell ref="E213:K213"/>
    <mergeCell ref="L213:R213"/>
    <mergeCell ref="S213:Z213"/>
    <mergeCell ref="AH213:AN213"/>
    <mergeCell ref="AO213:AU213"/>
    <mergeCell ref="AV213:BB213"/>
    <mergeCell ref="BC213:BI213"/>
    <mergeCell ref="E208:K208"/>
    <mergeCell ref="L208:R208"/>
    <mergeCell ref="S208:Z208"/>
    <mergeCell ref="AA208:AG208"/>
    <mergeCell ref="AH208:AN208"/>
    <mergeCell ref="AO208:AU208"/>
    <mergeCell ref="AV208:BB208"/>
    <mergeCell ref="BC208:BI208"/>
    <mergeCell ref="E209:K209"/>
    <mergeCell ref="L209:R209"/>
    <mergeCell ref="S209:Z209"/>
    <mergeCell ref="AA209:AG209"/>
    <mergeCell ref="AH209:AN209"/>
    <mergeCell ref="AO209:AU209"/>
    <mergeCell ref="AV209:BB209"/>
    <mergeCell ref="BC209:BI209"/>
    <mergeCell ref="E210:K210"/>
    <mergeCell ref="L210:R210"/>
    <mergeCell ref="S210:Z210"/>
    <mergeCell ref="AA210:AG210"/>
    <mergeCell ref="AH210:AN210"/>
    <mergeCell ref="AO210:AU210"/>
    <mergeCell ref="AV210:BB210"/>
    <mergeCell ref="BC210:BI210"/>
    <mergeCell ref="E214:K214"/>
    <mergeCell ref="L214:R214"/>
    <mergeCell ref="S214:Z214"/>
    <mergeCell ref="AA214:AG214"/>
    <mergeCell ref="AH214:AN214"/>
    <mergeCell ref="AO214:AU214"/>
    <mergeCell ref="AV214:BB214"/>
    <mergeCell ref="BC214:BI214"/>
    <mergeCell ref="E215:K215"/>
    <mergeCell ref="L215:R215"/>
    <mergeCell ref="S215:Z215"/>
    <mergeCell ref="AA215:AG215"/>
    <mergeCell ref="AH215:AN215"/>
    <mergeCell ref="AO215:AU215"/>
    <mergeCell ref="AV215:BB215"/>
    <mergeCell ref="BC215:BI215"/>
    <mergeCell ref="E211:K211"/>
    <mergeCell ref="L211:R211"/>
    <mergeCell ref="S211:Z211"/>
    <mergeCell ref="AA211:AG211"/>
    <mergeCell ref="AH211:AN211"/>
    <mergeCell ref="AO211:AU211"/>
    <mergeCell ref="AV211:BB211"/>
    <mergeCell ref="BC211:BI211"/>
    <mergeCell ref="E212:K212"/>
    <mergeCell ref="L212:R212"/>
    <mergeCell ref="S212:Z212"/>
    <mergeCell ref="AA212:AG212"/>
    <mergeCell ref="AH212:AN212"/>
    <mergeCell ref="AO212:AU212"/>
    <mergeCell ref="AV212:BB212"/>
    <mergeCell ref="BC212:BI212"/>
    <mergeCell ref="AA216:AG216"/>
    <mergeCell ref="AH216:AN216"/>
    <mergeCell ref="AO216:AU216"/>
    <mergeCell ref="AV216:BB216"/>
    <mergeCell ref="BC216:BI216"/>
    <mergeCell ref="E217:K217"/>
    <mergeCell ref="L217:R217"/>
    <mergeCell ref="S217:Z217"/>
    <mergeCell ref="AA217:AG217"/>
    <mergeCell ref="AH217:AN217"/>
    <mergeCell ref="AO217:AU217"/>
    <mergeCell ref="AV217:BB217"/>
    <mergeCell ref="BC217:BI217"/>
    <mergeCell ref="E218:K218"/>
    <mergeCell ref="L218:R218"/>
    <mergeCell ref="S218:Z218"/>
    <mergeCell ref="AA218:AG218"/>
    <mergeCell ref="AH218:AN218"/>
    <mergeCell ref="AO218:AU218"/>
    <mergeCell ref="AV218:BB218"/>
    <mergeCell ref="BC218:BI218"/>
    <mergeCell ref="B216:Z216"/>
    <mergeCell ref="E219:K219"/>
    <mergeCell ref="L219:R219"/>
    <mergeCell ref="S219:Z219"/>
    <mergeCell ref="AA219:AG219"/>
    <mergeCell ref="AH219:AN219"/>
    <mergeCell ref="AO219:AU219"/>
    <mergeCell ref="AV219:BB219"/>
    <mergeCell ref="BC219:BI219"/>
    <mergeCell ref="AO221:AU221"/>
    <mergeCell ref="E222:K222"/>
    <mergeCell ref="L222:R222"/>
    <mergeCell ref="S222:Z222"/>
    <mergeCell ref="AA222:AG222"/>
    <mergeCell ref="AH222:AN222"/>
    <mergeCell ref="AO222:AU222"/>
    <mergeCell ref="AV222:BB222"/>
    <mergeCell ref="BC222:BI222"/>
    <mergeCell ref="E223:K223"/>
    <mergeCell ref="L223:R223"/>
    <mergeCell ref="S223:Z223"/>
    <mergeCell ref="AA223:AG223"/>
    <mergeCell ref="AH223:AN223"/>
    <mergeCell ref="AO223:AU223"/>
    <mergeCell ref="AV223:BB223"/>
    <mergeCell ref="BC223:BI223"/>
    <mergeCell ref="E224:K224"/>
    <mergeCell ref="L224:R224"/>
    <mergeCell ref="S224:Z224"/>
    <mergeCell ref="AA224:AG224"/>
    <mergeCell ref="AH224:AN224"/>
    <mergeCell ref="AO224:AU224"/>
    <mergeCell ref="AV224:BB224"/>
    <mergeCell ref="BC224:BI224"/>
    <mergeCell ref="E225:K225"/>
    <mergeCell ref="L225:R225"/>
    <mergeCell ref="S225:Z225"/>
    <mergeCell ref="AA225:AG225"/>
    <mergeCell ref="AH225:AN225"/>
    <mergeCell ref="AO225:AU225"/>
    <mergeCell ref="AV225:BB225"/>
    <mergeCell ref="BC225:BI225"/>
    <mergeCell ref="E226:K226"/>
    <mergeCell ref="L226:R226"/>
    <mergeCell ref="S226:Z226"/>
    <mergeCell ref="AA226:AG226"/>
    <mergeCell ref="AH226:AN226"/>
    <mergeCell ref="AO226:AU226"/>
    <mergeCell ref="AV226:BB226"/>
    <mergeCell ref="BC226:BI226"/>
    <mergeCell ref="E227:K227"/>
    <mergeCell ref="L227:R227"/>
    <mergeCell ref="S227:Z227"/>
    <mergeCell ref="AA227:AG227"/>
    <mergeCell ref="AH227:AN227"/>
    <mergeCell ref="AO227:AU227"/>
    <mergeCell ref="AV227:BB227"/>
    <mergeCell ref="BC227:BI227"/>
    <mergeCell ref="E228:K228"/>
    <mergeCell ref="L228:R228"/>
    <mergeCell ref="S228:Z228"/>
    <mergeCell ref="AA228:AG228"/>
    <mergeCell ref="AH228:AN228"/>
    <mergeCell ref="AO228:AU228"/>
    <mergeCell ref="AV228:BB228"/>
    <mergeCell ref="BC228:BI228"/>
    <mergeCell ref="E229:K229"/>
    <mergeCell ref="L229:R229"/>
    <mergeCell ref="S229:Z229"/>
    <mergeCell ref="AA229:AG229"/>
    <mergeCell ref="AH229:AN229"/>
    <mergeCell ref="AO229:AU229"/>
    <mergeCell ref="AV229:BB229"/>
    <mergeCell ref="BC229:BI229"/>
    <mergeCell ref="E230:K230"/>
    <mergeCell ref="L230:R230"/>
    <mergeCell ref="S230:Z230"/>
    <mergeCell ref="AA230:AG230"/>
    <mergeCell ref="AH230:AN230"/>
    <mergeCell ref="AO230:AU230"/>
    <mergeCell ref="AV230:BB230"/>
    <mergeCell ref="BC230:BI230"/>
    <mergeCell ref="E231:K231"/>
    <mergeCell ref="L231:R231"/>
    <mergeCell ref="S231:Z231"/>
    <mergeCell ref="AA231:AG231"/>
    <mergeCell ref="AH231:AN231"/>
    <mergeCell ref="AO231:AU231"/>
    <mergeCell ref="AV231:BB231"/>
    <mergeCell ref="BC231:BI231"/>
    <mergeCell ref="E232:K232"/>
    <mergeCell ref="L232:R232"/>
    <mergeCell ref="S232:Z232"/>
    <mergeCell ref="AA232:AG232"/>
    <mergeCell ref="AH232:AN232"/>
    <mergeCell ref="AO232:AU232"/>
    <mergeCell ref="AV232:BB232"/>
    <mergeCell ref="BC232:BI232"/>
    <mergeCell ref="E233:K233"/>
    <mergeCell ref="L233:R233"/>
    <mergeCell ref="S233:Z233"/>
    <mergeCell ref="AA233:AG233"/>
    <mergeCell ref="AH233:AN233"/>
    <mergeCell ref="AO233:AU233"/>
    <mergeCell ref="AV233:BB233"/>
    <mergeCell ref="BC233:BI233"/>
    <mergeCell ref="E234:K234"/>
    <mergeCell ref="L234:R234"/>
    <mergeCell ref="S234:Z234"/>
    <mergeCell ref="AA234:AG234"/>
    <mergeCell ref="AH234:AN234"/>
    <mergeCell ref="AO234:AU234"/>
    <mergeCell ref="AV234:BB234"/>
    <mergeCell ref="BC234:BI234"/>
    <mergeCell ref="E235:K235"/>
    <mergeCell ref="L235:R235"/>
    <mergeCell ref="S235:Z235"/>
    <mergeCell ref="AA235:AG235"/>
    <mergeCell ref="AH235:AN235"/>
    <mergeCell ref="AO235:AU235"/>
    <mergeCell ref="AV235:BB235"/>
    <mergeCell ref="BC235:BI235"/>
    <mergeCell ref="E236:K236"/>
    <mergeCell ref="L236:R236"/>
    <mergeCell ref="S236:Z236"/>
    <mergeCell ref="AA236:AG236"/>
    <mergeCell ref="AH236:AN236"/>
    <mergeCell ref="AO236:AU236"/>
    <mergeCell ref="AV236:BB236"/>
    <mergeCell ref="BC236:BI236"/>
    <mergeCell ref="E237:K237"/>
    <mergeCell ref="L237:R237"/>
    <mergeCell ref="S237:Z237"/>
    <mergeCell ref="AA237:AG237"/>
    <mergeCell ref="AH237:AN237"/>
    <mergeCell ref="AO237:AU237"/>
    <mergeCell ref="AV237:BB237"/>
    <mergeCell ref="BC237:BI237"/>
    <mergeCell ref="E238:K238"/>
    <mergeCell ref="L238:R238"/>
    <mergeCell ref="S238:Z238"/>
    <mergeCell ref="AA238:AG238"/>
    <mergeCell ref="AH238:AN238"/>
    <mergeCell ref="AO238:AU238"/>
    <mergeCell ref="AV238:BB238"/>
    <mergeCell ref="BC238:BI238"/>
    <mergeCell ref="E239:K239"/>
    <mergeCell ref="L239:R239"/>
    <mergeCell ref="S239:Z239"/>
    <mergeCell ref="AA239:AG239"/>
    <mergeCell ref="AH239:AN239"/>
    <mergeCell ref="AO239:AU239"/>
    <mergeCell ref="AV239:BB239"/>
    <mergeCell ref="BC239:BI239"/>
    <mergeCell ref="E240:K240"/>
    <mergeCell ref="L240:R240"/>
    <mergeCell ref="S240:Z240"/>
    <mergeCell ref="AA240:AG240"/>
    <mergeCell ref="AH240:AN240"/>
    <mergeCell ref="AO240:AU240"/>
    <mergeCell ref="AV240:BB240"/>
    <mergeCell ref="BC240:BI240"/>
    <mergeCell ref="E241:K241"/>
    <mergeCell ref="L241:R241"/>
    <mergeCell ref="S241:Z241"/>
    <mergeCell ref="AA241:AG241"/>
    <mergeCell ref="AH241:AN241"/>
    <mergeCell ref="AO241:AU241"/>
    <mergeCell ref="AV241:BB241"/>
    <mergeCell ref="BC241:BI241"/>
    <mergeCell ref="E242:K242"/>
    <mergeCell ref="L242:R242"/>
    <mergeCell ref="S242:Z242"/>
    <mergeCell ref="AA242:AG242"/>
    <mergeCell ref="AH242:AN242"/>
    <mergeCell ref="AO242:AU242"/>
    <mergeCell ref="AV242:BB242"/>
    <mergeCell ref="BC242:BI242"/>
    <mergeCell ref="E243:K243"/>
    <mergeCell ref="L243:R243"/>
    <mergeCell ref="S243:Z243"/>
    <mergeCell ref="AA243:AG243"/>
    <mergeCell ref="AH243:AN243"/>
    <mergeCell ref="AO243:AU243"/>
    <mergeCell ref="AV243:BB243"/>
    <mergeCell ref="BC243:BI243"/>
    <mergeCell ref="E244:K244"/>
    <mergeCell ref="L244:R244"/>
    <mergeCell ref="S244:Z244"/>
    <mergeCell ref="AA244:AG244"/>
    <mergeCell ref="AH244:AN244"/>
    <mergeCell ref="AO244:AU244"/>
    <mergeCell ref="AV244:BB244"/>
    <mergeCell ref="BC244:BI244"/>
    <mergeCell ref="E245:K245"/>
    <mergeCell ref="L245:R245"/>
    <mergeCell ref="S245:Z245"/>
    <mergeCell ref="AA245:AG245"/>
    <mergeCell ref="AH245:AN245"/>
    <mergeCell ref="AO245:AU245"/>
    <mergeCell ref="AV245:BB245"/>
    <mergeCell ref="BC245:BI245"/>
    <mergeCell ref="E246:K246"/>
    <mergeCell ref="L246:R246"/>
    <mergeCell ref="S246:Z246"/>
    <mergeCell ref="AA246:AG246"/>
    <mergeCell ref="AH246:AN246"/>
    <mergeCell ref="AO246:AU246"/>
    <mergeCell ref="AV246:BB246"/>
    <mergeCell ref="BC246:BI246"/>
    <mergeCell ref="E247:K247"/>
    <mergeCell ref="L247:R247"/>
    <mergeCell ref="S247:Z247"/>
    <mergeCell ref="AA247:AG247"/>
    <mergeCell ref="AH247:AN247"/>
    <mergeCell ref="AO247:AU247"/>
    <mergeCell ref="AV247:BB247"/>
    <mergeCell ref="BC247:BI247"/>
    <mergeCell ref="E248:K248"/>
    <mergeCell ref="L248:R248"/>
    <mergeCell ref="S248:Z248"/>
    <mergeCell ref="AA248:AG248"/>
    <mergeCell ref="AH248:AN248"/>
    <mergeCell ref="AO248:AU248"/>
    <mergeCell ref="AV248:BB248"/>
    <mergeCell ref="BC248:BI248"/>
    <mergeCell ref="E249:K249"/>
    <mergeCell ref="L249:R249"/>
    <mergeCell ref="S249:Z249"/>
    <mergeCell ref="AA249:AG249"/>
    <mergeCell ref="AH249:AN249"/>
    <mergeCell ref="AO249:AU249"/>
    <mergeCell ref="AV249:BB249"/>
    <mergeCell ref="BC249:BI249"/>
    <mergeCell ref="E250:K250"/>
    <mergeCell ref="L250:R250"/>
    <mergeCell ref="S250:Z250"/>
    <mergeCell ref="AA250:AG250"/>
    <mergeCell ref="AH250:AN250"/>
    <mergeCell ref="AO250:AU250"/>
    <mergeCell ref="AV250:BB250"/>
    <mergeCell ref="BC250:BI250"/>
    <mergeCell ref="E251:K251"/>
    <mergeCell ref="L251:R251"/>
    <mergeCell ref="S251:Z251"/>
    <mergeCell ref="AA251:AG251"/>
    <mergeCell ref="AH251:AN251"/>
    <mergeCell ref="AO251:AU251"/>
    <mergeCell ref="AV251:BB251"/>
    <mergeCell ref="BC251:BI251"/>
    <mergeCell ref="E252:K252"/>
    <mergeCell ref="L252:R252"/>
    <mergeCell ref="S252:Z252"/>
    <mergeCell ref="AA252:AG252"/>
    <mergeCell ref="AH252:AN252"/>
    <mergeCell ref="AO252:AU252"/>
    <mergeCell ref="AV252:BB252"/>
    <mergeCell ref="BC252:BI252"/>
    <mergeCell ref="E253:K253"/>
    <mergeCell ref="L253:R253"/>
    <mergeCell ref="S253:Z253"/>
    <mergeCell ref="AA253:AG253"/>
    <mergeCell ref="AH253:AN253"/>
    <mergeCell ref="AO253:AU253"/>
    <mergeCell ref="AV253:BB253"/>
    <mergeCell ref="BC253:BI253"/>
    <mergeCell ref="E254:K254"/>
    <mergeCell ref="L254:R254"/>
    <mergeCell ref="S254:Z254"/>
    <mergeCell ref="AA254:AG254"/>
    <mergeCell ref="AH254:AN254"/>
    <mergeCell ref="AO254:AU254"/>
    <mergeCell ref="AV254:BB254"/>
    <mergeCell ref="BC254:BI254"/>
    <mergeCell ref="E255:K255"/>
    <mergeCell ref="L255:R255"/>
    <mergeCell ref="S255:Z255"/>
    <mergeCell ref="AA255:AG255"/>
    <mergeCell ref="AH255:AN255"/>
    <mergeCell ref="AO255:AU255"/>
    <mergeCell ref="AV255:BB255"/>
    <mergeCell ref="BC255:BI255"/>
    <mergeCell ref="E256:K256"/>
    <mergeCell ref="L256:R256"/>
    <mergeCell ref="S256:Z256"/>
    <mergeCell ref="AA256:AG256"/>
    <mergeCell ref="AH256:AN256"/>
    <mergeCell ref="AO256:AU256"/>
    <mergeCell ref="AV256:BB256"/>
    <mergeCell ref="BC256:BI256"/>
    <mergeCell ref="E257:K257"/>
    <mergeCell ref="L257:R257"/>
    <mergeCell ref="S257:Z257"/>
    <mergeCell ref="AA257:AG257"/>
    <mergeCell ref="AH257:AN257"/>
    <mergeCell ref="AO257:AU257"/>
    <mergeCell ref="AV257:BB257"/>
    <mergeCell ref="BC257:BI257"/>
    <mergeCell ref="E258:K258"/>
    <mergeCell ref="L258:R258"/>
    <mergeCell ref="S258:Z258"/>
    <mergeCell ref="AA258:AG258"/>
    <mergeCell ref="AH258:AN258"/>
    <mergeCell ref="AO258:AU258"/>
    <mergeCell ref="AV258:BB258"/>
    <mergeCell ref="BC258:BI258"/>
    <mergeCell ref="E259:K259"/>
    <mergeCell ref="L259:R259"/>
    <mergeCell ref="S259:Z259"/>
    <mergeCell ref="AA259:AG259"/>
    <mergeCell ref="AH259:AN259"/>
    <mergeCell ref="AO259:AU259"/>
    <mergeCell ref="AV259:BB259"/>
    <mergeCell ref="BC259:BI259"/>
    <mergeCell ref="E260:K260"/>
    <mergeCell ref="L260:R260"/>
    <mergeCell ref="S260:Z260"/>
    <mergeCell ref="AA260:AG260"/>
    <mergeCell ref="AH260:AN260"/>
    <mergeCell ref="AO260:AU260"/>
    <mergeCell ref="AV260:BB260"/>
    <mergeCell ref="BC260:BI260"/>
    <mergeCell ref="AO262:AU262"/>
    <mergeCell ref="E261:K261"/>
    <mergeCell ref="L261:R261"/>
    <mergeCell ref="S261:Z261"/>
    <mergeCell ref="AA261:AG261"/>
    <mergeCell ref="AH261:AN261"/>
    <mergeCell ref="AO261:AU261"/>
    <mergeCell ref="AV261:BB261"/>
    <mergeCell ref="BC261:BI261"/>
    <mergeCell ref="E262:K262"/>
    <mergeCell ref="L262:R262"/>
    <mergeCell ref="S262:Z262"/>
    <mergeCell ref="AA262:AG262"/>
    <mergeCell ref="AH262:AN262"/>
    <mergeCell ref="AV262:BB262"/>
    <mergeCell ref="BC262:BI262"/>
  </mergeCells>
  <phoneticPr fontId="14" type="noConversion"/>
  <pageMargins left="0.89" right="0.63" top="0.74803149606299213" bottom="0.74803149606299213" header="0.31496062992125984" footer="0.31496062992125984"/>
  <pageSetup paperSize="9" scale="34" fitToHeight="0" orientation="landscape" r:id="rId1"/>
  <rowBreaks count="3" manualBreakCount="3">
    <brk id="67" max="64" man="1"/>
    <brk id="139" max="64" man="1"/>
    <brk id="198" max="6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288"/>
  <sheetViews>
    <sheetView tabSelected="1" view="pageBreakPreview" topLeftCell="B1" zoomScale="90" zoomScaleNormal="80" zoomScaleSheetLayoutView="90" workbookViewId="0">
      <pane ySplit="1" topLeftCell="A2" activePane="bottomLeft" state="frozen"/>
      <selection activeCell="A51" sqref="A51:B51"/>
      <selection pane="bottomLeft" activeCell="L87" sqref="L87"/>
    </sheetView>
  </sheetViews>
  <sheetFormatPr baseColWidth="10" defaultColWidth="11.44140625" defaultRowHeight="15.6" x14ac:dyDescent="0.3"/>
  <cols>
    <col min="1" max="1" width="6.6640625" style="308" customWidth="1"/>
    <col min="2" max="2" width="8.109375" style="28" customWidth="1"/>
    <col min="3" max="3" width="81.109375" style="34" customWidth="1"/>
    <col min="4" max="4" width="10" style="28" customWidth="1"/>
    <col min="5" max="5" width="13.88671875" style="28" customWidth="1"/>
    <col min="6" max="6" width="14.6640625" style="69" customWidth="1"/>
    <col min="7" max="7" width="16.5546875" style="37" customWidth="1"/>
    <col min="8" max="8" width="24.5546875" style="1" customWidth="1"/>
    <col min="9" max="9" width="16.44140625" style="1" customWidth="1"/>
    <col min="10" max="10" width="16.6640625" style="1" customWidth="1"/>
    <col min="11" max="11" width="16" style="34" bestFit="1" customWidth="1"/>
    <col min="12" max="12" width="17.6640625" style="1" customWidth="1"/>
    <col min="13" max="13" width="15" style="1" bestFit="1" customWidth="1"/>
    <col min="14" max="14" width="22.109375" style="1" customWidth="1"/>
    <col min="15" max="15" width="19.5546875" style="1" customWidth="1"/>
    <col min="16" max="16384" width="11.44140625" style="1"/>
  </cols>
  <sheetData>
    <row r="1" spans="1:11" x14ac:dyDescent="0.3">
      <c r="B1" s="14" t="s">
        <v>0</v>
      </c>
      <c r="C1" s="14" t="s">
        <v>1</v>
      </c>
      <c r="D1" s="14" t="s">
        <v>2</v>
      </c>
      <c r="E1" s="14" t="s">
        <v>3</v>
      </c>
      <c r="F1" s="65" t="s">
        <v>4</v>
      </c>
      <c r="G1" s="31" t="s">
        <v>5</v>
      </c>
    </row>
    <row r="3" spans="1:11" ht="16.5" customHeight="1" x14ac:dyDescent="0.3">
      <c r="B3" s="730"/>
      <c r="C3" s="730"/>
      <c r="D3" s="730"/>
      <c r="E3" s="730"/>
      <c r="F3" s="730"/>
      <c r="G3" s="730"/>
    </row>
    <row r="4" spans="1:11" ht="18" customHeight="1" x14ac:dyDescent="0.3">
      <c r="B4" s="730"/>
      <c r="C4" s="730"/>
      <c r="D4" s="730"/>
      <c r="E4" s="730"/>
      <c r="F4" s="730"/>
      <c r="G4" s="730"/>
    </row>
    <row r="5" spans="1:11" ht="16.5" customHeight="1" x14ac:dyDescent="0.3">
      <c r="B5" s="730"/>
      <c r="C5" s="730"/>
      <c r="D5" s="730"/>
      <c r="E5" s="730"/>
      <c r="F5" s="730"/>
      <c r="G5" s="730"/>
    </row>
    <row r="6" spans="1:11" ht="16.5" customHeight="1" x14ac:dyDescent="0.3">
      <c r="B6" s="730"/>
      <c r="C6" s="730"/>
      <c r="D6" s="730"/>
      <c r="E6" s="730"/>
      <c r="F6" s="730"/>
      <c r="G6" s="730"/>
    </row>
    <row r="7" spans="1:11" ht="16.5" customHeight="1" x14ac:dyDescent="0.3">
      <c r="B7" s="730"/>
      <c r="C7" s="730"/>
      <c r="D7" s="730"/>
      <c r="E7" s="730"/>
      <c r="F7" s="730"/>
      <c r="G7" s="730"/>
    </row>
    <row r="8" spans="1:11" ht="16.5" customHeight="1" x14ac:dyDescent="0.3">
      <c r="B8" s="730"/>
      <c r="C8" s="730"/>
      <c r="D8" s="730"/>
      <c r="E8" s="730"/>
      <c r="F8" s="730"/>
      <c r="G8" s="730"/>
    </row>
    <row r="9" spans="1:11" ht="39.75" customHeight="1" x14ac:dyDescent="0.3">
      <c r="B9" s="731" t="s">
        <v>1301</v>
      </c>
      <c r="C9" s="731"/>
      <c r="D9" s="731"/>
      <c r="E9" s="731"/>
      <c r="F9" s="731"/>
      <c r="G9" s="731"/>
    </row>
    <row r="10" spans="1:11" x14ac:dyDescent="0.3">
      <c r="B10" s="732"/>
      <c r="C10" s="732"/>
      <c r="D10" s="732"/>
      <c r="E10" s="732"/>
      <c r="F10" s="732"/>
      <c r="G10" s="732"/>
    </row>
    <row r="11" spans="1:11" ht="31.2" x14ac:dyDescent="0.3">
      <c r="B11" s="14" t="s">
        <v>0</v>
      </c>
      <c r="C11" s="14" t="s">
        <v>1</v>
      </c>
      <c r="D11" s="14" t="s">
        <v>23</v>
      </c>
      <c r="E11" s="14" t="s">
        <v>12</v>
      </c>
      <c r="F11" s="66" t="s">
        <v>150</v>
      </c>
      <c r="G11" s="15" t="s">
        <v>151</v>
      </c>
    </row>
    <row r="12" spans="1:11" ht="33.75" customHeight="1" x14ac:dyDescent="0.3">
      <c r="A12" s="308">
        <v>12</v>
      </c>
      <c r="B12" s="16" t="s">
        <v>135</v>
      </c>
      <c r="C12" s="727" t="s">
        <v>1043</v>
      </c>
      <c r="D12" s="727"/>
      <c r="E12" s="727"/>
      <c r="F12" s="727"/>
      <c r="G12" s="32">
        <f>G13+G16+G19+G26+G30+G36+G46+G57+G59+G64+G69+G74+G77+G81</f>
        <v>78558547.709999979</v>
      </c>
      <c r="H12" s="91">
        <f>G12*0.3</f>
        <v>23567564.312999994</v>
      </c>
      <c r="I12" s="291">
        <f>G12+H12</f>
        <v>102126112.02299997</v>
      </c>
      <c r="J12" s="291">
        <f>I12*0.01</f>
        <v>1021261.1202299998</v>
      </c>
      <c r="K12" s="573">
        <f>I12+J12</f>
        <v>103147373.14322998</v>
      </c>
    </row>
    <row r="13" spans="1:11" x14ac:dyDescent="0.3">
      <c r="A13" s="308">
        <v>13</v>
      </c>
      <c r="B13" s="17" t="s">
        <v>152</v>
      </c>
      <c r="C13" s="18" t="s">
        <v>1046</v>
      </c>
      <c r="D13" s="18"/>
      <c r="E13" s="18"/>
      <c r="F13" s="67"/>
      <c r="G13" s="33">
        <f>SUM(G14:G15)</f>
        <v>1026733.0099999999</v>
      </c>
    </row>
    <row r="14" spans="1:11" x14ac:dyDescent="0.3">
      <c r="A14" s="308">
        <v>14</v>
      </c>
      <c r="B14" s="292" t="s">
        <v>162</v>
      </c>
      <c r="C14" s="4" t="s">
        <v>651</v>
      </c>
      <c r="D14" s="5" t="s">
        <v>8</v>
      </c>
      <c r="E14" s="58">
        <f>'M.C. '!K22</f>
        <v>65.83</v>
      </c>
      <c r="F14" s="293">
        <f>'A1,1-B1,1-C1,1-E1,1-F1,1'!F48</f>
        <v>5209</v>
      </c>
      <c r="G14" s="294">
        <f>E14*F14</f>
        <v>342908.47</v>
      </c>
      <c r="I14" s="10">
        <f>F14*0.3</f>
        <v>1562.7</v>
      </c>
    </row>
    <row r="15" spans="1:11" s="215" customFormat="1" x14ac:dyDescent="0.3">
      <c r="A15" s="308">
        <v>15</v>
      </c>
      <c r="B15" s="292" t="s">
        <v>163</v>
      </c>
      <c r="C15" s="4" t="s">
        <v>1045</v>
      </c>
      <c r="D15" s="5" t="s">
        <v>9</v>
      </c>
      <c r="E15" s="58">
        <f>'M.C. '!K24</f>
        <v>3.53</v>
      </c>
      <c r="F15" s="293">
        <f>'A1,2'!F48</f>
        <v>193718</v>
      </c>
      <c r="G15" s="294">
        <f>E15*F15</f>
        <v>683824.53999999992</v>
      </c>
      <c r="K15" s="574"/>
    </row>
    <row r="16" spans="1:11" x14ac:dyDescent="0.3">
      <c r="A16" s="308">
        <v>16</v>
      </c>
      <c r="B16" s="19" t="s">
        <v>153</v>
      </c>
      <c r="C16" s="18" t="s">
        <v>236</v>
      </c>
      <c r="D16" s="18"/>
      <c r="E16" s="295"/>
      <c r="F16" s="296"/>
      <c r="G16" s="93">
        <f>SUM(G17:G18)</f>
        <v>1757188.8599999999</v>
      </c>
    </row>
    <row r="17" spans="1:11" s="215" customFormat="1" x14ac:dyDescent="0.3">
      <c r="A17" s="308">
        <v>17</v>
      </c>
      <c r="B17" s="92" t="s">
        <v>164</v>
      </c>
      <c r="C17" s="61" t="s">
        <v>666</v>
      </c>
      <c r="D17" s="92" t="s">
        <v>9</v>
      </c>
      <c r="E17" s="58">
        <f>'M.C. '!K27</f>
        <v>15.61</v>
      </c>
      <c r="F17" s="297">
        <f>'A2,1-B2,1-C2,1-E2,2-F3,1'!F48</f>
        <v>58887</v>
      </c>
      <c r="G17" s="298">
        <f>E17*F17</f>
        <v>919226.07</v>
      </c>
      <c r="K17" s="574"/>
    </row>
    <row r="18" spans="1:11" s="215" customFormat="1" x14ac:dyDescent="0.3">
      <c r="A18" s="308">
        <v>18</v>
      </c>
      <c r="B18" s="92" t="s">
        <v>165</v>
      </c>
      <c r="C18" s="61" t="s">
        <v>357</v>
      </c>
      <c r="D18" s="92" t="s">
        <v>9</v>
      </c>
      <c r="E18" s="58">
        <f>'M.C. '!K44</f>
        <v>15.09</v>
      </c>
      <c r="F18" s="297">
        <f>'A2,2-C2,2-E2,1-F3,2'!F48</f>
        <v>55531</v>
      </c>
      <c r="G18" s="298">
        <f>E18*F18</f>
        <v>837962.79</v>
      </c>
      <c r="K18" s="574"/>
    </row>
    <row r="19" spans="1:11" x14ac:dyDescent="0.3">
      <c r="A19" s="308">
        <v>19</v>
      </c>
      <c r="B19" s="299" t="s">
        <v>154</v>
      </c>
      <c r="C19" s="64" t="s">
        <v>237</v>
      </c>
      <c r="D19" s="64"/>
      <c r="E19" s="295"/>
      <c r="F19" s="296"/>
      <c r="G19" s="93">
        <f>SUM(G20:G25)</f>
        <v>9907465.0800000001</v>
      </c>
    </row>
    <row r="20" spans="1:11" s="215" customFormat="1" x14ac:dyDescent="0.3">
      <c r="A20" s="308">
        <v>20</v>
      </c>
      <c r="B20" s="92" t="s">
        <v>166</v>
      </c>
      <c r="C20" s="59" t="s">
        <v>697</v>
      </c>
      <c r="D20" s="92" t="s">
        <v>9</v>
      </c>
      <c r="E20" s="58">
        <f>'M.C. '!K52</f>
        <v>3.07</v>
      </c>
      <c r="F20" s="297">
        <f>'A3,1-C3,1-E3,1'!F48</f>
        <v>634602</v>
      </c>
      <c r="G20" s="298">
        <f>E20*F20</f>
        <v>1948228.14</v>
      </c>
      <c r="K20" s="574"/>
    </row>
    <row r="21" spans="1:11" x14ac:dyDescent="0.3">
      <c r="A21" s="308">
        <v>21</v>
      </c>
      <c r="B21" s="92" t="s">
        <v>167</v>
      </c>
      <c r="C21" s="61" t="s">
        <v>698</v>
      </c>
      <c r="D21" s="92" t="s">
        <v>9</v>
      </c>
      <c r="E21" s="58">
        <f>'M.C. '!K54</f>
        <v>0.74</v>
      </c>
      <c r="F21" s="297">
        <f>'A3,2'!F48</f>
        <v>810715</v>
      </c>
      <c r="G21" s="298">
        <f t="shared" ref="G21:G29" si="0">E21*F21</f>
        <v>599929.1</v>
      </c>
    </row>
    <row r="22" spans="1:11" x14ac:dyDescent="0.3">
      <c r="A22" s="308">
        <v>22</v>
      </c>
      <c r="B22" s="92" t="s">
        <v>168</v>
      </c>
      <c r="C22" s="61" t="s">
        <v>699</v>
      </c>
      <c r="D22" s="92" t="s">
        <v>9</v>
      </c>
      <c r="E22" s="58">
        <f>'M.C. '!K56</f>
        <v>0.3</v>
      </c>
      <c r="F22" s="297">
        <f>'A3,3'!F48</f>
        <v>810715</v>
      </c>
      <c r="G22" s="298">
        <f t="shared" si="0"/>
        <v>243214.5</v>
      </c>
    </row>
    <row r="23" spans="1:11" ht="31.2" x14ac:dyDescent="0.3">
      <c r="A23" s="308">
        <v>23</v>
      </c>
      <c r="B23" s="92" t="s">
        <v>169</v>
      </c>
      <c r="C23" s="62" t="s">
        <v>358</v>
      </c>
      <c r="D23" s="92" t="s">
        <v>19</v>
      </c>
      <c r="E23" s="58">
        <f>'M.C. '!K58</f>
        <v>39.15</v>
      </c>
      <c r="F23" s="297">
        <f>'A3,4 '!F48</f>
        <v>157348</v>
      </c>
      <c r="G23" s="298">
        <f t="shared" si="0"/>
        <v>6160174.2000000002</v>
      </c>
    </row>
    <row r="24" spans="1:11" x14ac:dyDescent="0.3">
      <c r="A24" s="308">
        <v>24</v>
      </c>
      <c r="B24" s="92" t="s">
        <v>238</v>
      </c>
      <c r="C24" s="61" t="s">
        <v>700</v>
      </c>
      <c r="D24" s="92" t="s">
        <v>8</v>
      </c>
      <c r="E24" s="58">
        <f>'M.C. '!K68</f>
        <v>3.45</v>
      </c>
      <c r="F24" s="297">
        <f>'A3,5-C3,5'!F48</f>
        <v>43232</v>
      </c>
      <c r="G24" s="298">
        <f t="shared" si="0"/>
        <v>149150.39999999999</v>
      </c>
    </row>
    <row r="25" spans="1:11" x14ac:dyDescent="0.3">
      <c r="A25" s="308">
        <v>25</v>
      </c>
      <c r="B25" s="92" t="s">
        <v>288</v>
      </c>
      <c r="C25" s="61" t="s">
        <v>717</v>
      </c>
      <c r="D25" s="92" t="s">
        <v>111</v>
      </c>
      <c r="E25" s="58">
        <f>'M.C. '!K71</f>
        <v>86.74</v>
      </c>
      <c r="F25" s="297">
        <f>'A3,6'!F48</f>
        <v>9301</v>
      </c>
      <c r="G25" s="298">
        <f t="shared" si="0"/>
        <v>806768.74</v>
      </c>
    </row>
    <row r="26" spans="1:11" x14ac:dyDescent="0.3">
      <c r="A26" s="308">
        <v>26</v>
      </c>
      <c r="B26" s="299" t="s">
        <v>155</v>
      </c>
      <c r="C26" s="64" t="s">
        <v>10</v>
      </c>
      <c r="D26" s="64"/>
      <c r="E26" s="295"/>
      <c r="F26" s="296"/>
      <c r="G26" s="93">
        <f>SUM(G27:G29)</f>
        <v>7901407.1599999992</v>
      </c>
    </row>
    <row r="27" spans="1:11" s="215" customFormat="1" x14ac:dyDescent="0.3">
      <c r="A27" s="308">
        <v>27</v>
      </c>
      <c r="B27" s="92" t="s">
        <v>170</v>
      </c>
      <c r="C27" s="61" t="s">
        <v>701</v>
      </c>
      <c r="D27" s="92" t="s">
        <v>8</v>
      </c>
      <c r="E27" s="58">
        <f>'M.C. '!K75</f>
        <v>82.89</v>
      </c>
      <c r="F27" s="297">
        <f>'A4,1 -B4,1-C5,1-F6,1'!F48</f>
        <v>60669</v>
      </c>
      <c r="G27" s="298">
        <f t="shared" si="0"/>
        <v>5028853.41</v>
      </c>
      <c r="K27" s="574"/>
    </row>
    <row r="28" spans="1:11" ht="31.2" x14ac:dyDescent="0.3">
      <c r="A28" s="308">
        <v>28</v>
      </c>
      <c r="B28" s="92" t="s">
        <v>171</v>
      </c>
      <c r="C28" s="62" t="s">
        <v>702</v>
      </c>
      <c r="D28" s="92" t="s">
        <v>19</v>
      </c>
      <c r="E28" s="58">
        <f>'M.C. '!K89</f>
        <v>7.85</v>
      </c>
      <c r="F28" s="297">
        <f>'A4,2-F6,2'!F48</f>
        <v>301897</v>
      </c>
      <c r="G28" s="298">
        <f t="shared" si="0"/>
        <v>2369891.4499999997</v>
      </c>
    </row>
    <row r="29" spans="1:11" ht="31.2" x14ac:dyDescent="0.3">
      <c r="A29" s="308">
        <v>29</v>
      </c>
      <c r="B29" s="92" t="s">
        <v>351</v>
      </c>
      <c r="C29" s="62" t="s">
        <v>703</v>
      </c>
      <c r="D29" s="92" t="s">
        <v>19</v>
      </c>
      <c r="E29" s="58">
        <f>'M.C. '!K92</f>
        <v>5.9</v>
      </c>
      <c r="F29" s="297">
        <f>'A4,3-C5,2'!F48</f>
        <v>85197</v>
      </c>
      <c r="G29" s="298">
        <f t="shared" si="0"/>
        <v>502662.30000000005</v>
      </c>
    </row>
    <row r="30" spans="1:11" x14ac:dyDescent="0.3">
      <c r="A30" s="308">
        <v>30</v>
      </c>
      <c r="B30" s="299" t="s">
        <v>156</v>
      </c>
      <c r="C30" s="64" t="s">
        <v>239</v>
      </c>
      <c r="D30" s="64"/>
      <c r="E30" s="295"/>
      <c r="F30" s="296"/>
      <c r="G30" s="93">
        <f>SUM(G31:G35)</f>
        <v>14489455.379999999</v>
      </c>
    </row>
    <row r="31" spans="1:11" ht="31.2" x14ac:dyDescent="0.3">
      <c r="A31" s="308">
        <v>31</v>
      </c>
      <c r="B31" s="92" t="s">
        <v>172</v>
      </c>
      <c r="C31" s="62" t="s">
        <v>359</v>
      </c>
      <c r="D31" s="92" t="s">
        <v>19</v>
      </c>
      <c r="E31" s="58">
        <f>'M.C. '!K96</f>
        <v>33.299999999999997</v>
      </c>
      <c r="F31" s="297">
        <f>'A5,1-C4,1'!F48</f>
        <v>189157</v>
      </c>
      <c r="G31" s="298">
        <f t="shared" ref="G31:G35" si="1">E31*F31</f>
        <v>6298928.0999999996</v>
      </c>
    </row>
    <row r="32" spans="1:11" ht="31.2" x14ac:dyDescent="0.3">
      <c r="A32" s="308">
        <v>32</v>
      </c>
      <c r="B32" s="92" t="s">
        <v>173</v>
      </c>
      <c r="C32" s="62" t="s">
        <v>360</v>
      </c>
      <c r="D32" s="92" t="s">
        <v>19</v>
      </c>
      <c r="E32" s="58">
        <f>'M.C. '!K104</f>
        <v>22.56</v>
      </c>
      <c r="F32" s="297">
        <f>'A5,2'!F48</f>
        <v>203421</v>
      </c>
      <c r="G32" s="298">
        <f t="shared" si="1"/>
        <v>4589177.76</v>
      </c>
    </row>
    <row r="33" spans="1:11" ht="31.2" x14ac:dyDescent="0.3">
      <c r="A33" s="308">
        <v>33</v>
      </c>
      <c r="B33" s="92" t="s">
        <v>174</v>
      </c>
      <c r="C33" s="62" t="s">
        <v>720</v>
      </c>
      <c r="D33" s="92" t="s">
        <v>19</v>
      </c>
      <c r="E33" s="58">
        <f>'M.C. '!K111</f>
        <v>12.6</v>
      </c>
      <c r="F33" s="297">
        <f>'A5,3'!F48</f>
        <v>87398</v>
      </c>
      <c r="G33" s="298">
        <f t="shared" si="1"/>
        <v>1101214.8</v>
      </c>
    </row>
    <row r="34" spans="1:11" ht="31.2" x14ac:dyDescent="0.3">
      <c r="A34" s="308">
        <v>34</v>
      </c>
      <c r="B34" s="92" t="s">
        <v>175</v>
      </c>
      <c r="C34" s="62" t="s">
        <v>361</v>
      </c>
      <c r="D34" s="92" t="s">
        <v>19</v>
      </c>
      <c r="E34" s="58">
        <f>'M.C. '!K113</f>
        <v>32.799999999999997</v>
      </c>
      <c r="F34" s="297">
        <f>'A5,4'!F48</f>
        <v>61584</v>
      </c>
      <c r="G34" s="298">
        <f t="shared" si="1"/>
        <v>2019955.1999999997</v>
      </c>
    </row>
    <row r="35" spans="1:11" s="215" customFormat="1" x14ac:dyDescent="0.3">
      <c r="A35" s="308">
        <v>35</v>
      </c>
      <c r="B35" s="92" t="s">
        <v>354</v>
      </c>
      <c r="C35" s="61" t="s">
        <v>1010</v>
      </c>
      <c r="D35" s="92" t="s">
        <v>8</v>
      </c>
      <c r="E35" s="58">
        <f>'M.C. '!K116</f>
        <v>1.44</v>
      </c>
      <c r="F35" s="297">
        <f>'A5,5-B5,4'!F48</f>
        <v>333458</v>
      </c>
      <c r="G35" s="298">
        <f t="shared" si="1"/>
        <v>480179.51999999996</v>
      </c>
      <c r="K35" s="574"/>
    </row>
    <row r="36" spans="1:11" x14ac:dyDescent="0.3">
      <c r="A36" s="308">
        <v>36</v>
      </c>
      <c r="B36" s="299" t="s">
        <v>157</v>
      </c>
      <c r="C36" s="289" t="s">
        <v>240</v>
      </c>
      <c r="D36" s="289"/>
      <c r="E36" s="295"/>
      <c r="F36" s="296"/>
      <c r="G36" s="93">
        <f>SUM(G37:G45)</f>
        <v>3124520.48</v>
      </c>
    </row>
    <row r="37" spans="1:11" ht="19.5" customHeight="1" x14ac:dyDescent="0.3">
      <c r="A37" s="308">
        <v>37</v>
      </c>
      <c r="B37" s="92" t="s">
        <v>176</v>
      </c>
      <c r="C37" s="314" t="s">
        <v>704</v>
      </c>
      <c r="D37" s="5" t="s">
        <v>21</v>
      </c>
      <c r="E37" s="58">
        <f>'M.C. '!K119</f>
        <v>1</v>
      </c>
      <c r="F37" s="297">
        <f>'A6,1-C6,7'!F48</f>
        <v>388676</v>
      </c>
      <c r="G37" s="298">
        <f t="shared" ref="G37:G45" si="2">E37*F37</f>
        <v>388676</v>
      </c>
    </row>
    <row r="38" spans="1:11" x14ac:dyDescent="0.3">
      <c r="A38" s="308">
        <v>38</v>
      </c>
      <c r="B38" s="92" t="s">
        <v>177</v>
      </c>
      <c r="C38" s="314" t="s">
        <v>705</v>
      </c>
      <c r="D38" s="5" t="s">
        <v>21</v>
      </c>
      <c r="E38" s="58">
        <f>'M.C. '!K121</f>
        <v>3</v>
      </c>
      <c r="F38" s="297">
        <f>'A6,2-C6,2'!F49</f>
        <v>58890</v>
      </c>
      <c r="G38" s="298">
        <f t="shared" si="2"/>
        <v>176670</v>
      </c>
    </row>
    <row r="39" spans="1:11" x14ac:dyDescent="0.3">
      <c r="A39" s="308">
        <v>39</v>
      </c>
      <c r="B39" s="92" t="s">
        <v>241</v>
      </c>
      <c r="C39" s="314" t="s">
        <v>706</v>
      </c>
      <c r="D39" s="5" t="s">
        <v>21</v>
      </c>
      <c r="E39" s="58">
        <f>'M.C. '!K123</f>
        <v>1</v>
      </c>
      <c r="F39" s="297">
        <f>'A6,3'!F48</f>
        <v>32861</v>
      </c>
      <c r="G39" s="298">
        <f t="shared" si="2"/>
        <v>32861</v>
      </c>
    </row>
    <row r="40" spans="1:11" s="215" customFormat="1" x14ac:dyDescent="0.3">
      <c r="A40" s="308">
        <v>40</v>
      </c>
      <c r="B40" s="92" t="s">
        <v>242</v>
      </c>
      <c r="C40" s="314" t="s">
        <v>707</v>
      </c>
      <c r="D40" s="5" t="s">
        <v>21</v>
      </c>
      <c r="E40" s="58">
        <f>'M.C. '!K125</f>
        <v>1</v>
      </c>
      <c r="F40" s="297">
        <f>'A6,4-B6,2-C6,3'!F48</f>
        <v>38027</v>
      </c>
      <c r="G40" s="298">
        <f t="shared" si="2"/>
        <v>38027</v>
      </c>
      <c r="K40" s="574"/>
    </row>
    <row r="41" spans="1:11" ht="19.5" customHeight="1" x14ac:dyDescent="0.3">
      <c r="A41" s="308">
        <v>41</v>
      </c>
      <c r="B41" s="92" t="s">
        <v>243</v>
      </c>
      <c r="C41" s="314" t="s">
        <v>729</v>
      </c>
      <c r="D41" s="5" t="s">
        <v>21</v>
      </c>
      <c r="E41" s="58">
        <f>'M.C. '!K127</f>
        <v>3</v>
      </c>
      <c r="F41" s="297">
        <f>'A6,5-C6,1'!F48</f>
        <v>259034</v>
      </c>
      <c r="G41" s="298">
        <f t="shared" si="2"/>
        <v>777102</v>
      </c>
    </row>
    <row r="42" spans="1:11" ht="31.2" x14ac:dyDescent="0.3">
      <c r="A42" s="308">
        <v>42</v>
      </c>
      <c r="B42" s="92" t="s">
        <v>244</v>
      </c>
      <c r="C42" s="314" t="s">
        <v>708</v>
      </c>
      <c r="D42" s="5" t="s">
        <v>21</v>
      </c>
      <c r="E42" s="58">
        <f>'M.C. '!K129</f>
        <v>1</v>
      </c>
      <c r="F42" s="297">
        <f>'A6,6-C6,6'!F50</f>
        <v>254119</v>
      </c>
      <c r="G42" s="298">
        <f t="shared" si="2"/>
        <v>254119</v>
      </c>
    </row>
    <row r="43" spans="1:11" s="215" customFormat="1" ht="31.2" x14ac:dyDescent="0.3">
      <c r="A43" s="308">
        <v>43</v>
      </c>
      <c r="B43" s="92" t="s">
        <v>245</v>
      </c>
      <c r="C43" s="314" t="s">
        <v>709</v>
      </c>
      <c r="D43" s="5" t="s">
        <v>19</v>
      </c>
      <c r="E43" s="58">
        <f>'M.C. '!K131</f>
        <v>15.95</v>
      </c>
      <c r="F43" s="297">
        <f>'A6,7-C6,5'!F48</f>
        <v>42760</v>
      </c>
      <c r="G43" s="298">
        <f t="shared" si="2"/>
        <v>682022</v>
      </c>
      <c r="K43" s="574"/>
    </row>
    <row r="44" spans="1:11" ht="31.2" x14ac:dyDescent="0.3">
      <c r="A44" s="308">
        <v>44</v>
      </c>
      <c r="B44" s="92" t="s">
        <v>289</v>
      </c>
      <c r="C44" s="276" t="s">
        <v>710</v>
      </c>
      <c r="D44" s="92" t="s">
        <v>19</v>
      </c>
      <c r="E44" s="58">
        <f>'M.C. '!K133</f>
        <v>16.510000000000002</v>
      </c>
      <c r="F44" s="297">
        <f>'A6,8-B6,4-C6,4'!F48</f>
        <v>35348</v>
      </c>
      <c r="G44" s="298">
        <f t="shared" si="2"/>
        <v>583595.4800000001</v>
      </c>
    </row>
    <row r="45" spans="1:11" x14ac:dyDescent="0.3">
      <c r="A45" s="308">
        <v>45</v>
      </c>
      <c r="B45" s="92" t="s">
        <v>731</v>
      </c>
      <c r="C45" s="276" t="s">
        <v>730</v>
      </c>
      <c r="D45" s="92" t="s">
        <v>19</v>
      </c>
      <c r="E45" s="58">
        <f>'M.C. '!K135</f>
        <v>6</v>
      </c>
      <c r="F45" s="297">
        <f>'A6,9-B6,5-C6,8'!F48</f>
        <v>31908</v>
      </c>
      <c r="G45" s="298">
        <f t="shared" si="2"/>
        <v>191448</v>
      </c>
    </row>
    <row r="46" spans="1:11" x14ac:dyDescent="0.3">
      <c r="A46" s="308">
        <v>46</v>
      </c>
      <c r="B46" s="300" t="s">
        <v>158</v>
      </c>
      <c r="C46" s="64" t="s">
        <v>246</v>
      </c>
      <c r="D46" s="64"/>
      <c r="E46" s="295"/>
      <c r="F46" s="296"/>
      <c r="G46" s="93">
        <f>SUM(G47:G56)</f>
        <v>2019827</v>
      </c>
    </row>
    <row r="47" spans="1:11" s="215" customFormat="1" x14ac:dyDescent="0.3">
      <c r="A47" s="308">
        <v>47</v>
      </c>
      <c r="B47" s="92" t="s">
        <v>178</v>
      </c>
      <c r="C47" s="61" t="s">
        <v>738</v>
      </c>
      <c r="D47" s="5" t="s">
        <v>21</v>
      </c>
      <c r="E47" s="58">
        <f>'M.C. '!K138</f>
        <v>1</v>
      </c>
      <c r="F47" s="297">
        <f>'A7,1-B7,1-F7,1'!F48</f>
        <v>68127</v>
      </c>
      <c r="G47" s="298">
        <f t="shared" ref="G47:G56" si="3">E47*F47</f>
        <v>68127</v>
      </c>
      <c r="K47" s="574"/>
    </row>
    <row r="48" spans="1:11" s="215" customFormat="1" x14ac:dyDescent="0.3">
      <c r="A48" s="308">
        <v>48</v>
      </c>
      <c r="B48" s="92" t="s">
        <v>179</v>
      </c>
      <c r="C48" s="61" t="s">
        <v>739</v>
      </c>
      <c r="D48" s="5" t="s">
        <v>21</v>
      </c>
      <c r="E48" s="58">
        <f>'M.C. '!K140</f>
        <v>2</v>
      </c>
      <c r="F48" s="297">
        <f>'A7,2-B7,2-B7,2'!F48</f>
        <v>74715</v>
      </c>
      <c r="G48" s="298">
        <f t="shared" si="3"/>
        <v>149430</v>
      </c>
      <c r="K48" s="574"/>
    </row>
    <row r="49" spans="1:11" s="215" customFormat="1" x14ac:dyDescent="0.3">
      <c r="A49" s="308">
        <v>49</v>
      </c>
      <c r="B49" s="92" t="s">
        <v>247</v>
      </c>
      <c r="C49" s="61" t="s">
        <v>740</v>
      </c>
      <c r="D49" s="5" t="s">
        <v>21</v>
      </c>
      <c r="E49" s="58">
        <f>'M.C. '!K142</f>
        <v>1</v>
      </c>
      <c r="F49" s="297">
        <f>'A7,3-B7,3'!F48</f>
        <v>85193</v>
      </c>
      <c r="G49" s="298">
        <f t="shared" si="3"/>
        <v>85193</v>
      </c>
      <c r="K49" s="574"/>
    </row>
    <row r="50" spans="1:11" s="215" customFormat="1" x14ac:dyDescent="0.3">
      <c r="A50" s="308">
        <v>50</v>
      </c>
      <c r="B50" s="92" t="s">
        <v>248</v>
      </c>
      <c r="C50" s="61" t="s">
        <v>362</v>
      </c>
      <c r="D50" s="5" t="s">
        <v>21</v>
      </c>
      <c r="E50" s="58">
        <f>'M.C. '!K144</f>
        <v>1</v>
      </c>
      <c r="F50" s="297">
        <f>'A7,4-B7,4'!F48</f>
        <v>369967</v>
      </c>
      <c r="G50" s="298">
        <f t="shared" si="3"/>
        <v>369967</v>
      </c>
      <c r="K50" s="574"/>
    </row>
    <row r="51" spans="1:11" s="215" customFormat="1" x14ac:dyDescent="0.3">
      <c r="A51" s="308">
        <v>51</v>
      </c>
      <c r="B51" s="92" t="s">
        <v>249</v>
      </c>
      <c r="C51" s="61" t="s">
        <v>742</v>
      </c>
      <c r="D51" s="5" t="s">
        <v>21</v>
      </c>
      <c r="E51" s="58">
        <f>'M.C. '!K146</f>
        <v>1</v>
      </c>
      <c r="F51" s="297">
        <f>'A7,5-B7,5-F7,3'!F50</f>
        <v>83682</v>
      </c>
      <c r="G51" s="298">
        <f t="shared" si="3"/>
        <v>83682</v>
      </c>
      <c r="K51" s="574"/>
    </row>
    <row r="52" spans="1:11" s="215" customFormat="1" x14ac:dyDescent="0.3">
      <c r="A52" s="308">
        <v>52</v>
      </c>
      <c r="B52" s="92" t="s">
        <v>250</v>
      </c>
      <c r="C52" s="61" t="s">
        <v>741</v>
      </c>
      <c r="D52" s="5" t="s">
        <v>21</v>
      </c>
      <c r="E52" s="58">
        <f>'M.C. '!K148</f>
        <v>2</v>
      </c>
      <c r="F52" s="297">
        <f>'A7,6-B7,6-F7,4'!F48</f>
        <v>79410</v>
      </c>
      <c r="G52" s="298">
        <f t="shared" si="3"/>
        <v>158820</v>
      </c>
      <c r="K52" s="574"/>
    </row>
    <row r="53" spans="1:11" s="215" customFormat="1" x14ac:dyDescent="0.3">
      <c r="A53" s="308">
        <v>53</v>
      </c>
      <c r="B53" s="92" t="s">
        <v>251</v>
      </c>
      <c r="C53" s="61" t="s">
        <v>743</v>
      </c>
      <c r="D53" s="5" t="s">
        <v>21</v>
      </c>
      <c r="E53" s="58">
        <f>'M.C. '!K150</f>
        <v>1</v>
      </c>
      <c r="F53" s="297">
        <f>'A7,7-B7,7-F7,5'!F51</f>
        <v>233367</v>
      </c>
      <c r="G53" s="298">
        <f t="shared" si="3"/>
        <v>233367</v>
      </c>
      <c r="K53" s="574"/>
    </row>
    <row r="54" spans="1:11" s="215" customFormat="1" x14ac:dyDescent="0.3">
      <c r="A54" s="308">
        <v>54</v>
      </c>
      <c r="B54" s="92" t="s">
        <v>356</v>
      </c>
      <c r="C54" s="61" t="s">
        <v>744</v>
      </c>
      <c r="D54" s="5" t="s">
        <v>21</v>
      </c>
      <c r="E54" s="58">
        <f>'M.C. '!K152</f>
        <v>1</v>
      </c>
      <c r="F54" s="297">
        <f>'A7,8-B7,8-F7,6'!F48</f>
        <v>228979</v>
      </c>
      <c r="G54" s="298">
        <f t="shared" si="3"/>
        <v>228979</v>
      </c>
      <c r="K54" s="574"/>
    </row>
    <row r="55" spans="1:11" x14ac:dyDescent="0.3">
      <c r="A55" s="308">
        <v>55</v>
      </c>
      <c r="B55" s="92" t="s">
        <v>252</v>
      </c>
      <c r="C55" s="61" t="s">
        <v>1011</v>
      </c>
      <c r="D55" s="5" t="s">
        <v>21</v>
      </c>
      <c r="E55" s="58">
        <f>'M.C. '!K154</f>
        <v>1</v>
      </c>
      <c r="F55" s="297">
        <f>'A7,9-F7,7'!F48</f>
        <v>158142</v>
      </c>
      <c r="G55" s="298">
        <f t="shared" si="3"/>
        <v>158142</v>
      </c>
    </row>
    <row r="56" spans="1:11" s="215" customFormat="1" x14ac:dyDescent="0.3">
      <c r="A56" s="308">
        <v>56</v>
      </c>
      <c r="B56" s="92" t="s">
        <v>253</v>
      </c>
      <c r="C56" s="61" t="s">
        <v>363</v>
      </c>
      <c r="D56" s="5" t="s">
        <v>21</v>
      </c>
      <c r="E56" s="58">
        <f>'M.C. '!K156</f>
        <v>1</v>
      </c>
      <c r="F56" s="297">
        <f>'A7,10-B7,9'!F48</f>
        <v>484120</v>
      </c>
      <c r="G56" s="298">
        <f t="shared" si="3"/>
        <v>484120</v>
      </c>
      <c r="K56" s="574"/>
    </row>
    <row r="57" spans="1:11" x14ac:dyDescent="0.3">
      <c r="A57" s="308">
        <v>57</v>
      </c>
      <c r="B57" s="299" t="s">
        <v>159</v>
      </c>
      <c r="C57" s="288" t="s">
        <v>254</v>
      </c>
      <c r="D57" s="288"/>
      <c r="E57" s="295"/>
      <c r="F57" s="296"/>
      <c r="G57" s="93">
        <f>SUM(G58)</f>
        <v>5487156.9000000004</v>
      </c>
    </row>
    <row r="58" spans="1:11" s="215" customFormat="1" x14ac:dyDescent="0.3">
      <c r="A58" s="308">
        <v>58</v>
      </c>
      <c r="B58" s="92" t="s">
        <v>180</v>
      </c>
      <c r="C58" s="8" t="s">
        <v>711</v>
      </c>
      <c r="D58" s="6" t="s">
        <v>8</v>
      </c>
      <c r="E58" s="58">
        <f>'M.C. '!K159</f>
        <v>183.18</v>
      </c>
      <c r="F58" s="297">
        <f>'A8,1-B9,1-C7,1-F8,1'!F48</f>
        <v>29955</v>
      </c>
      <c r="G58" s="298">
        <f t="shared" ref="G58" si="4">E58*F58</f>
        <v>5487156.9000000004</v>
      </c>
      <c r="K58" s="574"/>
    </row>
    <row r="59" spans="1:11" x14ac:dyDescent="0.3">
      <c r="A59" s="308">
        <v>59</v>
      </c>
      <c r="B59" s="299" t="s">
        <v>160</v>
      </c>
      <c r="C59" s="288" t="s">
        <v>255</v>
      </c>
      <c r="D59" s="288"/>
      <c r="E59" s="295"/>
      <c r="F59" s="296"/>
      <c r="G59" s="93">
        <f>SUM(G60:G63)</f>
        <v>7877219.9699999997</v>
      </c>
    </row>
    <row r="60" spans="1:11" ht="31.2" x14ac:dyDescent="0.3">
      <c r="A60" s="308">
        <v>60</v>
      </c>
      <c r="B60" s="301" t="s">
        <v>181</v>
      </c>
      <c r="C60" s="8" t="s">
        <v>946</v>
      </c>
      <c r="D60" s="6" t="s">
        <v>8</v>
      </c>
      <c r="E60" s="58">
        <f>'M.C. '!K170</f>
        <v>69.08</v>
      </c>
      <c r="F60" s="297">
        <f>'A9,1-C8,1-D2,1'!F48</f>
        <v>44409</v>
      </c>
      <c r="G60" s="298">
        <f t="shared" ref="G60:G63" si="5">E60*F60</f>
        <v>3067773.7199999997</v>
      </c>
    </row>
    <row r="61" spans="1:11" ht="21" customHeight="1" x14ac:dyDescent="0.3">
      <c r="A61" s="308">
        <v>61</v>
      </c>
      <c r="B61" s="301" t="s">
        <v>182</v>
      </c>
      <c r="C61" s="8" t="s">
        <v>796</v>
      </c>
      <c r="D61" s="5" t="s">
        <v>19</v>
      </c>
      <c r="E61" s="58">
        <f>'M.C. '!K172</f>
        <v>66</v>
      </c>
      <c r="F61" s="297">
        <f>'A9,2-C8,4'!F48</f>
        <v>44929</v>
      </c>
      <c r="G61" s="298">
        <f t="shared" si="5"/>
        <v>2965314</v>
      </c>
    </row>
    <row r="62" spans="1:11" x14ac:dyDescent="0.3">
      <c r="A62" s="308">
        <v>62</v>
      </c>
      <c r="B62" s="301" t="s">
        <v>183</v>
      </c>
      <c r="C62" s="8" t="s">
        <v>712</v>
      </c>
      <c r="D62" s="5" t="s">
        <v>19</v>
      </c>
      <c r="E62" s="58">
        <f>'M.C. '!K174</f>
        <v>6</v>
      </c>
      <c r="F62" s="297">
        <f>'A9,3'!F48</f>
        <v>38609</v>
      </c>
      <c r="G62" s="298">
        <f t="shared" si="5"/>
        <v>231654</v>
      </c>
    </row>
    <row r="63" spans="1:11" ht="39" customHeight="1" x14ac:dyDescent="0.3">
      <c r="A63" s="308">
        <v>63</v>
      </c>
      <c r="B63" s="301" t="s">
        <v>1063</v>
      </c>
      <c r="C63" s="8" t="s">
        <v>1064</v>
      </c>
      <c r="D63" s="5" t="s">
        <v>19</v>
      </c>
      <c r="E63" s="58">
        <f>'M.C. '!K176</f>
        <v>10.35</v>
      </c>
      <c r="F63" s="297">
        <f>'A9,4'!F48</f>
        <v>155795</v>
      </c>
      <c r="G63" s="298">
        <f t="shared" si="5"/>
        <v>1612478.25</v>
      </c>
    </row>
    <row r="64" spans="1:11" x14ac:dyDescent="0.3">
      <c r="A64" s="308">
        <v>64</v>
      </c>
      <c r="B64" s="299" t="s">
        <v>161</v>
      </c>
      <c r="C64" s="64" t="s">
        <v>331</v>
      </c>
      <c r="D64" s="64"/>
      <c r="E64" s="295"/>
      <c r="F64" s="296"/>
      <c r="G64" s="93">
        <f>SUM(G65:G68)</f>
        <v>14457501.959999997</v>
      </c>
    </row>
    <row r="65" spans="1:11" x14ac:dyDescent="0.3">
      <c r="A65" s="308">
        <v>65</v>
      </c>
      <c r="B65" s="92" t="s">
        <v>184</v>
      </c>
      <c r="C65" s="61" t="s">
        <v>364</v>
      </c>
      <c r="D65" s="6" t="s">
        <v>8</v>
      </c>
      <c r="E65" s="58">
        <f>'M.C. '!K179</f>
        <v>52.44</v>
      </c>
      <c r="F65" s="297">
        <f>'A10,1-C9,2-F9,2'!F48</f>
        <v>35876</v>
      </c>
      <c r="G65" s="298">
        <f t="shared" ref="G65:G68" si="6">E65*F65</f>
        <v>1881337.44</v>
      </c>
    </row>
    <row r="66" spans="1:11" s="215" customFormat="1" x14ac:dyDescent="0.3">
      <c r="A66" s="308">
        <v>66</v>
      </c>
      <c r="B66" s="92" t="s">
        <v>256</v>
      </c>
      <c r="C66" s="61" t="s">
        <v>1015</v>
      </c>
      <c r="D66" s="6" t="s">
        <v>8</v>
      </c>
      <c r="E66" s="58">
        <f>'M.C. '!K182</f>
        <v>52.44</v>
      </c>
      <c r="F66" s="297">
        <f>'A10,2-B10,2-C9,1'!F48</f>
        <v>70907</v>
      </c>
      <c r="G66" s="298">
        <f t="shared" si="6"/>
        <v>3718363.0799999996</v>
      </c>
      <c r="K66" s="574"/>
    </row>
    <row r="67" spans="1:11" s="215" customFormat="1" x14ac:dyDescent="0.3">
      <c r="A67" s="308">
        <v>67</v>
      </c>
      <c r="B67" s="92" t="s">
        <v>257</v>
      </c>
      <c r="C67" s="61" t="s">
        <v>365</v>
      </c>
      <c r="D67" s="6" t="s">
        <v>8</v>
      </c>
      <c r="E67" s="58">
        <f>'M.C. '!K185</f>
        <v>52.44</v>
      </c>
      <c r="F67" s="297">
        <f>'A10,3-B10,3-C9,3-F9,3'!F48</f>
        <v>154596</v>
      </c>
      <c r="G67" s="298">
        <f t="shared" si="6"/>
        <v>8107014.2399999993</v>
      </c>
      <c r="K67" s="574"/>
    </row>
    <row r="68" spans="1:11" s="215" customFormat="1" x14ac:dyDescent="0.3">
      <c r="A68" s="308">
        <v>68</v>
      </c>
      <c r="B68" s="92" t="s">
        <v>258</v>
      </c>
      <c r="C68" s="61" t="s">
        <v>713</v>
      </c>
      <c r="D68" s="92" t="s">
        <v>19</v>
      </c>
      <c r="E68" s="58">
        <f>'M.C. '!K188</f>
        <v>39.299999999999997</v>
      </c>
      <c r="F68" s="297">
        <f>'A10,4-B10,4-C9,4-F9,4'!F48</f>
        <v>19104</v>
      </c>
      <c r="G68" s="298">
        <f t="shared" si="6"/>
        <v>750787.2</v>
      </c>
      <c r="K68" s="574"/>
    </row>
    <row r="69" spans="1:11" x14ac:dyDescent="0.3">
      <c r="A69" s="308">
        <v>69</v>
      </c>
      <c r="B69" s="299" t="s">
        <v>186</v>
      </c>
      <c r="C69" s="64" t="s">
        <v>259</v>
      </c>
      <c r="D69" s="64"/>
      <c r="E69" s="295"/>
      <c r="F69" s="296"/>
      <c r="G69" s="93">
        <f>SUM(G70:G73)</f>
        <v>3895193.08</v>
      </c>
    </row>
    <row r="70" spans="1:11" ht="32.25" customHeight="1" x14ac:dyDescent="0.3">
      <c r="A70" s="308">
        <v>70</v>
      </c>
      <c r="B70" s="92" t="s">
        <v>189</v>
      </c>
      <c r="C70" s="63" t="s">
        <v>764</v>
      </c>
      <c r="D70" s="92" t="s">
        <v>8</v>
      </c>
      <c r="E70" s="58">
        <f>'M.C. '!K191</f>
        <v>11.51</v>
      </c>
      <c r="F70" s="297">
        <f>'A11,1-F10,1'!F48</f>
        <v>216428</v>
      </c>
      <c r="G70" s="298">
        <f t="shared" ref="G70:G72" si="7">E70*F70</f>
        <v>2491086.2799999998</v>
      </c>
    </row>
    <row r="71" spans="1:11" ht="31.5" customHeight="1" x14ac:dyDescent="0.3">
      <c r="A71" s="308">
        <v>71</v>
      </c>
      <c r="B71" s="92" t="s">
        <v>190</v>
      </c>
      <c r="C71" s="62" t="s">
        <v>767</v>
      </c>
      <c r="D71" s="92" t="s">
        <v>21</v>
      </c>
      <c r="E71" s="58">
        <f>'M.C. '!K198</f>
        <v>1</v>
      </c>
      <c r="F71" s="297">
        <f>'A11,2-F10,2'!F48</f>
        <v>497962</v>
      </c>
      <c r="G71" s="298">
        <f t="shared" si="7"/>
        <v>497962</v>
      </c>
    </row>
    <row r="72" spans="1:11" ht="31.2" x14ac:dyDescent="0.3">
      <c r="A72" s="308">
        <v>72</v>
      </c>
      <c r="B72" s="92" t="s">
        <v>260</v>
      </c>
      <c r="C72" s="62" t="s">
        <v>714</v>
      </c>
      <c r="D72" s="92" t="s">
        <v>19</v>
      </c>
      <c r="E72" s="58">
        <f>'M.C. '!K200</f>
        <v>6.4</v>
      </c>
      <c r="F72" s="297">
        <f>'A11,3'!F48</f>
        <v>65867</v>
      </c>
      <c r="G72" s="298">
        <f t="shared" si="7"/>
        <v>421548.80000000005</v>
      </c>
    </row>
    <row r="73" spans="1:11" ht="31.2" x14ac:dyDescent="0.3">
      <c r="A73" s="308">
        <v>73</v>
      </c>
      <c r="B73" s="92" t="s">
        <v>1070</v>
      </c>
      <c r="C73" s="62" t="s">
        <v>1071</v>
      </c>
      <c r="D73" s="92" t="s">
        <v>21</v>
      </c>
      <c r="E73" s="58">
        <f>'M.C. '!K202</f>
        <v>1</v>
      </c>
      <c r="F73" s="297">
        <f>'A11,4'!F48</f>
        <v>484596</v>
      </c>
      <c r="G73" s="298">
        <f t="shared" ref="G73" si="8">E73*F73</f>
        <v>484596</v>
      </c>
    </row>
    <row r="74" spans="1:11" x14ac:dyDescent="0.3">
      <c r="A74" s="308">
        <v>74</v>
      </c>
      <c r="B74" s="300" t="s">
        <v>261</v>
      </c>
      <c r="C74" s="64" t="s">
        <v>262</v>
      </c>
      <c r="D74" s="295"/>
      <c r="E74" s="295"/>
      <c r="F74" s="296"/>
      <c r="G74" s="93">
        <f>SUM(G75:G76)</f>
        <v>5008978.83</v>
      </c>
    </row>
    <row r="75" spans="1:11" x14ac:dyDescent="0.3">
      <c r="A75" s="308">
        <v>75</v>
      </c>
      <c r="B75" s="92" t="s">
        <v>263</v>
      </c>
      <c r="C75" s="61" t="s">
        <v>715</v>
      </c>
      <c r="D75" s="6" t="s">
        <v>8</v>
      </c>
      <c r="E75" s="58">
        <f>'M.C. '!K205</f>
        <v>121.51</v>
      </c>
      <c r="F75" s="297">
        <f>'A12,1-C11,1-F11,3'!F48</f>
        <v>25569</v>
      </c>
      <c r="G75" s="298">
        <f t="shared" ref="G75:G76" si="9">E75*F75</f>
        <v>3106889.19</v>
      </c>
    </row>
    <row r="76" spans="1:11" s="215" customFormat="1" x14ac:dyDescent="0.3">
      <c r="A76" s="308">
        <v>76</v>
      </c>
      <c r="B76" s="92" t="s">
        <v>264</v>
      </c>
      <c r="C76" s="61" t="s">
        <v>366</v>
      </c>
      <c r="D76" s="6" t="s">
        <v>8</v>
      </c>
      <c r="E76" s="58">
        <f>'M.C. '!K227</f>
        <v>57.86</v>
      </c>
      <c r="F76" s="297">
        <f>'A12,2-B12,1-C11,2-F11,4'!F48</f>
        <v>32874</v>
      </c>
      <c r="G76" s="298">
        <f t="shared" si="9"/>
        <v>1902089.64</v>
      </c>
      <c r="K76" s="574"/>
    </row>
    <row r="77" spans="1:11" x14ac:dyDescent="0.3">
      <c r="A77" s="308">
        <v>77</v>
      </c>
      <c r="B77" s="300" t="s">
        <v>265</v>
      </c>
      <c r="C77" s="64" t="s">
        <v>269</v>
      </c>
      <c r="D77" s="295"/>
      <c r="E77" s="295"/>
      <c r="F77" s="296"/>
      <c r="G77" s="93">
        <f>SUM(G78:G80)</f>
        <v>1452054</v>
      </c>
    </row>
    <row r="78" spans="1:11" x14ac:dyDescent="0.3">
      <c r="B78" s="92" t="s">
        <v>266</v>
      </c>
      <c r="C78" s="61" t="s">
        <v>1113</v>
      </c>
      <c r="D78" s="92" t="s">
        <v>19</v>
      </c>
      <c r="E78" s="58">
        <f>'M.C. '!K239</f>
        <v>6</v>
      </c>
      <c r="F78" s="297">
        <f>'A13,1-C12,1'!F48</f>
        <v>62829</v>
      </c>
      <c r="G78" s="521">
        <f>E78*F78</f>
        <v>376974</v>
      </c>
    </row>
    <row r="79" spans="1:11" x14ac:dyDescent="0.3">
      <c r="A79" s="308">
        <v>78</v>
      </c>
      <c r="B79" s="92" t="s">
        <v>267</v>
      </c>
      <c r="C79" s="61" t="s">
        <v>367</v>
      </c>
      <c r="D79" s="92" t="s">
        <v>19</v>
      </c>
      <c r="E79" s="58">
        <f>'M.C. '!K241</f>
        <v>6</v>
      </c>
      <c r="F79" s="297">
        <f>'A13,2'!F48</f>
        <v>81991</v>
      </c>
      <c r="G79" s="298">
        <f t="shared" ref="G79:G80" si="10">E79*F79</f>
        <v>491946</v>
      </c>
    </row>
    <row r="80" spans="1:11" x14ac:dyDescent="0.3">
      <c r="A80" s="308">
        <v>79</v>
      </c>
      <c r="B80" s="92" t="s">
        <v>268</v>
      </c>
      <c r="C80" s="61" t="s">
        <v>863</v>
      </c>
      <c r="D80" s="92" t="s">
        <v>8</v>
      </c>
      <c r="E80" s="58">
        <f>'M.C. '!K243</f>
        <v>6</v>
      </c>
      <c r="F80" s="297">
        <f>'A13,3-C12,2-F12,1'!F48</f>
        <v>97189</v>
      </c>
      <c r="G80" s="298">
        <f t="shared" si="10"/>
        <v>583134</v>
      </c>
    </row>
    <row r="81" spans="1:11" x14ac:dyDescent="0.3">
      <c r="A81" s="308">
        <v>80</v>
      </c>
      <c r="B81" s="300" t="s">
        <v>630</v>
      </c>
      <c r="C81" s="64" t="s">
        <v>631</v>
      </c>
      <c r="D81" s="300"/>
      <c r="E81" s="302"/>
      <c r="F81" s="303"/>
      <c r="G81" s="304">
        <f>G82</f>
        <v>153846</v>
      </c>
    </row>
    <row r="82" spans="1:11" s="215" customFormat="1" x14ac:dyDescent="0.3">
      <c r="A82" s="308">
        <v>81</v>
      </c>
      <c r="B82" s="92" t="s">
        <v>632</v>
      </c>
      <c r="C82" s="61" t="s">
        <v>640</v>
      </c>
      <c r="D82" s="92" t="s">
        <v>8</v>
      </c>
      <c r="E82" s="58">
        <f>'M.C. '!K246</f>
        <v>66</v>
      </c>
      <c r="F82" s="297">
        <f>'A14,1-B14,1-C13,1-E4,1-F13,1'!F48</f>
        <v>2331</v>
      </c>
      <c r="G82" s="298">
        <f>E82*F82</f>
        <v>153846</v>
      </c>
      <c r="K82" s="574"/>
    </row>
    <row r="83" spans="1:11" ht="8.25" customHeight="1" x14ac:dyDescent="0.3">
      <c r="A83" s="308">
        <v>82</v>
      </c>
      <c r="B83" s="733"/>
      <c r="C83" s="733"/>
      <c r="D83" s="733"/>
      <c r="E83" s="733"/>
      <c r="F83" s="733"/>
      <c r="G83" s="733"/>
    </row>
    <row r="84" spans="1:11" ht="31.5" customHeight="1" x14ac:dyDescent="0.3">
      <c r="A84" s="308">
        <v>83</v>
      </c>
      <c r="B84" s="305" t="s">
        <v>205</v>
      </c>
      <c r="C84" s="726" t="s">
        <v>1044</v>
      </c>
      <c r="D84" s="726"/>
      <c r="E84" s="726"/>
      <c r="F84" s="726"/>
      <c r="G84" s="306">
        <f>G85+G88+G90+G92+G94+G99+G105+G116+G119+G121+G127+G130+G132+G134</f>
        <v>37221673.100000001</v>
      </c>
      <c r="H84" s="91">
        <f>G84*0.3</f>
        <v>11166501.93</v>
      </c>
      <c r="I84" s="291">
        <f>G84+H84</f>
        <v>48388175.030000001</v>
      </c>
      <c r="J84" s="291">
        <f>I84*0.01</f>
        <v>483881.75030000001</v>
      </c>
      <c r="K84" s="573">
        <f>I84+J84</f>
        <v>48872056.780299999</v>
      </c>
    </row>
    <row r="85" spans="1:11" x14ac:dyDescent="0.3">
      <c r="A85" s="308">
        <v>84</v>
      </c>
      <c r="B85" s="17" t="s">
        <v>206</v>
      </c>
      <c r="C85" s="375" t="s">
        <v>6</v>
      </c>
      <c r="D85" s="388"/>
      <c r="E85" s="388"/>
      <c r="F85" s="389"/>
      <c r="G85" s="93">
        <f>SUM(G86:G87)</f>
        <v>280863.5</v>
      </c>
    </row>
    <row r="86" spans="1:11" x14ac:dyDescent="0.3">
      <c r="A86" s="308">
        <v>85</v>
      </c>
      <c r="B86" s="292" t="s">
        <v>207</v>
      </c>
      <c r="C86" s="4" t="s">
        <v>651</v>
      </c>
      <c r="D86" s="5" t="s">
        <v>8</v>
      </c>
      <c r="E86" s="92">
        <f>'M.C. '!K251</f>
        <v>24.25</v>
      </c>
      <c r="F86" s="293">
        <f>'A1,1-B1,1-C1,1-E1,1-F1,1'!F48</f>
        <v>5209</v>
      </c>
      <c r="G86" s="294">
        <f>E86*F86</f>
        <v>126318.25</v>
      </c>
      <c r="H86" s="10"/>
      <c r="J86" s="10"/>
    </row>
    <row r="87" spans="1:11" s="215" customFormat="1" x14ac:dyDescent="0.3">
      <c r="A87" s="308">
        <v>86</v>
      </c>
      <c r="B87" s="292" t="s">
        <v>208</v>
      </c>
      <c r="C87" s="4" t="s">
        <v>652</v>
      </c>
      <c r="D87" s="5" t="s">
        <v>8</v>
      </c>
      <c r="E87" s="92">
        <f>'M.C. '!K253</f>
        <v>24.25</v>
      </c>
      <c r="F87" s="293">
        <f>'B1,2-C1,2'!F48</f>
        <v>6373</v>
      </c>
      <c r="G87" s="294">
        <f>E87*F87</f>
        <v>154545.25</v>
      </c>
      <c r="H87" s="291"/>
      <c r="K87" s="574"/>
    </row>
    <row r="88" spans="1:11" x14ac:dyDescent="0.3">
      <c r="A88" s="308">
        <v>87</v>
      </c>
      <c r="B88" s="19" t="s">
        <v>209</v>
      </c>
      <c r="C88" s="375" t="s">
        <v>236</v>
      </c>
      <c r="D88" s="388"/>
      <c r="E88" s="388"/>
      <c r="F88" s="389"/>
      <c r="G88" s="93">
        <f>SUM(G89)</f>
        <v>18254.97</v>
      </c>
      <c r="H88" s="10"/>
    </row>
    <row r="89" spans="1:11" s="215" customFormat="1" x14ac:dyDescent="0.3">
      <c r="A89" s="308">
        <v>88</v>
      </c>
      <c r="B89" s="92" t="s">
        <v>210</v>
      </c>
      <c r="C89" s="61" t="s">
        <v>666</v>
      </c>
      <c r="D89" s="92" t="s">
        <v>9</v>
      </c>
      <c r="E89" s="92">
        <f>'M.C. '!K256</f>
        <v>0.31</v>
      </c>
      <c r="F89" s="293">
        <f>'A2,1-B2,1-C2,1-E2,2-F3,1'!F48</f>
        <v>58887</v>
      </c>
      <c r="G89" s="294">
        <f>E89*F89</f>
        <v>18254.97</v>
      </c>
      <c r="H89" s="291"/>
      <c r="K89" s="574"/>
    </row>
    <row r="90" spans="1:11" x14ac:dyDescent="0.3">
      <c r="A90" s="308">
        <v>89</v>
      </c>
      <c r="B90" s="300" t="s">
        <v>211</v>
      </c>
      <c r="C90" s="381" t="s">
        <v>655</v>
      </c>
      <c r="D90" s="382"/>
      <c r="E90" s="382"/>
      <c r="F90" s="383"/>
      <c r="G90" s="93">
        <f>SUM(G91:G91)</f>
        <v>881094.96</v>
      </c>
      <c r="H90" s="10"/>
    </row>
    <row r="91" spans="1:11" ht="31.2" x14ac:dyDescent="0.3">
      <c r="A91" s="308">
        <v>90</v>
      </c>
      <c r="B91" s="92" t="s">
        <v>212</v>
      </c>
      <c r="C91" s="62" t="s">
        <v>771</v>
      </c>
      <c r="D91" s="92" t="s">
        <v>19</v>
      </c>
      <c r="E91" s="92">
        <f>'M.C. '!K261</f>
        <v>13.08</v>
      </c>
      <c r="F91" s="293">
        <f>'B3,1-F4,1'!F48</f>
        <v>67362</v>
      </c>
      <c r="G91" s="294">
        <f>E91*F91</f>
        <v>881094.96</v>
      </c>
      <c r="H91" s="10"/>
    </row>
    <row r="92" spans="1:11" x14ac:dyDescent="0.3">
      <c r="A92" s="308">
        <v>91</v>
      </c>
      <c r="B92" s="299" t="s">
        <v>213</v>
      </c>
      <c r="C92" s="381" t="s">
        <v>10</v>
      </c>
      <c r="D92" s="382"/>
      <c r="E92" s="382"/>
      <c r="F92" s="383"/>
      <c r="G92" s="93">
        <f>SUM(G93)</f>
        <v>1295283.1500000001</v>
      </c>
      <c r="H92" s="10"/>
    </row>
    <row r="93" spans="1:11" s="215" customFormat="1" x14ac:dyDescent="0.3">
      <c r="A93" s="308">
        <v>92</v>
      </c>
      <c r="B93" s="92" t="s">
        <v>214</v>
      </c>
      <c r="C93" s="61" t="s">
        <v>701</v>
      </c>
      <c r="D93" s="92" t="s">
        <v>8</v>
      </c>
      <c r="E93" s="92">
        <f>'M.C. '!K268</f>
        <v>21.35</v>
      </c>
      <c r="F93" s="293">
        <f>'A4,1 -B4,1-C5,1-F6,1'!F48</f>
        <v>60669</v>
      </c>
      <c r="G93" s="294">
        <f>E93*F93</f>
        <v>1295283.1500000001</v>
      </c>
      <c r="H93" s="291"/>
      <c r="K93" s="574"/>
    </row>
    <row r="94" spans="1:11" ht="15" customHeight="1" x14ac:dyDescent="0.3">
      <c r="A94" s="308">
        <v>93</v>
      </c>
      <c r="B94" s="299" t="s">
        <v>215</v>
      </c>
      <c r="C94" s="381" t="s">
        <v>239</v>
      </c>
      <c r="D94" s="382"/>
      <c r="E94" s="382"/>
      <c r="F94" s="383"/>
      <c r="G94" s="93">
        <f>SUM(G95:G98)</f>
        <v>9322899.2200000007</v>
      </c>
      <c r="H94" s="10"/>
    </row>
    <row r="95" spans="1:11" ht="33" customHeight="1" x14ac:dyDescent="0.3">
      <c r="A95" s="308">
        <v>94</v>
      </c>
      <c r="B95" s="92" t="s">
        <v>216</v>
      </c>
      <c r="C95" s="62" t="s">
        <v>772</v>
      </c>
      <c r="D95" s="92" t="s">
        <v>19</v>
      </c>
      <c r="E95" s="92">
        <f>'M.C. '!K275</f>
        <v>13.08</v>
      </c>
      <c r="F95" s="293">
        <f>'B5,1-F5,1'!F48</f>
        <v>83520</v>
      </c>
      <c r="G95" s="294">
        <f>E95*F95</f>
        <v>1092441.6000000001</v>
      </c>
      <c r="H95" s="10"/>
    </row>
    <row r="96" spans="1:11" ht="31.2" x14ac:dyDescent="0.3">
      <c r="A96" s="308">
        <v>95</v>
      </c>
      <c r="B96" s="92" t="s">
        <v>217</v>
      </c>
      <c r="C96" s="62" t="s">
        <v>773</v>
      </c>
      <c r="D96" s="92" t="s">
        <v>19</v>
      </c>
      <c r="E96" s="58">
        <f>'M.C. '!K281</f>
        <v>22</v>
      </c>
      <c r="F96" s="293">
        <f>'B5,2-F5,2'!F48</f>
        <v>75441</v>
      </c>
      <c r="G96" s="294">
        <f>E96*F96</f>
        <v>1659702</v>
      </c>
      <c r="H96" s="10"/>
    </row>
    <row r="97" spans="1:11" x14ac:dyDescent="0.3">
      <c r="A97" s="308">
        <v>96</v>
      </c>
      <c r="B97" s="92" t="s">
        <v>218</v>
      </c>
      <c r="C97" s="61" t="s">
        <v>641</v>
      </c>
      <c r="D97" s="92" t="s">
        <v>19</v>
      </c>
      <c r="E97" s="58">
        <f>'M.C. '!K283</f>
        <v>3.3</v>
      </c>
      <c r="F97" s="293">
        <f>'B5,3'!F48</f>
        <v>279387</v>
      </c>
      <c r="G97" s="294">
        <f>E97*F97</f>
        <v>921977.1</v>
      </c>
      <c r="H97" s="10"/>
    </row>
    <row r="98" spans="1:11" s="215" customFormat="1" x14ac:dyDescent="0.3">
      <c r="A98" s="308">
        <v>97</v>
      </c>
      <c r="B98" s="92" t="s">
        <v>219</v>
      </c>
      <c r="C98" s="61" t="s">
        <v>1010</v>
      </c>
      <c r="D98" s="92" t="s">
        <v>8</v>
      </c>
      <c r="E98" s="92">
        <f>'M.C. '!K286</f>
        <v>16.940000000000001</v>
      </c>
      <c r="F98" s="293">
        <f>'A5,5-B5,4'!F48</f>
        <v>333458</v>
      </c>
      <c r="G98" s="294">
        <f t="shared" ref="G98" si="11">E98*F98</f>
        <v>5648778.5200000005</v>
      </c>
      <c r="H98" s="291"/>
      <c r="K98" s="574"/>
    </row>
    <row r="99" spans="1:11" x14ac:dyDescent="0.3">
      <c r="A99" s="308">
        <v>98</v>
      </c>
      <c r="B99" s="299" t="s">
        <v>220</v>
      </c>
      <c r="C99" s="377" t="s">
        <v>34</v>
      </c>
      <c r="D99" s="386"/>
      <c r="E99" s="386"/>
      <c r="F99" s="387"/>
      <c r="G99" s="93">
        <f>SUM(G100:G104)</f>
        <v>1018426</v>
      </c>
      <c r="H99" s="10"/>
    </row>
    <row r="100" spans="1:11" x14ac:dyDescent="0.3">
      <c r="A100" s="308">
        <v>99</v>
      </c>
      <c r="B100" s="301" t="s">
        <v>221</v>
      </c>
      <c r="C100" s="4" t="s">
        <v>774</v>
      </c>
      <c r="D100" s="7" t="s">
        <v>21</v>
      </c>
      <c r="E100" s="58">
        <f>'M.C. '!K289</f>
        <v>4</v>
      </c>
      <c r="F100" s="70">
        <f>'B6,1'!F49</f>
        <v>69905</v>
      </c>
      <c r="G100" s="294">
        <f>E100*F100</f>
        <v>279620</v>
      </c>
      <c r="H100" s="10"/>
    </row>
    <row r="101" spans="1:11" s="215" customFormat="1" x14ac:dyDescent="0.3">
      <c r="A101" s="308">
        <v>100</v>
      </c>
      <c r="B101" s="301" t="s">
        <v>222</v>
      </c>
      <c r="C101" s="4" t="s">
        <v>707</v>
      </c>
      <c r="D101" s="7" t="s">
        <v>21</v>
      </c>
      <c r="E101" s="58">
        <f>'M.C. '!K291</f>
        <v>2</v>
      </c>
      <c r="F101" s="70">
        <f>'A6,4-B6,2-C6,3'!F48</f>
        <v>38027</v>
      </c>
      <c r="G101" s="294">
        <f t="shared" ref="G101:G104" si="12">E101*F101</f>
        <v>76054</v>
      </c>
      <c r="H101" s="291"/>
      <c r="K101" s="574"/>
    </row>
    <row r="102" spans="1:11" x14ac:dyDescent="0.3">
      <c r="A102" s="308">
        <v>101</v>
      </c>
      <c r="B102" s="301" t="s">
        <v>667</v>
      </c>
      <c r="C102" s="8" t="s">
        <v>643</v>
      </c>
      <c r="D102" s="7" t="s">
        <v>21</v>
      </c>
      <c r="E102" s="58">
        <f>'M.C. '!K293</f>
        <v>1</v>
      </c>
      <c r="F102" s="70">
        <f>'B6,3'!F48</f>
        <v>255776</v>
      </c>
      <c r="G102" s="294">
        <f t="shared" si="12"/>
        <v>255776</v>
      </c>
      <c r="H102" s="10"/>
    </row>
    <row r="103" spans="1:11" s="215" customFormat="1" ht="29.25" customHeight="1" x14ac:dyDescent="0.3">
      <c r="A103" s="308">
        <v>102</v>
      </c>
      <c r="B103" s="301" t="s">
        <v>668</v>
      </c>
      <c r="C103" s="8" t="s">
        <v>710</v>
      </c>
      <c r="D103" s="7" t="s">
        <v>19</v>
      </c>
      <c r="E103" s="58">
        <f>'M.C. '!K295</f>
        <v>7</v>
      </c>
      <c r="F103" s="70">
        <f>'A6,8-B6,4-C6,4'!F48</f>
        <v>35348</v>
      </c>
      <c r="G103" s="294">
        <f t="shared" si="12"/>
        <v>247436</v>
      </c>
      <c r="H103" s="291"/>
      <c r="K103" s="574"/>
    </row>
    <row r="104" spans="1:11" s="215" customFormat="1" ht="24.75" customHeight="1" x14ac:dyDescent="0.3">
      <c r="A104" s="308">
        <v>103</v>
      </c>
      <c r="B104" s="301" t="s">
        <v>775</v>
      </c>
      <c r="C104" s="276" t="s">
        <v>730</v>
      </c>
      <c r="D104" s="92" t="s">
        <v>19</v>
      </c>
      <c r="E104" s="58">
        <f>'M.C. '!K297</f>
        <v>5</v>
      </c>
      <c r="F104" s="297">
        <f>'A6,9-B6,5-C6,8'!F48</f>
        <v>31908</v>
      </c>
      <c r="G104" s="294">
        <f t="shared" si="12"/>
        <v>159540</v>
      </c>
      <c r="H104" s="291"/>
      <c r="K104" s="574"/>
    </row>
    <row r="105" spans="1:11" x14ac:dyDescent="0.3">
      <c r="A105" s="308">
        <v>104</v>
      </c>
      <c r="B105" s="299" t="s">
        <v>223</v>
      </c>
      <c r="C105" s="377" t="s">
        <v>660</v>
      </c>
      <c r="D105" s="386"/>
      <c r="E105" s="386"/>
      <c r="F105" s="387"/>
      <c r="G105" s="93">
        <f>SUM(G106:G115)</f>
        <v>3101199</v>
      </c>
      <c r="H105" s="10"/>
    </row>
    <row r="106" spans="1:11" s="215" customFormat="1" x14ac:dyDescent="0.3">
      <c r="A106" s="308">
        <v>105</v>
      </c>
      <c r="B106" s="92" t="s">
        <v>224</v>
      </c>
      <c r="C106" s="61" t="s">
        <v>738</v>
      </c>
      <c r="D106" s="6" t="s">
        <v>21</v>
      </c>
      <c r="E106" s="537">
        <f>'M.C. '!K300</f>
        <v>5</v>
      </c>
      <c r="F106" s="70">
        <f>'A7,1-B7,1-F7,1'!F48</f>
        <v>68127</v>
      </c>
      <c r="G106" s="294">
        <f t="shared" ref="G106:G109" si="13">E106*F106</f>
        <v>340635</v>
      </c>
      <c r="H106" s="291"/>
      <c r="K106" s="574"/>
    </row>
    <row r="107" spans="1:11" s="215" customFormat="1" x14ac:dyDescent="0.3">
      <c r="A107" s="308">
        <v>106</v>
      </c>
      <c r="B107" s="92" t="s">
        <v>225</v>
      </c>
      <c r="C107" s="61" t="s">
        <v>739</v>
      </c>
      <c r="D107" s="6" t="s">
        <v>21</v>
      </c>
      <c r="E107" s="537">
        <f>'M.C. '!K302</f>
        <v>1</v>
      </c>
      <c r="F107" s="70">
        <f>'A7,2-B7,2-B7,2'!F48</f>
        <v>74715</v>
      </c>
      <c r="G107" s="294">
        <f>E107*F107</f>
        <v>74715</v>
      </c>
      <c r="H107" s="291" t="s">
        <v>654</v>
      </c>
      <c r="K107" s="574"/>
    </row>
    <row r="108" spans="1:11" s="215" customFormat="1" x14ac:dyDescent="0.3">
      <c r="A108" s="308">
        <v>107</v>
      </c>
      <c r="B108" s="92" t="s">
        <v>669</v>
      </c>
      <c r="C108" s="61" t="s">
        <v>740</v>
      </c>
      <c r="D108" s="6" t="s">
        <v>21</v>
      </c>
      <c r="E108" s="537">
        <f>'M.C. '!K304</f>
        <v>4</v>
      </c>
      <c r="F108" s="70">
        <f>'A7,3-B7,3'!F48</f>
        <v>85193</v>
      </c>
      <c r="G108" s="294">
        <f>E108*F108</f>
        <v>340772</v>
      </c>
      <c r="H108" s="291"/>
      <c r="K108" s="574"/>
    </row>
    <row r="109" spans="1:11" s="215" customFormat="1" x14ac:dyDescent="0.3">
      <c r="A109" s="308">
        <v>108</v>
      </c>
      <c r="B109" s="92" t="s">
        <v>670</v>
      </c>
      <c r="C109" s="8" t="s">
        <v>362</v>
      </c>
      <c r="D109" s="6" t="s">
        <v>21</v>
      </c>
      <c r="E109" s="537">
        <f>'M.C. '!K306</f>
        <v>1</v>
      </c>
      <c r="F109" s="70">
        <f>'A7,4-B7,4'!F48</f>
        <v>369967</v>
      </c>
      <c r="G109" s="294">
        <f t="shared" si="13"/>
        <v>369967</v>
      </c>
      <c r="H109" s="291"/>
      <c r="K109" s="574"/>
    </row>
    <row r="110" spans="1:11" s="215" customFormat="1" x14ac:dyDescent="0.3">
      <c r="A110" s="308">
        <v>109</v>
      </c>
      <c r="B110" s="92" t="s">
        <v>671</v>
      </c>
      <c r="C110" s="61" t="s">
        <v>742</v>
      </c>
      <c r="D110" s="5" t="s">
        <v>21</v>
      </c>
      <c r="E110" s="537">
        <f>'M.C. '!K308</f>
        <v>9</v>
      </c>
      <c r="F110" s="70">
        <f>'A7,5-B7,5-F7,3'!F50</f>
        <v>83682</v>
      </c>
      <c r="G110" s="294">
        <f>E110*F110</f>
        <v>753138</v>
      </c>
      <c r="K110" s="574"/>
    </row>
    <row r="111" spans="1:11" s="215" customFormat="1" x14ac:dyDescent="0.3">
      <c r="A111" s="308">
        <v>110</v>
      </c>
      <c r="B111" s="92" t="s">
        <v>672</v>
      </c>
      <c r="C111" s="61" t="s">
        <v>741</v>
      </c>
      <c r="D111" s="5" t="s">
        <v>21</v>
      </c>
      <c r="E111" s="537">
        <f>'M.C. '!K310</f>
        <v>1</v>
      </c>
      <c r="F111" s="297">
        <f>'A7,6-B7,6-F7,4'!F48</f>
        <v>79410</v>
      </c>
      <c r="G111" s="298">
        <f t="shared" ref="G111:G114" si="14">E111*F111</f>
        <v>79410</v>
      </c>
      <c r="K111" s="574"/>
    </row>
    <row r="112" spans="1:11" s="215" customFormat="1" x14ac:dyDescent="0.3">
      <c r="A112" s="308">
        <v>111</v>
      </c>
      <c r="B112" s="92" t="s">
        <v>673</v>
      </c>
      <c r="C112" s="61" t="s">
        <v>743</v>
      </c>
      <c r="D112" s="5" t="s">
        <v>21</v>
      </c>
      <c r="E112" s="537">
        <f>'M.C. '!K312</f>
        <v>1</v>
      </c>
      <c r="F112" s="297">
        <f>'A7,7-B7,7-F7,5'!F51</f>
        <v>233367</v>
      </c>
      <c r="G112" s="298">
        <f t="shared" si="14"/>
        <v>233367</v>
      </c>
      <c r="K112" s="574"/>
    </row>
    <row r="113" spans="1:11" s="215" customFormat="1" x14ac:dyDescent="0.3">
      <c r="A113" s="308">
        <v>112</v>
      </c>
      <c r="B113" s="92" t="s">
        <v>674</v>
      </c>
      <c r="C113" s="61" t="s">
        <v>744</v>
      </c>
      <c r="D113" s="5" t="s">
        <v>21</v>
      </c>
      <c r="E113" s="537">
        <f>'M.C. '!K314</f>
        <v>1</v>
      </c>
      <c r="F113" s="297">
        <f>'A7,8-B7,8-F7,6'!F48</f>
        <v>228979</v>
      </c>
      <c r="G113" s="298">
        <f t="shared" si="14"/>
        <v>228979</v>
      </c>
      <c r="K113" s="574"/>
    </row>
    <row r="114" spans="1:11" s="215" customFormat="1" x14ac:dyDescent="0.3">
      <c r="A114" s="308">
        <v>113</v>
      </c>
      <c r="B114" s="92" t="s">
        <v>675</v>
      </c>
      <c r="C114" s="61" t="s">
        <v>363</v>
      </c>
      <c r="D114" s="5" t="s">
        <v>21</v>
      </c>
      <c r="E114" s="537">
        <f>'M.C. '!K316</f>
        <v>1</v>
      </c>
      <c r="F114" s="297">
        <f>'A7,10-B7,9'!F48</f>
        <v>484120</v>
      </c>
      <c r="G114" s="298">
        <f t="shared" si="14"/>
        <v>484120</v>
      </c>
      <c r="H114" s="291"/>
      <c r="K114" s="574"/>
    </row>
    <row r="115" spans="1:11" x14ac:dyDescent="0.3">
      <c r="A115" s="308">
        <v>114</v>
      </c>
      <c r="B115" s="92" t="s">
        <v>676</v>
      </c>
      <c r="C115" s="8" t="s">
        <v>642</v>
      </c>
      <c r="D115" s="6" t="s">
        <v>21</v>
      </c>
      <c r="E115" s="537">
        <f>'M.C. '!K318</f>
        <v>4</v>
      </c>
      <c r="F115" s="70">
        <f>'B7,11'!F48</f>
        <v>49024</v>
      </c>
      <c r="G115" s="294">
        <f>E115*F115</f>
        <v>196096</v>
      </c>
      <c r="H115" s="10"/>
    </row>
    <row r="116" spans="1:11" x14ac:dyDescent="0.3">
      <c r="A116" s="308">
        <v>115</v>
      </c>
      <c r="B116" s="299" t="s">
        <v>226</v>
      </c>
      <c r="C116" s="376" t="s">
        <v>20</v>
      </c>
      <c r="D116" s="384"/>
      <c r="E116" s="384"/>
      <c r="F116" s="385"/>
      <c r="G116" s="93">
        <f>SUM(G117:G118)</f>
        <v>2116530</v>
      </c>
      <c r="H116" s="10"/>
    </row>
    <row r="117" spans="1:11" x14ac:dyDescent="0.3">
      <c r="A117" s="308">
        <v>116</v>
      </c>
      <c r="B117" s="92" t="s">
        <v>227</v>
      </c>
      <c r="C117" s="4" t="s">
        <v>780</v>
      </c>
      <c r="D117" s="5" t="s">
        <v>21</v>
      </c>
      <c r="E117" s="58">
        <f>'M.C. '!K321</f>
        <v>3</v>
      </c>
      <c r="F117" s="293">
        <f>'B8,1'!F47</f>
        <v>587320</v>
      </c>
      <c r="G117" s="294">
        <f>E117*F117</f>
        <v>1761960</v>
      </c>
      <c r="H117" s="10"/>
    </row>
    <row r="118" spans="1:11" x14ac:dyDescent="0.3">
      <c r="A118" s="308">
        <v>117</v>
      </c>
      <c r="B118" s="92" t="s">
        <v>228</v>
      </c>
      <c r="C118" s="61" t="s">
        <v>782</v>
      </c>
      <c r="D118" s="92" t="s">
        <v>21</v>
      </c>
      <c r="E118" s="58">
        <f>'M.C. '!K323</f>
        <v>1</v>
      </c>
      <c r="F118" s="293">
        <f>'B8,2'!F48</f>
        <v>354570</v>
      </c>
      <c r="G118" s="294">
        <f>E118*F118</f>
        <v>354570</v>
      </c>
      <c r="H118" s="10"/>
    </row>
    <row r="119" spans="1:11" x14ac:dyDescent="0.3">
      <c r="A119" s="308">
        <v>118</v>
      </c>
      <c r="B119" s="299" t="s">
        <v>229</v>
      </c>
      <c r="C119" s="381" t="s">
        <v>254</v>
      </c>
      <c r="D119" s="382"/>
      <c r="E119" s="382"/>
      <c r="F119" s="383"/>
      <c r="G119" s="93">
        <f>SUM(G120)</f>
        <v>1298848.8</v>
      </c>
      <c r="H119" s="10"/>
    </row>
    <row r="120" spans="1:11" s="215" customFormat="1" x14ac:dyDescent="0.3">
      <c r="A120" s="308">
        <v>119</v>
      </c>
      <c r="B120" s="92" t="s">
        <v>230</v>
      </c>
      <c r="C120" s="61" t="s">
        <v>711</v>
      </c>
      <c r="D120" s="92" t="s">
        <v>8</v>
      </c>
      <c r="E120" s="92">
        <f>'M.C. '!K326</f>
        <v>43.36</v>
      </c>
      <c r="F120" s="293">
        <f>'A8,1-B9,1-C7,1-F8,1'!F48</f>
        <v>29955</v>
      </c>
      <c r="G120" s="294">
        <f>E120*F120</f>
        <v>1298848.8</v>
      </c>
      <c r="H120" s="291"/>
      <c r="K120" s="574"/>
    </row>
    <row r="121" spans="1:11" x14ac:dyDescent="0.3">
      <c r="A121" s="308">
        <v>120</v>
      </c>
      <c r="B121" s="299" t="s">
        <v>231</v>
      </c>
      <c r="C121" s="381" t="s">
        <v>656</v>
      </c>
      <c r="D121" s="382"/>
      <c r="E121" s="382"/>
      <c r="F121" s="383"/>
      <c r="G121" s="93">
        <f>SUM(G122:G126)</f>
        <v>12088278.07</v>
      </c>
      <c r="H121" s="10"/>
    </row>
    <row r="122" spans="1:11" x14ac:dyDescent="0.3">
      <c r="A122" s="308">
        <v>121</v>
      </c>
      <c r="B122" s="92" t="s">
        <v>232</v>
      </c>
      <c r="C122" s="61" t="s">
        <v>785</v>
      </c>
      <c r="D122" s="92" t="s">
        <v>8</v>
      </c>
      <c r="E122" s="92">
        <f>'M.C. '!K331</f>
        <v>36.76</v>
      </c>
      <c r="F122" s="293">
        <f>'B10,1'!F47</f>
        <v>167477</v>
      </c>
      <c r="G122" s="294">
        <f>E122*F122</f>
        <v>6156454.5199999996</v>
      </c>
      <c r="H122" s="10"/>
    </row>
    <row r="123" spans="1:11" s="215" customFormat="1" x14ac:dyDescent="0.3">
      <c r="A123" s="308">
        <v>122</v>
      </c>
      <c r="B123" s="92" t="s">
        <v>677</v>
      </c>
      <c r="C123" s="61" t="s">
        <v>1015</v>
      </c>
      <c r="D123" s="6" t="s">
        <v>8</v>
      </c>
      <c r="E123" s="58">
        <f>'M.C. '!K335</f>
        <v>22.85</v>
      </c>
      <c r="F123" s="297">
        <f>'A10,2-B10,2-C9,1'!F48</f>
        <v>70907</v>
      </c>
      <c r="G123" s="298">
        <f t="shared" ref="G123" si="15">E123*F123</f>
        <v>1620224.9500000002</v>
      </c>
      <c r="H123" s="291"/>
      <c r="K123" s="574"/>
    </row>
    <row r="124" spans="1:11" s="215" customFormat="1" x14ac:dyDescent="0.3">
      <c r="A124" s="308">
        <v>123</v>
      </c>
      <c r="B124" s="92" t="s">
        <v>678</v>
      </c>
      <c r="C124" s="61" t="s">
        <v>365</v>
      </c>
      <c r="D124" s="92" t="s">
        <v>8</v>
      </c>
      <c r="E124" s="92">
        <f>'M.C. '!K337</f>
        <v>22.85</v>
      </c>
      <c r="F124" s="293">
        <f>'A10,3-B10,3-C9,3-F9,3'!F48</f>
        <v>154596</v>
      </c>
      <c r="G124" s="294">
        <f>E124*F124</f>
        <v>3532518.6</v>
      </c>
      <c r="H124" s="291"/>
      <c r="K124" s="574"/>
    </row>
    <row r="125" spans="1:11" s="215" customFormat="1" x14ac:dyDescent="0.3">
      <c r="A125" s="308">
        <v>124</v>
      </c>
      <c r="B125" s="92" t="s">
        <v>679</v>
      </c>
      <c r="C125" s="61" t="s">
        <v>713</v>
      </c>
      <c r="D125" s="92" t="s">
        <v>19</v>
      </c>
      <c r="E125" s="58">
        <f>'M.C. '!K339</f>
        <v>3</v>
      </c>
      <c r="F125" s="293">
        <f>'A10,4-B10,4-C9,4-F9,4'!F48</f>
        <v>19104</v>
      </c>
      <c r="G125" s="294">
        <f t="shared" ref="G125" si="16">E125*F125</f>
        <v>57312</v>
      </c>
      <c r="H125" s="291"/>
      <c r="K125" s="574"/>
    </row>
    <row r="126" spans="1:11" x14ac:dyDescent="0.3">
      <c r="A126" s="308">
        <v>125</v>
      </c>
      <c r="B126" s="92" t="s">
        <v>682</v>
      </c>
      <c r="C126" s="61" t="s">
        <v>788</v>
      </c>
      <c r="D126" s="92" t="s">
        <v>8</v>
      </c>
      <c r="E126" s="58">
        <f>'M.C. '!K341</f>
        <v>3.32</v>
      </c>
      <c r="F126" s="293">
        <f>'B10,5'!F48</f>
        <v>217400</v>
      </c>
      <c r="G126" s="294">
        <f>E126*F126</f>
        <v>721768</v>
      </c>
      <c r="H126" s="10"/>
    </row>
    <row r="127" spans="1:11" x14ac:dyDescent="0.3">
      <c r="A127" s="308">
        <v>126</v>
      </c>
      <c r="B127" s="300" t="s">
        <v>233</v>
      </c>
      <c r="C127" s="381" t="s">
        <v>657</v>
      </c>
      <c r="D127" s="382"/>
      <c r="E127" s="382"/>
      <c r="F127" s="383"/>
      <c r="G127" s="93">
        <f>SUM(G128:G129)</f>
        <v>2819305.2800000003</v>
      </c>
      <c r="H127" s="10"/>
    </row>
    <row r="128" spans="1:11" ht="31.2" x14ac:dyDescent="0.3">
      <c r="A128" s="308">
        <v>127</v>
      </c>
      <c r="B128" s="92" t="s">
        <v>234</v>
      </c>
      <c r="C128" s="62" t="s">
        <v>790</v>
      </c>
      <c r="D128" s="5" t="s">
        <v>21</v>
      </c>
      <c r="E128" s="58">
        <f>'M.C. '!K345</f>
        <v>4</v>
      </c>
      <c r="F128" s="293">
        <f>'B11,1,'!F48</f>
        <v>448808</v>
      </c>
      <c r="G128" s="294">
        <f>E128*F128</f>
        <v>1795232</v>
      </c>
      <c r="H128" s="10"/>
    </row>
    <row r="129" spans="1:11" x14ac:dyDescent="0.3">
      <c r="A129" s="308">
        <v>128</v>
      </c>
      <c r="B129" s="92" t="s">
        <v>235</v>
      </c>
      <c r="C129" s="61" t="s">
        <v>789</v>
      </c>
      <c r="D129" s="92" t="s">
        <v>8</v>
      </c>
      <c r="E129" s="58">
        <f>'M.C. '!K347</f>
        <v>4.32</v>
      </c>
      <c r="F129" s="293">
        <f>'B11,2,'!F48</f>
        <v>237054</v>
      </c>
      <c r="G129" s="294">
        <f>E129*F129</f>
        <v>1024073.28</v>
      </c>
      <c r="H129" s="10"/>
    </row>
    <row r="130" spans="1:11" x14ac:dyDescent="0.3">
      <c r="A130" s="308">
        <v>129</v>
      </c>
      <c r="B130" s="299" t="s">
        <v>635</v>
      </c>
      <c r="C130" s="381" t="s">
        <v>262</v>
      </c>
      <c r="D130" s="382"/>
      <c r="E130" s="382"/>
      <c r="F130" s="383"/>
      <c r="G130" s="93">
        <f>SUM(G131)</f>
        <v>216968.4</v>
      </c>
      <c r="H130" s="10"/>
    </row>
    <row r="131" spans="1:11" s="215" customFormat="1" ht="17.25" customHeight="1" x14ac:dyDescent="0.3">
      <c r="A131" s="308">
        <v>130</v>
      </c>
      <c r="B131" s="92" t="s">
        <v>636</v>
      </c>
      <c r="C131" s="61" t="s">
        <v>644</v>
      </c>
      <c r="D131" s="92" t="s">
        <v>8</v>
      </c>
      <c r="E131" s="58">
        <f>'M.C. '!K350</f>
        <v>6.6</v>
      </c>
      <c r="F131" s="293">
        <f>'A12,2-B12,1-C11,2-F11,4'!F48</f>
        <v>32874</v>
      </c>
      <c r="G131" s="294">
        <f>E131*F131</f>
        <v>216968.4</v>
      </c>
      <c r="H131" s="291"/>
      <c r="K131" s="574"/>
    </row>
    <row r="132" spans="1:11" ht="13.5" customHeight="1" x14ac:dyDescent="0.3">
      <c r="A132" s="308">
        <v>131</v>
      </c>
      <c r="B132" s="299" t="s">
        <v>658</v>
      </c>
      <c r="C132" s="381" t="s">
        <v>187</v>
      </c>
      <c r="D132" s="382"/>
      <c r="E132" s="382"/>
      <c r="F132" s="383"/>
      <c r="G132" s="93">
        <f>SUM(G133:G133)</f>
        <v>2707195</v>
      </c>
    </row>
    <row r="133" spans="1:11" ht="13.5" customHeight="1" x14ac:dyDescent="0.3">
      <c r="A133" s="308">
        <v>132</v>
      </c>
      <c r="B133" s="92" t="s">
        <v>680</v>
      </c>
      <c r="C133" s="63" t="s">
        <v>188</v>
      </c>
      <c r="D133" s="92" t="s">
        <v>21</v>
      </c>
      <c r="E133" s="58">
        <f>'M.C. '!K353</f>
        <v>1</v>
      </c>
      <c r="F133" s="307">
        <f>'B13,1'!F49</f>
        <v>2707195</v>
      </c>
      <c r="G133" s="294">
        <f>E133*F133</f>
        <v>2707195</v>
      </c>
    </row>
    <row r="134" spans="1:11" ht="13.5" customHeight="1" x14ac:dyDescent="0.3">
      <c r="A134" s="308">
        <v>133</v>
      </c>
      <c r="B134" s="300" t="s">
        <v>659</v>
      </c>
      <c r="C134" s="381" t="s">
        <v>631</v>
      </c>
      <c r="D134" s="382"/>
      <c r="E134" s="382"/>
      <c r="F134" s="383"/>
      <c r="G134" s="304">
        <f>G135</f>
        <v>56526.75</v>
      </c>
    </row>
    <row r="135" spans="1:11" s="215" customFormat="1" ht="13.5" customHeight="1" x14ac:dyDescent="0.3">
      <c r="A135" s="308">
        <v>134</v>
      </c>
      <c r="B135" s="92" t="s">
        <v>681</v>
      </c>
      <c r="C135" s="61" t="s">
        <v>640</v>
      </c>
      <c r="D135" s="92" t="s">
        <v>8</v>
      </c>
      <c r="E135" s="58">
        <f>'M.C. '!K356</f>
        <v>24.25</v>
      </c>
      <c r="F135" s="297">
        <f>'A14,1-B14,1-C13,1-E4,1-F13,1'!F48</f>
        <v>2331</v>
      </c>
      <c r="G135" s="298">
        <f>E135*F135</f>
        <v>56526.75</v>
      </c>
      <c r="K135" s="574"/>
    </row>
    <row r="136" spans="1:11" s="215" customFormat="1" ht="40.5" customHeight="1" x14ac:dyDescent="0.3">
      <c r="A136" s="308">
        <v>135</v>
      </c>
      <c r="B136" s="305" t="s">
        <v>842</v>
      </c>
      <c r="C136" s="726" t="s">
        <v>865</v>
      </c>
      <c r="D136" s="726"/>
      <c r="E136" s="726"/>
      <c r="F136" s="726"/>
      <c r="G136" s="306">
        <f>G137+G140+G143+G149+G155+G158+G167+G169+G175+G180+G185+G188+G192</f>
        <v>145770558.36000001</v>
      </c>
      <c r="H136" s="91">
        <f>G136*0.3</f>
        <v>43731167.508000001</v>
      </c>
      <c r="I136" s="291">
        <f>G136+H136</f>
        <v>189501725.86800003</v>
      </c>
      <c r="J136" s="291">
        <f>I136*0.01</f>
        <v>1895017.2586800004</v>
      </c>
      <c r="K136" s="573">
        <f>I136+J136</f>
        <v>191396743.12668002</v>
      </c>
    </row>
    <row r="137" spans="1:11" s="215" customFormat="1" ht="13.5" customHeight="1" x14ac:dyDescent="0.3">
      <c r="A137" s="308">
        <v>136</v>
      </c>
      <c r="B137" s="17" t="s">
        <v>898</v>
      </c>
      <c r="C137" s="395" t="s">
        <v>6</v>
      </c>
      <c r="D137" s="396"/>
      <c r="E137" s="18"/>
      <c r="F137" s="67"/>
      <c r="G137" s="33">
        <f>SUM(G138:G139)</f>
        <v>1734520.3199999998</v>
      </c>
      <c r="K137" s="574"/>
    </row>
    <row r="138" spans="1:11" s="215" customFormat="1" ht="13.5" customHeight="1" x14ac:dyDescent="0.3">
      <c r="A138" s="308">
        <v>137</v>
      </c>
      <c r="B138" s="292" t="s">
        <v>614</v>
      </c>
      <c r="C138" s="314" t="s">
        <v>651</v>
      </c>
      <c r="D138" s="397" t="s">
        <v>8</v>
      </c>
      <c r="E138" s="30">
        <f>'M.C. '!K361</f>
        <v>149.76</v>
      </c>
      <c r="F138" s="398">
        <f>'A1,1-B1,1-C1,1-E1,1-F1,1'!F48</f>
        <v>5209</v>
      </c>
      <c r="G138" s="399">
        <f>E138*F138</f>
        <v>780099.84</v>
      </c>
      <c r="I138" s="291"/>
      <c r="K138" s="574"/>
    </row>
    <row r="139" spans="1:11" s="215" customFormat="1" ht="13.5" customHeight="1" x14ac:dyDescent="0.3">
      <c r="A139" s="308">
        <v>138</v>
      </c>
      <c r="B139" s="292" t="s">
        <v>615</v>
      </c>
      <c r="C139" s="314" t="s">
        <v>652</v>
      </c>
      <c r="D139" s="397" t="s">
        <v>8</v>
      </c>
      <c r="E139" s="30">
        <f>'M.C. '!K363</f>
        <v>149.76</v>
      </c>
      <c r="F139" s="398">
        <f>'B1,2-C1,2'!F48</f>
        <v>6373</v>
      </c>
      <c r="G139" s="399">
        <f>E139*F139</f>
        <v>954420.48</v>
      </c>
      <c r="K139" s="574"/>
    </row>
    <row r="140" spans="1:11" s="215" customFormat="1" ht="13.5" customHeight="1" x14ac:dyDescent="0.3">
      <c r="A140" s="308">
        <v>139</v>
      </c>
      <c r="B140" s="19" t="s">
        <v>899</v>
      </c>
      <c r="C140" s="395" t="s">
        <v>236</v>
      </c>
      <c r="D140" s="396"/>
      <c r="E140" s="400"/>
      <c r="F140" s="401"/>
      <c r="G140" s="33">
        <f>SUM(G141:G142)</f>
        <v>1898249.8699999999</v>
      </c>
      <c r="K140" s="574"/>
    </row>
    <row r="141" spans="1:11" s="215" customFormat="1" ht="13.5" customHeight="1" x14ac:dyDescent="0.3">
      <c r="A141" s="308">
        <v>140</v>
      </c>
      <c r="B141" s="29" t="s">
        <v>616</v>
      </c>
      <c r="C141" s="328" t="s">
        <v>666</v>
      </c>
      <c r="D141" s="29" t="s">
        <v>9</v>
      </c>
      <c r="E141" s="30">
        <f>'M.C. '!K366</f>
        <v>26.7</v>
      </c>
      <c r="F141" s="357">
        <f>'A2,1-B2,1-C2,1-E2,2-F3,1'!F48</f>
        <v>58887</v>
      </c>
      <c r="G141" s="402">
        <f>E141*F141</f>
        <v>1572282.9</v>
      </c>
      <c r="K141" s="574"/>
    </row>
    <row r="142" spans="1:11" s="215" customFormat="1" ht="13.5" customHeight="1" x14ac:dyDescent="0.3">
      <c r="A142" s="308">
        <v>141</v>
      </c>
      <c r="B142" s="29" t="s">
        <v>617</v>
      </c>
      <c r="C142" s="328" t="s">
        <v>357</v>
      </c>
      <c r="D142" s="29" t="s">
        <v>9</v>
      </c>
      <c r="E142" s="30">
        <f>'M.C. '!K372</f>
        <v>5.87</v>
      </c>
      <c r="F142" s="357">
        <f>'A2,2-C2,2-E2,1-F3,2'!F48</f>
        <v>55531</v>
      </c>
      <c r="G142" s="402">
        <f>E142*F142</f>
        <v>325966.97000000003</v>
      </c>
      <c r="K142" s="574"/>
    </row>
    <row r="143" spans="1:11" s="215" customFormat="1" ht="13.5" customHeight="1" x14ac:dyDescent="0.3">
      <c r="A143" s="308">
        <v>142</v>
      </c>
      <c r="B143" s="403" t="s">
        <v>900</v>
      </c>
      <c r="C143" s="404" t="s">
        <v>237</v>
      </c>
      <c r="D143" s="405"/>
      <c r="E143" s="400"/>
      <c r="F143" s="401"/>
      <c r="G143" s="33">
        <f>SUM(G144:G148)</f>
        <v>19076917.560000002</v>
      </c>
      <c r="K143" s="574"/>
    </row>
    <row r="144" spans="1:11" s="215" customFormat="1" ht="13.5" customHeight="1" x14ac:dyDescent="0.3">
      <c r="A144" s="308">
        <v>143</v>
      </c>
      <c r="B144" s="29" t="s">
        <v>618</v>
      </c>
      <c r="C144" s="276" t="s">
        <v>697</v>
      </c>
      <c r="D144" s="29" t="s">
        <v>9</v>
      </c>
      <c r="E144" s="30">
        <f>'M.C. '!K377</f>
        <v>4.08</v>
      </c>
      <c r="F144" s="357">
        <f>'A3,1-C3,1-E3,1'!F48</f>
        <v>634602</v>
      </c>
      <c r="G144" s="402">
        <f>E144*F144</f>
        <v>2589176.16</v>
      </c>
      <c r="K144" s="574"/>
    </row>
    <row r="145" spans="1:11" s="215" customFormat="1" ht="13.5" customHeight="1" x14ac:dyDescent="0.3">
      <c r="A145" s="308">
        <v>144</v>
      </c>
      <c r="B145" s="29" t="s">
        <v>619</v>
      </c>
      <c r="C145" s="276" t="s">
        <v>843</v>
      </c>
      <c r="D145" s="29" t="s">
        <v>9</v>
      </c>
      <c r="E145" s="30">
        <f>'M.C. '!K379</f>
        <v>5.2</v>
      </c>
      <c r="F145" s="357">
        <f>'C3,2'!F48</f>
        <v>884117</v>
      </c>
      <c r="G145" s="402">
        <f>E145*F145</f>
        <v>4597408.4000000004</v>
      </c>
      <c r="K145" s="574"/>
    </row>
    <row r="146" spans="1:11" s="215" customFormat="1" ht="31.2" x14ac:dyDescent="0.3">
      <c r="A146" s="308">
        <v>145</v>
      </c>
      <c r="B146" s="29" t="s">
        <v>901</v>
      </c>
      <c r="C146" s="276" t="s">
        <v>844</v>
      </c>
      <c r="D146" s="29" t="s">
        <v>19</v>
      </c>
      <c r="E146" s="30">
        <f>'M.C. '!K381</f>
        <v>50.4</v>
      </c>
      <c r="F146" s="357">
        <f>'C3,3'!F48</f>
        <v>161816</v>
      </c>
      <c r="G146" s="402">
        <f>E146*F146</f>
        <v>8155526.3999999994</v>
      </c>
      <c r="K146" s="574"/>
    </row>
    <row r="147" spans="1:11" s="215" customFormat="1" ht="31.2" x14ac:dyDescent="0.3">
      <c r="A147" s="308">
        <v>146</v>
      </c>
      <c r="B147" s="29" t="s">
        <v>902</v>
      </c>
      <c r="C147" s="276" t="s">
        <v>845</v>
      </c>
      <c r="D147" s="29" t="s">
        <v>111</v>
      </c>
      <c r="E147" s="30">
        <f>'M.C. '!K387</f>
        <v>351.4</v>
      </c>
      <c r="F147" s="357">
        <f>'C3,4'!F48</f>
        <v>9029</v>
      </c>
      <c r="G147" s="402">
        <f>E147*F147</f>
        <v>3172790.5999999996</v>
      </c>
      <c r="K147" s="574"/>
    </row>
    <row r="148" spans="1:11" s="215" customFormat="1" ht="13.5" customHeight="1" x14ac:dyDescent="0.3">
      <c r="A148" s="308">
        <v>147</v>
      </c>
      <c r="B148" s="29" t="s">
        <v>903</v>
      </c>
      <c r="C148" s="276" t="s">
        <v>700</v>
      </c>
      <c r="D148" s="29" t="s">
        <v>8</v>
      </c>
      <c r="E148" s="30">
        <f>'M.C. '!K391</f>
        <v>13</v>
      </c>
      <c r="F148" s="357">
        <f>'A3,5-C3,5'!F48</f>
        <v>43232</v>
      </c>
      <c r="G148" s="402">
        <f>E148*F148</f>
        <v>562016</v>
      </c>
      <c r="K148" s="574"/>
    </row>
    <row r="149" spans="1:11" s="215" customFormat="1" ht="13.5" customHeight="1" x14ac:dyDescent="0.3">
      <c r="A149" s="308">
        <v>148</v>
      </c>
      <c r="B149" s="403" t="s">
        <v>904</v>
      </c>
      <c r="C149" s="404" t="s">
        <v>239</v>
      </c>
      <c r="D149" s="405"/>
      <c r="E149" s="400"/>
      <c r="F149" s="401"/>
      <c r="G149" s="33">
        <f>SUM(G150:G154)</f>
        <v>21168368.899999999</v>
      </c>
      <c r="K149" s="574"/>
    </row>
    <row r="150" spans="1:11" s="215" customFormat="1" ht="34.5" customHeight="1" x14ac:dyDescent="0.3">
      <c r="A150" s="308">
        <v>149</v>
      </c>
      <c r="B150" s="29" t="s">
        <v>905</v>
      </c>
      <c r="C150" s="276" t="s">
        <v>846</v>
      </c>
      <c r="D150" s="29" t="s">
        <v>19</v>
      </c>
      <c r="E150" s="30">
        <f>'M.C. '!K394</f>
        <v>56.3</v>
      </c>
      <c r="F150" s="357">
        <f>'A5,1-C4,1'!F48</f>
        <v>189157</v>
      </c>
      <c r="G150" s="402">
        <f>E150*F150</f>
        <v>10649539.1</v>
      </c>
      <c r="K150" s="574"/>
    </row>
    <row r="151" spans="1:11" s="215" customFormat="1" ht="29.25" customHeight="1" x14ac:dyDescent="0.3">
      <c r="A151" s="308">
        <v>150</v>
      </c>
      <c r="B151" s="29" t="s">
        <v>906</v>
      </c>
      <c r="C151" s="276" t="s">
        <v>847</v>
      </c>
      <c r="D151" s="29" t="s">
        <v>19</v>
      </c>
      <c r="E151" s="30">
        <f>'M.C. '!K400</f>
        <v>30.18</v>
      </c>
      <c r="F151" s="357">
        <f>'C4,2'!F48</f>
        <v>187798</v>
      </c>
      <c r="G151" s="402">
        <f>E151*F151</f>
        <v>5667743.6399999997</v>
      </c>
      <c r="K151" s="574"/>
    </row>
    <row r="152" spans="1:11" s="215" customFormat="1" ht="27.75" customHeight="1" x14ac:dyDescent="0.3">
      <c r="A152" s="308">
        <v>151</v>
      </c>
      <c r="B152" s="29" t="s">
        <v>907</v>
      </c>
      <c r="C152" s="276" t="s">
        <v>848</v>
      </c>
      <c r="D152" s="29" t="s">
        <v>19</v>
      </c>
      <c r="E152" s="30">
        <f>'M.C. '!K404</f>
        <v>12</v>
      </c>
      <c r="F152" s="357">
        <f>'C4,3'!F48</f>
        <v>197265</v>
      </c>
      <c r="G152" s="402">
        <f>E152*F152</f>
        <v>2367180</v>
      </c>
      <c r="K152" s="574"/>
    </row>
    <row r="153" spans="1:11" s="215" customFormat="1" ht="13.5" customHeight="1" x14ac:dyDescent="0.3">
      <c r="A153" s="308">
        <v>152</v>
      </c>
      <c r="B153" s="29" t="s">
        <v>908</v>
      </c>
      <c r="C153" s="276" t="s">
        <v>849</v>
      </c>
      <c r="D153" s="29" t="s">
        <v>19</v>
      </c>
      <c r="E153" s="30">
        <f>'M.C. '!K406</f>
        <v>30.36</v>
      </c>
      <c r="F153" s="357">
        <f>'C4,4'!F48</f>
        <v>65106</v>
      </c>
      <c r="G153" s="402">
        <f>E153*F153</f>
        <v>1976618.16</v>
      </c>
      <c r="K153" s="574"/>
    </row>
    <row r="154" spans="1:11" s="215" customFormat="1" ht="29.25" customHeight="1" x14ac:dyDescent="0.3">
      <c r="A154" s="308">
        <v>153</v>
      </c>
      <c r="B154" s="29" t="s">
        <v>909</v>
      </c>
      <c r="C154" s="276" t="s">
        <v>850</v>
      </c>
      <c r="D154" s="29" t="s">
        <v>19</v>
      </c>
      <c r="E154" s="30">
        <f>'M.C. '!K410</f>
        <v>4.8</v>
      </c>
      <c r="F154" s="357">
        <f>'C4,5'!F48</f>
        <v>105685</v>
      </c>
      <c r="G154" s="402">
        <f>E154*F154</f>
        <v>507288</v>
      </c>
      <c r="K154" s="574"/>
    </row>
    <row r="155" spans="1:11" s="215" customFormat="1" ht="13.5" customHeight="1" x14ac:dyDescent="0.3">
      <c r="A155" s="308">
        <v>154</v>
      </c>
      <c r="B155" s="403" t="s">
        <v>910</v>
      </c>
      <c r="C155" s="404" t="s">
        <v>10</v>
      </c>
      <c r="D155" s="405"/>
      <c r="E155" s="400"/>
      <c r="F155" s="401"/>
      <c r="G155" s="33">
        <f>SUM(G156:G157)</f>
        <v>7662219.1799999997</v>
      </c>
      <c r="K155" s="574"/>
    </row>
    <row r="156" spans="1:11" s="215" customFormat="1" ht="13.5" customHeight="1" x14ac:dyDescent="0.3">
      <c r="A156" s="308">
        <v>155</v>
      </c>
      <c r="B156" s="92" t="s">
        <v>911</v>
      </c>
      <c r="C156" s="61" t="s">
        <v>701</v>
      </c>
      <c r="D156" s="29" t="s">
        <v>8</v>
      </c>
      <c r="E156" s="30">
        <f>'M.C. '!K413</f>
        <v>88.52</v>
      </c>
      <c r="F156" s="357">
        <f>'A4,1 -B4,1-C5,1-F6,1'!F48</f>
        <v>60669</v>
      </c>
      <c r="G156" s="402">
        <f>E156*F156</f>
        <v>5370419.8799999999</v>
      </c>
      <c r="K156" s="574"/>
    </row>
    <row r="157" spans="1:11" s="215" customFormat="1" ht="31.2" x14ac:dyDescent="0.3">
      <c r="A157" s="308">
        <v>156</v>
      </c>
      <c r="B157" s="29" t="s">
        <v>912</v>
      </c>
      <c r="C157" s="62" t="s">
        <v>703</v>
      </c>
      <c r="D157" s="29" t="s">
        <v>19</v>
      </c>
      <c r="E157" s="30">
        <f>'M.C. '!K422</f>
        <v>26.9</v>
      </c>
      <c r="F157" s="357">
        <f>'A4,3-C5,2'!F48</f>
        <v>85197</v>
      </c>
      <c r="G157" s="402">
        <f>E157*F157</f>
        <v>2291799.2999999998</v>
      </c>
      <c r="K157" s="574"/>
    </row>
    <row r="158" spans="1:11" s="215" customFormat="1" ht="13.5" customHeight="1" x14ac:dyDescent="0.3">
      <c r="A158" s="308">
        <v>157</v>
      </c>
      <c r="B158" s="403" t="s">
        <v>913</v>
      </c>
      <c r="C158" s="406" t="s">
        <v>240</v>
      </c>
      <c r="D158" s="407"/>
      <c r="E158" s="400"/>
      <c r="F158" s="401"/>
      <c r="G158" s="33">
        <f>SUM(G159:G166)</f>
        <v>9380180.7999999989</v>
      </c>
      <c r="K158" s="574"/>
    </row>
    <row r="159" spans="1:11" s="215" customFormat="1" ht="13.5" customHeight="1" x14ac:dyDescent="0.3">
      <c r="A159" s="308">
        <v>158</v>
      </c>
      <c r="B159" s="29" t="s">
        <v>914</v>
      </c>
      <c r="C159" s="314" t="s">
        <v>729</v>
      </c>
      <c r="D159" s="397" t="s">
        <v>21</v>
      </c>
      <c r="E159" s="30">
        <f>'M.C. '!K428</f>
        <v>8</v>
      </c>
      <c r="F159" s="357">
        <f>'A6,5-C6,1'!F48</f>
        <v>259034</v>
      </c>
      <c r="G159" s="402">
        <f>E159*F159</f>
        <v>2072272</v>
      </c>
      <c r="K159" s="574"/>
    </row>
    <row r="160" spans="1:11" s="215" customFormat="1" ht="13.5" customHeight="1" x14ac:dyDescent="0.3">
      <c r="A160" s="308">
        <v>159</v>
      </c>
      <c r="B160" s="29" t="s">
        <v>915</v>
      </c>
      <c r="C160" s="314" t="s">
        <v>851</v>
      </c>
      <c r="D160" s="397" t="s">
        <v>21</v>
      </c>
      <c r="E160" s="30">
        <f>'M.C. '!K430</f>
        <v>22</v>
      </c>
      <c r="F160" s="357">
        <f>'A6,2-C6,2'!F49</f>
        <v>58890</v>
      </c>
      <c r="G160" s="402">
        <f t="shared" ref="G160:G166" si="17">E160*F160</f>
        <v>1295580</v>
      </c>
      <c r="K160" s="574"/>
    </row>
    <row r="161" spans="1:11" s="215" customFormat="1" ht="13.5" customHeight="1" x14ac:dyDescent="0.3">
      <c r="A161" s="308">
        <v>160</v>
      </c>
      <c r="B161" s="29" t="s">
        <v>916</v>
      </c>
      <c r="C161" s="314" t="s">
        <v>852</v>
      </c>
      <c r="D161" s="397" t="s">
        <v>21</v>
      </c>
      <c r="E161" s="30">
        <f>'M.C. '!K432</f>
        <v>2</v>
      </c>
      <c r="F161" s="357">
        <f>'A6,4-B6,2-C6,3'!F48</f>
        <v>38027</v>
      </c>
      <c r="G161" s="402">
        <f t="shared" si="17"/>
        <v>76054</v>
      </c>
      <c r="K161" s="574"/>
    </row>
    <row r="162" spans="1:11" s="215" customFormat="1" ht="31.2" x14ac:dyDescent="0.3">
      <c r="A162" s="308">
        <v>161</v>
      </c>
      <c r="B162" s="29" t="s">
        <v>917</v>
      </c>
      <c r="C162" s="314" t="s">
        <v>710</v>
      </c>
      <c r="D162" s="397" t="s">
        <v>19</v>
      </c>
      <c r="E162" s="30">
        <f>'M.C. '!K434</f>
        <v>36.200000000000003</v>
      </c>
      <c r="F162" s="357">
        <f>'A6,8-B6,4-C6,4'!F48</f>
        <v>35348</v>
      </c>
      <c r="G162" s="402">
        <f t="shared" si="17"/>
        <v>1279597.6000000001</v>
      </c>
      <c r="K162" s="574"/>
    </row>
    <row r="163" spans="1:11" s="215" customFormat="1" ht="31.2" x14ac:dyDescent="0.3">
      <c r="A163" s="308">
        <v>162</v>
      </c>
      <c r="B163" s="29" t="s">
        <v>918</v>
      </c>
      <c r="C163" s="314" t="s">
        <v>709</v>
      </c>
      <c r="D163" s="397" t="s">
        <v>19</v>
      </c>
      <c r="E163" s="30">
        <f>'M.C. '!K436</f>
        <v>52.72</v>
      </c>
      <c r="F163" s="357">
        <f>'A6,7-C6,5'!F48</f>
        <v>42760</v>
      </c>
      <c r="G163" s="402">
        <f t="shared" si="17"/>
        <v>2254307.1999999997</v>
      </c>
      <c r="K163" s="574"/>
    </row>
    <row r="164" spans="1:11" s="215" customFormat="1" ht="31.2" x14ac:dyDescent="0.3">
      <c r="A164" s="308">
        <v>163</v>
      </c>
      <c r="B164" s="29" t="s">
        <v>919</v>
      </c>
      <c r="C164" s="314" t="s">
        <v>708</v>
      </c>
      <c r="D164" s="397" t="s">
        <v>21</v>
      </c>
      <c r="E164" s="30">
        <f>'M.C. '!K438</f>
        <v>2</v>
      </c>
      <c r="F164" s="357">
        <f>'A6,6-C6,6'!F50</f>
        <v>254119</v>
      </c>
      <c r="G164" s="402">
        <f t="shared" si="17"/>
        <v>508238</v>
      </c>
      <c r="K164" s="574"/>
    </row>
    <row r="165" spans="1:11" s="215" customFormat="1" ht="13.5" customHeight="1" x14ac:dyDescent="0.3">
      <c r="A165" s="308">
        <v>164</v>
      </c>
      <c r="B165" s="29" t="s">
        <v>920</v>
      </c>
      <c r="C165" s="408" t="s">
        <v>704</v>
      </c>
      <c r="D165" s="29" t="s">
        <v>21</v>
      </c>
      <c r="E165" s="30">
        <f>'M.C. '!K440</f>
        <v>2</v>
      </c>
      <c r="F165" s="357">
        <f>'A6,1-C6,7'!F48</f>
        <v>388676</v>
      </c>
      <c r="G165" s="402">
        <f t="shared" si="17"/>
        <v>777352</v>
      </c>
      <c r="K165" s="574"/>
    </row>
    <row r="166" spans="1:11" s="215" customFormat="1" ht="13.5" customHeight="1" x14ac:dyDescent="0.3">
      <c r="A166" s="308">
        <v>165</v>
      </c>
      <c r="B166" s="29" t="s">
        <v>921</v>
      </c>
      <c r="C166" s="408" t="s">
        <v>730</v>
      </c>
      <c r="D166" s="29" t="s">
        <v>19</v>
      </c>
      <c r="E166" s="30">
        <f>'M.C. '!K442</f>
        <v>35</v>
      </c>
      <c r="F166" s="357">
        <f>'A6,9-B6,5-C6,8'!F48</f>
        <v>31908</v>
      </c>
      <c r="G166" s="402">
        <f t="shared" si="17"/>
        <v>1116780</v>
      </c>
      <c r="K166" s="574"/>
    </row>
    <row r="167" spans="1:11" s="215" customFormat="1" ht="13.5" customHeight="1" x14ac:dyDescent="0.3">
      <c r="A167" s="308">
        <v>166</v>
      </c>
      <c r="B167" s="403" t="s">
        <v>922</v>
      </c>
      <c r="C167" s="409" t="s">
        <v>254</v>
      </c>
      <c r="D167" s="410"/>
      <c r="E167" s="400"/>
      <c r="F167" s="401"/>
      <c r="G167" s="33">
        <f>SUM(G168)</f>
        <v>8543166</v>
      </c>
      <c r="K167" s="574"/>
    </row>
    <row r="168" spans="1:11" s="215" customFormat="1" ht="13.5" customHeight="1" x14ac:dyDescent="0.3">
      <c r="A168" s="308">
        <v>167</v>
      </c>
      <c r="B168" s="29" t="s">
        <v>923</v>
      </c>
      <c r="C168" s="411" t="s">
        <v>711</v>
      </c>
      <c r="D168" s="412" t="s">
        <v>8</v>
      </c>
      <c r="E168" s="30">
        <f>'M.C. '!K445</f>
        <v>285.2</v>
      </c>
      <c r="F168" s="357">
        <f>'A8,1-B9,1-C7,1-F8,1'!F48</f>
        <v>29955</v>
      </c>
      <c r="G168" s="402">
        <f t="shared" ref="G168" si="18">E168*F168</f>
        <v>8543166</v>
      </c>
      <c r="K168" s="574"/>
    </row>
    <row r="169" spans="1:11" s="215" customFormat="1" ht="13.5" customHeight="1" x14ac:dyDescent="0.3">
      <c r="A169" s="308">
        <v>168</v>
      </c>
      <c r="B169" s="403" t="s">
        <v>998</v>
      </c>
      <c r="C169" s="409" t="s">
        <v>255</v>
      </c>
      <c r="D169" s="410"/>
      <c r="E169" s="400"/>
      <c r="F169" s="401"/>
      <c r="G169" s="33">
        <f>SUM(G170:G174)</f>
        <v>20776630.560000002</v>
      </c>
      <c r="K169" s="574"/>
    </row>
    <row r="170" spans="1:11" s="215" customFormat="1" ht="13.5" customHeight="1" x14ac:dyDescent="0.3">
      <c r="A170" s="308">
        <v>169</v>
      </c>
      <c r="B170" s="413" t="s">
        <v>999</v>
      </c>
      <c r="C170" s="414" t="s">
        <v>946</v>
      </c>
      <c r="D170" s="412" t="s">
        <v>8</v>
      </c>
      <c r="E170" s="30">
        <f>'M.C. '!K460</f>
        <v>172</v>
      </c>
      <c r="F170" s="357">
        <f>'A9,1-C8,1-D2,1'!F48</f>
        <v>44409</v>
      </c>
      <c r="G170" s="402">
        <f t="shared" ref="G170:G173" si="19">E170*F170</f>
        <v>7638348</v>
      </c>
      <c r="K170" s="574"/>
    </row>
    <row r="171" spans="1:11" s="215" customFormat="1" ht="13.5" customHeight="1" x14ac:dyDescent="0.3">
      <c r="A171" s="308">
        <v>170</v>
      </c>
      <c r="B171" s="413" t="s">
        <v>1000</v>
      </c>
      <c r="C171" s="415" t="s">
        <v>853</v>
      </c>
      <c r="D171" s="29" t="s">
        <v>19</v>
      </c>
      <c r="E171" s="30">
        <f>'M.C. '!K462</f>
        <v>16</v>
      </c>
      <c r="F171" s="357">
        <f>'C8,2-D2,2'!F48</f>
        <v>47638</v>
      </c>
      <c r="G171" s="402">
        <f t="shared" si="19"/>
        <v>762208</v>
      </c>
      <c r="K171" s="574"/>
    </row>
    <row r="172" spans="1:11" s="215" customFormat="1" ht="31.2" x14ac:dyDescent="0.3">
      <c r="A172" s="308">
        <v>171</v>
      </c>
      <c r="B172" s="413" t="s">
        <v>1001</v>
      </c>
      <c r="C172" s="416" t="s">
        <v>854</v>
      </c>
      <c r="D172" s="417" t="s">
        <v>19</v>
      </c>
      <c r="E172" s="30">
        <f>'M.C. '!K464</f>
        <v>20.68</v>
      </c>
      <c r="F172" s="357">
        <f>'C8,3'!F48</f>
        <v>271022</v>
      </c>
      <c r="G172" s="402">
        <f t="shared" si="19"/>
        <v>5604734.96</v>
      </c>
      <c r="K172" s="574"/>
    </row>
    <row r="173" spans="1:11" s="215" customFormat="1" ht="13.5" customHeight="1" x14ac:dyDescent="0.3">
      <c r="A173" s="308">
        <v>172</v>
      </c>
      <c r="B173" s="413" t="s">
        <v>924</v>
      </c>
      <c r="C173" s="416" t="s">
        <v>855</v>
      </c>
      <c r="D173" s="417" t="s">
        <v>19</v>
      </c>
      <c r="E173" s="30">
        <f>'M.C. '!K466</f>
        <v>140.4</v>
      </c>
      <c r="F173" s="357">
        <f>'A9,2-C8,4'!F48</f>
        <v>44929</v>
      </c>
      <c r="G173" s="402">
        <f t="shared" si="19"/>
        <v>6308031.6000000006</v>
      </c>
      <c r="K173" s="574"/>
    </row>
    <row r="174" spans="1:11" s="215" customFormat="1" ht="13.5" customHeight="1" x14ac:dyDescent="0.3">
      <c r="A174" s="308">
        <v>173</v>
      </c>
      <c r="B174" s="413" t="s">
        <v>1098</v>
      </c>
      <c r="C174" s="8" t="s">
        <v>712</v>
      </c>
      <c r="D174" s="5" t="s">
        <v>19</v>
      </c>
      <c r="E174" s="58">
        <f>'M.C. '!K468</f>
        <v>12</v>
      </c>
      <c r="F174" s="297">
        <f>'A9,3'!F48</f>
        <v>38609</v>
      </c>
      <c r="G174" s="402">
        <f>E174*F174</f>
        <v>463308</v>
      </c>
      <c r="K174" s="574"/>
    </row>
    <row r="175" spans="1:11" s="215" customFormat="1" ht="13.5" customHeight="1" x14ac:dyDescent="0.3">
      <c r="A175" s="308">
        <v>174</v>
      </c>
      <c r="B175" s="403" t="s">
        <v>925</v>
      </c>
      <c r="C175" s="404" t="s">
        <v>856</v>
      </c>
      <c r="D175" s="405"/>
      <c r="E175" s="400"/>
      <c r="F175" s="401"/>
      <c r="G175" s="33">
        <f>SUM(G176:G179)</f>
        <v>31400425.129999999</v>
      </c>
      <c r="K175" s="574"/>
    </row>
    <row r="176" spans="1:11" s="215" customFormat="1" ht="13.5" customHeight="1" x14ac:dyDescent="0.3">
      <c r="A176" s="308">
        <v>175</v>
      </c>
      <c r="B176" s="29" t="s">
        <v>926</v>
      </c>
      <c r="C176" s="328" t="s">
        <v>1015</v>
      </c>
      <c r="D176" s="412" t="s">
        <v>8</v>
      </c>
      <c r="E176" s="30">
        <f>'M.C. '!K471</f>
        <v>115.79</v>
      </c>
      <c r="F176" s="357">
        <f>'A10,2-B10,2-C9,1'!F48</f>
        <v>70907</v>
      </c>
      <c r="G176" s="402">
        <f>E176*F176</f>
        <v>8210321.5300000003</v>
      </c>
      <c r="K176" s="574"/>
    </row>
    <row r="177" spans="1:11" s="215" customFormat="1" ht="13.5" customHeight="1" x14ac:dyDescent="0.3">
      <c r="A177" s="308">
        <v>176</v>
      </c>
      <c r="B177" s="29" t="s">
        <v>927</v>
      </c>
      <c r="C177" s="418" t="s">
        <v>364</v>
      </c>
      <c r="D177" s="390" t="s">
        <v>8</v>
      </c>
      <c r="E177" s="30">
        <f>'M.C. '!K474</f>
        <v>115.79</v>
      </c>
      <c r="F177" s="357">
        <f>'A10,1-C9,2-F9,2'!F48</f>
        <v>35876</v>
      </c>
      <c r="G177" s="402">
        <f t="shared" ref="G177:G179" si="20">E177*F177</f>
        <v>4154082.04</v>
      </c>
      <c r="K177" s="574"/>
    </row>
    <row r="178" spans="1:11" s="215" customFormat="1" ht="13.5" customHeight="1" x14ac:dyDescent="0.3">
      <c r="A178" s="308">
        <v>177</v>
      </c>
      <c r="B178" s="29" t="s">
        <v>928</v>
      </c>
      <c r="C178" s="328" t="s">
        <v>1016</v>
      </c>
      <c r="D178" s="412" t="s">
        <v>8</v>
      </c>
      <c r="E178" s="30">
        <f>'M.C. '!K477</f>
        <v>115.79</v>
      </c>
      <c r="F178" s="357">
        <f>'A10,3-B10,3-C9,3-F9,3'!F48</f>
        <v>154596</v>
      </c>
      <c r="G178" s="402">
        <f t="shared" si="20"/>
        <v>17900670.84</v>
      </c>
      <c r="K178" s="574"/>
    </row>
    <row r="179" spans="1:11" s="215" customFormat="1" ht="13.5" customHeight="1" x14ac:dyDescent="0.3">
      <c r="A179" s="308">
        <v>178</v>
      </c>
      <c r="B179" s="29" t="s">
        <v>929</v>
      </c>
      <c r="C179" s="328" t="s">
        <v>713</v>
      </c>
      <c r="D179" s="29" t="s">
        <v>19</v>
      </c>
      <c r="E179" s="30">
        <f>'M.C. '!K480</f>
        <v>59.43</v>
      </c>
      <c r="F179" s="357">
        <f>'A10,4-B10,4-C9,4-F9,4'!F48</f>
        <v>19104</v>
      </c>
      <c r="G179" s="402">
        <f t="shared" si="20"/>
        <v>1135350.72</v>
      </c>
      <c r="K179" s="574"/>
    </row>
    <row r="180" spans="1:11" s="215" customFormat="1" ht="13.5" customHeight="1" x14ac:dyDescent="0.3">
      <c r="A180" s="308">
        <v>179</v>
      </c>
      <c r="B180" s="403" t="s">
        <v>930</v>
      </c>
      <c r="C180" s="404" t="s">
        <v>259</v>
      </c>
      <c r="D180" s="405"/>
      <c r="E180" s="400"/>
      <c r="F180" s="401"/>
      <c r="G180" s="33">
        <f>SUM(G181:G184)</f>
        <v>11302836.059999999</v>
      </c>
      <c r="K180" s="574"/>
    </row>
    <row r="181" spans="1:11" s="215" customFormat="1" ht="31.2" x14ac:dyDescent="0.3">
      <c r="A181" s="308">
        <v>180</v>
      </c>
      <c r="B181" s="29" t="s">
        <v>931</v>
      </c>
      <c r="C181" s="323" t="s">
        <v>857</v>
      </c>
      <c r="D181" s="29" t="s">
        <v>8</v>
      </c>
      <c r="E181" s="30">
        <f>'M.C. '!K484</f>
        <v>37.659999999999997</v>
      </c>
      <c r="F181" s="357">
        <f>'C10,1'!F48</f>
        <v>207721</v>
      </c>
      <c r="G181" s="402">
        <f t="shared" ref="G181:G183" si="21">E181*F181</f>
        <v>7822772.8599999994</v>
      </c>
      <c r="I181" s="291"/>
      <c r="K181" s="574"/>
    </row>
    <row r="182" spans="1:11" s="215" customFormat="1" ht="31.2" x14ac:dyDescent="0.3">
      <c r="A182" s="308">
        <v>181</v>
      </c>
      <c r="B182" s="29" t="s">
        <v>932</v>
      </c>
      <c r="C182" s="323" t="s">
        <v>858</v>
      </c>
      <c r="D182" s="29" t="s">
        <v>8</v>
      </c>
      <c r="E182" s="30">
        <f>'M.C. '!K488</f>
        <v>0.6</v>
      </c>
      <c r="F182" s="357">
        <f>'C10,2'!F48</f>
        <v>193652</v>
      </c>
      <c r="G182" s="402">
        <f t="shared" si="21"/>
        <v>116191.2</v>
      </c>
      <c r="K182" s="574"/>
    </row>
    <row r="183" spans="1:11" s="215" customFormat="1" ht="31.2" x14ac:dyDescent="0.3">
      <c r="A183" s="308">
        <v>182</v>
      </c>
      <c r="B183" s="29" t="s">
        <v>933</v>
      </c>
      <c r="C183" s="276" t="s">
        <v>767</v>
      </c>
      <c r="D183" s="29" t="s">
        <v>21</v>
      </c>
      <c r="E183" s="30">
        <f>'M.C. '!K490</f>
        <v>2</v>
      </c>
      <c r="F183" s="357">
        <f>'C10,3'!F48</f>
        <v>628064</v>
      </c>
      <c r="G183" s="402">
        <f t="shared" si="21"/>
        <v>1256128</v>
      </c>
      <c r="K183" s="574"/>
    </row>
    <row r="184" spans="1:11" s="215" customFormat="1" ht="31.2" x14ac:dyDescent="0.3">
      <c r="A184" s="308">
        <v>183</v>
      </c>
      <c r="B184" s="29" t="s">
        <v>1100</v>
      </c>
      <c r="C184" s="62" t="s">
        <v>714</v>
      </c>
      <c r="D184" s="92" t="s">
        <v>19</v>
      </c>
      <c r="E184" s="58">
        <f>'M.C. '!K492</f>
        <v>32</v>
      </c>
      <c r="F184" s="297">
        <f>'A11,3'!F48</f>
        <v>65867</v>
      </c>
      <c r="G184" s="402">
        <f>E184*F184</f>
        <v>2107744</v>
      </c>
      <c r="K184" s="574"/>
    </row>
    <row r="185" spans="1:11" s="215" customFormat="1" ht="13.5" customHeight="1" x14ac:dyDescent="0.3">
      <c r="A185" s="308">
        <v>184</v>
      </c>
      <c r="B185" s="419" t="s">
        <v>934</v>
      </c>
      <c r="C185" s="404" t="s">
        <v>859</v>
      </c>
      <c r="D185" s="420"/>
      <c r="E185" s="400"/>
      <c r="F185" s="401"/>
      <c r="G185" s="33">
        <f>SUM(G186:G187)</f>
        <v>8168878.7999999998</v>
      </c>
      <c r="K185" s="574"/>
    </row>
    <row r="186" spans="1:11" s="215" customFormat="1" ht="13.5" customHeight="1" x14ac:dyDescent="0.3">
      <c r="A186" s="308">
        <v>185</v>
      </c>
      <c r="B186" s="29" t="s">
        <v>935</v>
      </c>
      <c r="C186" s="328" t="s">
        <v>715</v>
      </c>
      <c r="D186" s="412" t="s">
        <v>8</v>
      </c>
      <c r="E186" s="30">
        <f>'M.C. '!K495</f>
        <v>165.2</v>
      </c>
      <c r="F186" s="357">
        <f>'A12,1-C11,1-F11,3'!F48</f>
        <v>25569</v>
      </c>
      <c r="G186" s="402">
        <f t="shared" ref="G186:G187" si="22">E186*F186</f>
        <v>4223998.8</v>
      </c>
      <c r="K186" s="574"/>
    </row>
    <row r="187" spans="1:11" s="215" customFormat="1" ht="13.5" customHeight="1" x14ac:dyDescent="0.3">
      <c r="A187" s="308">
        <v>186</v>
      </c>
      <c r="B187" s="29" t="s">
        <v>936</v>
      </c>
      <c r="C187" s="328" t="s">
        <v>860</v>
      </c>
      <c r="D187" s="29" t="s">
        <v>8</v>
      </c>
      <c r="E187" s="30">
        <f>'M.C. '!K509</f>
        <v>120</v>
      </c>
      <c r="F187" s="357">
        <f>'A12,2-B12,1-C11,2-F11,4'!F48</f>
        <v>32874</v>
      </c>
      <c r="G187" s="402">
        <f t="shared" si="22"/>
        <v>3944880</v>
      </c>
      <c r="K187" s="574"/>
    </row>
    <row r="188" spans="1:11" s="215" customFormat="1" ht="13.5" customHeight="1" x14ac:dyDescent="0.3">
      <c r="A188" s="308">
        <v>187</v>
      </c>
      <c r="B188" s="419" t="s">
        <v>937</v>
      </c>
      <c r="C188" s="404" t="s">
        <v>861</v>
      </c>
      <c r="D188" s="421"/>
      <c r="E188" s="422"/>
      <c r="F188" s="423"/>
      <c r="G188" s="424">
        <f>SUM(G189:G191)</f>
        <v>4309074.62</v>
      </c>
      <c r="K188" s="574"/>
    </row>
    <row r="189" spans="1:11" s="215" customFormat="1" ht="13.5" customHeight="1" x14ac:dyDescent="0.3">
      <c r="A189" s="308">
        <v>188</v>
      </c>
      <c r="B189" s="29" t="s">
        <v>938</v>
      </c>
      <c r="C189" s="328" t="s">
        <v>862</v>
      </c>
      <c r="D189" s="412" t="s">
        <v>19</v>
      </c>
      <c r="E189" s="30">
        <f>'M.C. '!K522</f>
        <v>15.4</v>
      </c>
      <c r="F189" s="357">
        <f>'A13,1-C12,1'!F48</f>
        <v>62829</v>
      </c>
      <c r="G189" s="402">
        <f>E189*F189</f>
        <v>967566.6</v>
      </c>
      <c r="K189" s="574"/>
    </row>
    <row r="190" spans="1:11" s="215" customFormat="1" ht="13.5" customHeight="1" x14ac:dyDescent="0.3">
      <c r="A190" s="308">
        <v>189</v>
      </c>
      <c r="B190" s="29" t="s">
        <v>939</v>
      </c>
      <c r="C190" s="328" t="s">
        <v>863</v>
      </c>
      <c r="D190" s="29" t="s">
        <v>8</v>
      </c>
      <c r="E190" s="30">
        <f>'M.C. '!K524</f>
        <v>20.78</v>
      </c>
      <c r="F190" s="357">
        <f>'A13,3-C12,2-F12,1'!F48</f>
        <v>97189</v>
      </c>
      <c r="G190" s="402">
        <f>E190*F190</f>
        <v>2019587.4200000002</v>
      </c>
      <c r="K190" s="574"/>
    </row>
    <row r="191" spans="1:11" s="215" customFormat="1" ht="13.5" customHeight="1" x14ac:dyDescent="0.3">
      <c r="A191" s="308">
        <v>190</v>
      </c>
      <c r="B191" s="29" t="s">
        <v>940</v>
      </c>
      <c r="C191" s="328" t="s">
        <v>864</v>
      </c>
      <c r="D191" s="412" t="s">
        <v>19</v>
      </c>
      <c r="E191" s="30">
        <f>'M.C. '!K527</f>
        <v>15.4</v>
      </c>
      <c r="F191" s="357">
        <f>'C12,3'!F48</f>
        <v>85839</v>
      </c>
      <c r="G191" s="402">
        <f>E191*F191</f>
        <v>1321920.6000000001</v>
      </c>
      <c r="K191" s="574"/>
    </row>
    <row r="192" spans="1:11" s="215" customFormat="1" ht="13.5" customHeight="1" x14ac:dyDescent="0.3">
      <c r="A192" s="308">
        <v>191</v>
      </c>
      <c r="B192" s="419" t="s">
        <v>941</v>
      </c>
      <c r="C192" s="404" t="s">
        <v>631</v>
      </c>
      <c r="D192" s="419"/>
      <c r="E192" s="422"/>
      <c r="F192" s="423"/>
      <c r="G192" s="424">
        <f>G193</f>
        <v>349090.56</v>
      </c>
      <c r="K192" s="574"/>
    </row>
    <row r="193" spans="1:15" s="215" customFormat="1" ht="13.5" customHeight="1" x14ac:dyDescent="0.3">
      <c r="A193" s="308">
        <v>192</v>
      </c>
      <c r="B193" s="29" t="s">
        <v>942</v>
      </c>
      <c r="C193" s="328" t="s">
        <v>640</v>
      </c>
      <c r="D193" s="29" t="s">
        <v>8</v>
      </c>
      <c r="E193" s="30">
        <f>'M.C. '!K530</f>
        <v>149.76</v>
      </c>
      <c r="F193" s="357">
        <f>'A14,1-B14,1-C13,1-E4,1-F13,1'!F48</f>
        <v>2331</v>
      </c>
      <c r="G193" s="402">
        <f>E193*F193</f>
        <v>349090.56</v>
      </c>
      <c r="K193" s="574"/>
    </row>
    <row r="194" spans="1:15" s="215" customFormat="1" ht="13.5" customHeight="1" x14ac:dyDescent="0.3">
      <c r="A194" s="308">
        <v>193</v>
      </c>
      <c r="B194" s="445" t="s">
        <v>955</v>
      </c>
      <c r="C194" s="727" t="s">
        <v>956</v>
      </c>
      <c r="D194" s="727"/>
      <c r="E194" s="727"/>
      <c r="F194" s="727"/>
      <c r="G194" s="502">
        <f>SUM(G195+G197+G200+G207)</f>
        <v>26813848.190000005</v>
      </c>
      <c r="H194" s="91">
        <f>G194*0.3</f>
        <v>8044154.4570000013</v>
      </c>
      <c r="I194" s="291">
        <f>G194+H194</f>
        <v>34858002.647000007</v>
      </c>
      <c r="J194" s="291">
        <f>I194*0.01</f>
        <v>348580.0264700001</v>
      </c>
      <c r="K194" s="573">
        <f>I194+J194</f>
        <v>35206582.673470005</v>
      </c>
      <c r="M194" s="291">
        <v>25411176</v>
      </c>
      <c r="N194" s="291">
        <f>K194-M194</f>
        <v>9795406.6734700054</v>
      </c>
      <c r="O194" s="291"/>
    </row>
    <row r="195" spans="1:15" s="215" customFormat="1" ht="13.5" customHeight="1" x14ac:dyDescent="0.3">
      <c r="A195" s="308">
        <v>194</v>
      </c>
      <c r="B195" s="446" t="s">
        <v>957</v>
      </c>
      <c r="C195" s="18" t="s">
        <v>943</v>
      </c>
      <c r="D195" s="18"/>
      <c r="E195" s="447"/>
      <c r="F195" s="67"/>
      <c r="G195" s="448">
        <f>SUM(G196:G196)</f>
        <v>3139371.19</v>
      </c>
      <c r="K195" s="574"/>
    </row>
    <row r="196" spans="1:15" s="215" customFormat="1" ht="13.5" customHeight="1" x14ac:dyDescent="0.3">
      <c r="A196" s="308">
        <v>195</v>
      </c>
      <c r="B196" s="449" t="s">
        <v>958</v>
      </c>
      <c r="C196" s="4" t="s">
        <v>944</v>
      </c>
      <c r="D196" s="5" t="s">
        <v>8</v>
      </c>
      <c r="E196" s="58">
        <f>'M.C. '!K535</f>
        <v>306.31</v>
      </c>
      <c r="F196" s="293">
        <f>'D1,1'!F48</f>
        <v>10249</v>
      </c>
      <c r="G196" s="450">
        <f>E196*F196</f>
        <v>3139371.19</v>
      </c>
      <c r="K196" s="574"/>
    </row>
    <row r="197" spans="1:15" s="215" customFormat="1" ht="13.5" customHeight="1" x14ac:dyDescent="0.3">
      <c r="A197" s="308">
        <v>196</v>
      </c>
      <c r="B197" s="451" t="s">
        <v>959</v>
      </c>
      <c r="C197" s="288" t="s">
        <v>945</v>
      </c>
      <c r="D197" s="288"/>
      <c r="E197" s="295"/>
      <c r="F197" s="296"/>
      <c r="G197" s="452">
        <f>SUM(G198:G199)</f>
        <v>15331827.050000001</v>
      </c>
      <c r="K197" s="574"/>
    </row>
    <row r="198" spans="1:15" s="215" customFormat="1" ht="13.5" customHeight="1" x14ac:dyDescent="0.3">
      <c r="A198" s="308">
        <v>197</v>
      </c>
      <c r="B198" s="453" t="s">
        <v>960</v>
      </c>
      <c r="C198" s="411" t="s">
        <v>946</v>
      </c>
      <c r="D198" s="454" t="s">
        <v>8</v>
      </c>
      <c r="E198" s="58">
        <f>'M.C. '!K540</f>
        <v>309.37</v>
      </c>
      <c r="F198" s="297">
        <f>'A9,1-C8,1-D2,1'!F48</f>
        <v>44409</v>
      </c>
      <c r="G198" s="455">
        <f t="shared" ref="G198:G199" si="23">E198*F198</f>
        <v>13738812.33</v>
      </c>
      <c r="K198" s="574"/>
    </row>
    <row r="199" spans="1:15" s="215" customFormat="1" ht="13.5" customHeight="1" x14ac:dyDescent="0.3">
      <c r="A199" s="308">
        <v>198</v>
      </c>
      <c r="B199" s="453" t="s">
        <v>961</v>
      </c>
      <c r="C199" s="276" t="s">
        <v>947</v>
      </c>
      <c r="D199" s="29" t="s">
        <v>19</v>
      </c>
      <c r="E199" s="58">
        <f>'M.C. '!K544</f>
        <v>33.44</v>
      </c>
      <c r="F199" s="297">
        <f>'C8,2-D2,2'!F48</f>
        <v>47638</v>
      </c>
      <c r="G199" s="455">
        <f t="shared" si="23"/>
        <v>1593014.72</v>
      </c>
      <c r="K199" s="574"/>
    </row>
    <row r="200" spans="1:15" s="215" customFormat="1" ht="13.5" customHeight="1" x14ac:dyDescent="0.3">
      <c r="A200" s="308">
        <v>199</v>
      </c>
      <c r="B200" s="451" t="s">
        <v>962</v>
      </c>
      <c r="C200" s="395" t="s">
        <v>262</v>
      </c>
      <c r="D200" s="456"/>
      <c r="E200" s="302"/>
      <c r="F200" s="303"/>
      <c r="G200" s="457">
        <f>SUM(G201:G206)</f>
        <v>7094260.3100000005</v>
      </c>
      <c r="K200" s="574"/>
    </row>
    <row r="201" spans="1:15" s="215" customFormat="1" ht="13.5" customHeight="1" x14ac:dyDescent="0.3">
      <c r="A201" s="308">
        <v>200</v>
      </c>
      <c r="B201" s="453" t="s">
        <v>963</v>
      </c>
      <c r="C201" s="276" t="s">
        <v>948</v>
      </c>
      <c r="D201" s="29" t="s">
        <v>19</v>
      </c>
      <c r="E201" s="58">
        <f>'M.C. '!K548</f>
        <v>257.04000000000002</v>
      </c>
      <c r="F201" s="297">
        <f>'D3,1'!F48</f>
        <v>2907</v>
      </c>
      <c r="G201" s="455">
        <f>E201*F201</f>
        <v>747215.28</v>
      </c>
      <c r="K201" s="574"/>
    </row>
    <row r="202" spans="1:15" s="215" customFormat="1" ht="13.5" customHeight="1" x14ac:dyDescent="0.3">
      <c r="A202" s="308">
        <v>201</v>
      </c>
      <c r="B202" s="453" t="s">
        <v>964</v>
      </c>
      <c r="C202" s="276" t="s">
        <v>949</v>
      </c>
      <c r="D202" s="29" t="s">
        <v>19</v>
      </c>
      <c r="E202" s="58">
        <f>'M.C. '!K552</f>
        <v>25.53</v>
      </c>
      <c r="F202" s="297">
        <f>'D3,2'!F48</f>
        <v>23401</v>
      </c>
      <c r="G202" s="455">
        <f>E202*F202</f>
        <v>597427.53</v>
      </c>
      <c r="K202" s="574"/>
    </row>
    <row r="203" spans="1:15" s="215" customFormat="1" ht="13.5" customHeight="1" x14ac:dyDescent="0.3">
      <c r="A203" s="308">
        <v>202</v>
      </c>
      <c r="B203" s="453" t="s">
        <v>965</v>
      </c>
      <c r="C203" s="61" t="s">
        <v>950</v>
      </c>
      <c r="D203" s="6" t="s">
        <v>8</v>
      </c>
      <c r="E203" s="58">
        <f>'M.C. '!K555</f>
        <v>695</v>
      </c>
      <c r="F203" s="297">
        <f>'D3,3'!F48</f>
        <v>6319</v>
      </c>
      <c r="G203" s="455">
        <f t="shared" ref="G203:G206" si="24">E203*F203</f>
        <v>4391705</v>
      </c>
      <c r="K203" s="574"/>
    </row>
    <row r="204" spans="1:15" s="215" customFormat="1" ht="13.5" customHeight="1" x14ac:dyDescent="0.3">
      <c r="A204" s="308">
        <v>203</v>
      </c>
      <c r="B204" s="453" t="s">
        <v>966</v>
      </c>
      <c r="C204" s="458" t="s">
        <v>951</v>
      </c>
      <c r="D204" s="459" t="s">
        <v>8</v>
      </c>
      <c r="E204" s="58">
        <f>'M.C. '!K567</f>
        <v>35.6</v>
      </c>
      <c r="F204" s="297">
        <f>'D3,4'!F48</f>
        <v>10776</v>
      </c>
      <c r="G204" s="455">
        <f t="shared" si="24"/>
        <v>383625.60000000003</v>
      </c>
      <c r="K204" s="574"/>
    </row>
    <row r="205" spans="1:15" s="215" customFormat="1" ht="13.5" customHeight="1" x14ac:dyDescent="0.3">
      <c r="A205" s="308">
        <v>204</v>
      </c>
      <c r="B205" s="453" t="s">
        <v>967</v>
      </c>
      <c r="C205" s="458" t="s">
        <v>952</v>
      </c>
      <c r="D205" s="459" t="s">
        <v>21</v>
      </c>
      <c r="E205" s="58">
        <f>'M.C. '!K571</f>
        <v>25</v>
      </c>
      <c r="F205" s="297">
        <f>'D3,5'!F48</f>
        <v>11741</v>
      </c>
      <c r="G205" s="455">
        <f t="shared" si="24"/>
        <v>293525</v>
      </c>
      <c r="K205" s="574"/>
    </row>
    <row r="206" spans="1:15" s="215" customFormat="1" ht="13.5" customHeight="1" x14ac:dyDescent="0.3">
      <c r="A206" s="308">
        <v>205</v>
      </c>
      <c r="B206" s="453" t="s">
        <v>968</v>
      </c>
      <c r="C206" s="458" t="s">
        <v>953</v>
      </c>
      <c r="D206" s="459" t="s">
        <v>8</v>
      </c>
      <c r="E206" s="58">
        <f>'M.C. '!K575</f>
        <v>63.7</v>
      </c>
      <c r="F206" s="297">
        <f>'D3,6'!F48</f>
        <v>10687</v>
      </c>
      <c r="G206" s="455">
        <f t="shared" si="24"/>
        <v>680761.9</v>
      </c>
      <c r="K206" s="574"/>
    </row>
    <row r="207" spans="1:15" s="215" customFormat="1" ht="13.5" customHeight="1" x14ac:dyDescent="0.3">
      <c r="A207" s="308">
        <v>206</v>
      </c>
      <c r="B207" s="451" t="s">
        <v>969</v>
      </c>
      <c r="C207" s="395" t="s">
        <v>254</v>
      </c>
      <c r="D207" s="456"/>
      <c r="E207" s="302"/>
      <c r="F207" s="303"/>
      <c r="G207" s="457">
        <f>SUM(G208)</f>
        <v>1248389.6400000001</v>
      </c>
      <c r="K207" s="574"/>
    </row>
    <row r="208" spans="1:15" s="215" customFormat="1" ht="13.5" customHeight="1" x14ac:dyDescent="0.3">
      <c r="A208" s="308">
        <v>207</v>
      </c>
      <c r="B208" s="453" t="s">
        <v>970</v>
      </c>
      <c r="C208" s="458" t="s">
        <v>954</v>
      </c>
      <c r="D208" s="459" t="s">
        <v>8</v>
      </c>
      <c r="E208" s="58">
        <f>'M.C. '!K581</f>
        <v>43.38</v>
      </c>
      <c r="F208" s="297">
        <f>'D4,1'!F48</f>
        <v>28778</v>
      </c>
      <c r="G208" s="455">
        <f>E208*F208</f>
        <v>1248389.6400000001</v>
      </c>
      <c r="K208" s="574"/>
    </row>
    <row r="209" spans="1:11" s="215" customFormat="1" ht="13.5" customHeight="1" x14ac:dyDescent="0.3">
      <c r="A209" s="308"/>
      <c r="B209" s="453"/>
      <c r="C209" s="458"/>
      <c r="D209" s="459"/>
      <c r="E209" s="58"/>
      <c r="F209" s="297"/>
      <c r="G209" s="455"/>
      <c r="K209" s="574"/>
    </row>
    <row r="210" spans="1:11" s="215" customFormat="1" ht="13.5" customHeight="1" x14ac:dyDescent="0.3">
      <c r="A210" s="308"/>
      <c r="B210" s="305" t="s">
        <v>1130</v>
      </c>
      <c r="C210" s="728" t="s">
        <v>1159</v>
      </c>
      <c r="D210" s="728"/>
      <c r="E210" s="728"/>
      <c r="F210" s="728"/>
      <c r="G210" s="538">
        <f>G211+G213+G216+G221</f>
        <v>45057543.239999987</v>
      </c>
      <c r="H210" s="91">
        <f>G210*0.3</f>
        <v>13517262.971999995</v>
      </c>
      <c r="I210" s="291">
        <f>G210+H210</f>
        <v>58574806.211999983</v>
      </c>
      <c r="J210" s="291">
        <f>I210*0.01</f>
        <v>585748.06211999978</v>
      </c>
      <c r="K210" s="573">
        <f>I210+J210</f>
        <v>59160554.274119981</v>
      </c>
    </row>
    <row r="211" spans="1:11" s="215" customFormat="1" ht="13.5" customHeight="1" x14ac:dyDescent="0.3">
      <c r="A211" s="308"/>
      <c r="B211" s="300" t="s">
        <v>1131</v>
      </c>
      <c r="C211" s="381" t="s">
        <v>1123</v>
      </c>
      <c r="D211" s="382"/>
      <c r="E211" s="382"/>
      <c r="F211" s="383"/>
      <c r="G211" s="93">
        <f>SUM(G212:G212)</f>
        <v>288057.7</v>
      </c>
      <c r="K211" s="574"/>
    </row>
    <row r="212" spans="1:11" s="215" customFormat="1" ht="13.5" customHeight="1" x14ac:dyDescent="0.3">
      <c r="A212" s="308"/>
      <c r="B212" s="92" t="s">
        <v>1132</v>
      </c>
      <c r="C212" s="59" t="s">
        <v>651</v>
      </c>
      <c r="D212" s="92" t="s">
        <v>8</v>
      </c>
      <c r="E212" s="58">
        <f>'M.C. '!K586</f>
        <v>55.3</v>
      </c>
      <c r="F212" s="307">
        <f>'A1,1-B1,1-C1,1-E1,1-F1,1'!F48</f>
        <v>5209</v>
      </c>
      <c r="G212" s="549">
        <f>E212*F212</f>
        <v>288057.7</v>
      </c>
      <c r="K212" s="574"/>
    </row>
    <row r="213" spans="1:11" s="215" customFormat="1" ht="13.5" customHeight="1" x14ac:dyDescent="0.3">
      <c r="A213" s="308"/>
      <c r="B213" s="300" t="s">
        <v>1133</v>
      </c>
      <c r="C213" s="381" t="s">
        <v>1124</v>
      </c>
      <c r="D213" s="382"/>
      <c r="E213" s="382"/>
      <c r="F213" s="383"/>
      <c r="G213" s="93">
        <f>SUM(G214:G215)</f>
        <v>859673.46</v>
      </c>
      <c r="K213" s="574"/>
    </row>
    <row r="214" spans="1:11" s="215" customFormat="1" ht="13.5" customHeight="1" x14ac:dyDescent="0.3">
      <c r="A214" s="308"/>
      <c r="B214" s="92" t="s">
        <v>1134</v>
      </c>
      <c r="C214" s="59" t="s">
        <v>357</v>
      </c>
      <c r="D214" s="92" t="s">
        <v>9</v>
      </c>
      <c r="E214" s="58">
        <f>'M.C. '!K589</f>
        <v>10.199999999999999</v>
      </c>
      <c r="F214" s="307">
        <f>'A2,2-C2,2-E2,1-F3,2'!F48</f>
        <v>55531</v>
      </c>
      <c r="G214" s="549">
        <f>E214*F214</f>
        <v>566416.19999999995</v>
      </c>
      <c r="K214" s="574"/>
    </row>
    <row r="215" spans="1:11" s="215" customFormat="1" ht="13.5" customHeight="1" x14ac:dyDescent="0.3">
      <c r="A215" s="308"/>
      <c r="B215" s="92" t="s">
        <v>1135</v>
      </c>
      <c r="C215" s="61" t="s">
        <v>666</v>
      </c>
      <c r="D215" s="92" t="s">
        <v>9</v>
      </c>
      <c r="E215" s="58">
        <f>'M.C. '!K591</f>
        <v>4.9800000000000004</v>
      </c>
      <c r="F215" s="307">
        <f>'A2,1-B2,1-C2,1-E2,2-F3,1'!F48</f>
        <v>58887</v>
      </c>
      <c r="G215" s="549">
        <f>E215*F215</f>
        <v>293257.26</v>
      </c>
      <c r="K215" s="574"/>
    </row>
    <row r="216" spans="1:11" s="215" customFormat="1" ht="13.5" customHeight="1" x14ac:dyDescent="0.3">
      <c r="A216" s="308"/>
      <c r="B216" s="300" t="s">
        <v>1136</v>
      </c>
      <c r="C216" s="381" t="s">
        <v>1125</v>
      </c>
      <c r="D216" s="382"/>
      <c r="E216" s="382"/>
      <c r="F216" s="383"/>
      <c r="G216" s="93">
        <f>SUM(G217:G220)</f>
        <v>43780907.779999994</v>
      </c>
      <c r="K216" s="574"/>
    </row>
    <row r="217" spans="1:11" s="215" customFormat="1" ht="13.5" customHeight="1" x14ac:dyDescent="0.3">
      <c r="A217" s="308"/>
      <c r="B217" s="92" t="s">
        <v>1137</v>
      </c>
      <c r="C217" s="59" t="s">
        <v>1126</v>
      </c>
      <c r="D217" s="92" t="s">
        <v>9</v>
      </c>
      <c r="E217" s="58">
        <f>'M.C. '!K594</f>
        <v>4.9800000000000004</v>
      </c>
      <c r="F217" s="307">
        <f>'A3,1-C3,1-E3,1'!F48</f>
        <v>634602</v>
      </c>
      <c r="G217" s="549">
        <f>E217*F217</f>
        <v>3160317.9600000004</v>
      </c>
      <c r="K217" s="574"/>
    </row>
    <row r="218" spans="1:11" s="215" customFormat="1" ht="13.5" customHeight="1" x14ac:dyDescent="0.3">
      <c r="A218" s="308"/>
      <c r="B218" s="92" t="s">
        <v>1138</v>
      </c>
      <c r="C218" s="63" t="s">
        <v>1127</v>
      </c>
      <c r="D218" s="92" t="s">
        <v>19</v>
      </c>
      <c r="E218" s="58">
        <f>'M.C. '!K596</f>
        <v>50.6</v>
      </c>
      <c r="F218" s="307">
        <f>'E3,2'!F51</f>
        <v>725234</v>
      </c>
      <c r="G218" s="549">
        <f>E218*F218</f>
        <v>36696840.399999999</v>
      </c>
      <c r="K218" s="574"/>
    </row>
    <row r="219" spans="1:11" s="215" customFormat="1" ht="13.5" customHeight="1" x14ac:dyDescent="0.3">
      <c r="A219" s="308"/>
      <c r="B219" s="92" t="s">
        <v>1139</v>
      </c>
      <c r="C219" s="63" t="s">
        <v>1128</v>
      </c>
      <c r="D219" s="92" t="s">
        <v>8</v>
      </c>
      <c r="E219" s="58">
        <f>'M.C. '!K598</f>
        <v>9.98</v>
      </c>
      <c r="F219" s="307">
        <f>'E3,3'!F51</f>
        <v>304769</v>
      </c>
      <c r="G219" s="549">
        <f>E219*F219</f>
        <v>3041594.62</v>
      </c>
      <c r="K219" s="574"/>
    </row>
    <row r="220" spans="1:11" s="215" customFormat="1" ht="13.5" customHeight="1" x14ac:dyDescent="0.3">
      <c r="A220" s="308"/>
      <c r="B220" s="92" t="s">
        <v>1140</v>
      </c>
      <c r="C220" s="63" t="s">
        <v>1129</v>
      </c>
      <c r="D220" s="92" t="s">
        <v>8</v>
      </c>
      <c r="E220" s="58">
        <f>'M.C. '!K600</f>
        <v>3.42</v>
      </c>
      <c r="F220" s="307">
        <f>'E3,4'!F51</f>
        <v>257940</v>
      </c>
      <c r="G220" s="549">
        <f>E220*F220</f>
        <v>882154.79999999993</v>
      </c>
      <c r="K220" s="574"/>
    </row>
    <row r="221" spans="1:11" s="215" customFormat="1" ht="13.5" customHeight="1" x14ac:dyDescent="0.3">
      <c r="A221" s="308"/>
      <c r="B221" s="300" t="s">
        <v>1156</v>
      </c>
      <c r="C221" s="381" t="s">
        <v>631</v>
      </c>
      <c r="D221" s="382"/>
      <c r="E221" s="382"/>
      <c r="F221" s="383"/>
      <c r="G221" s="304">
        <f>G222</f>
        <v>128904.29999999999</v>
      </c>
      <c r="K221" s="574"/>
    </row>
    <row r="222" spans="1:11" s="215" customFormat="1" ht="13.5" customHeight="1" x14ac:dyDescent="0.3">
      <c r="A222" s="308"/>
      <c r="B222" s="92" t="s">
        <v>1157</v>
      </c>
      <c r="C222" s="61" t="s">
        <v>640</v>
      </c>
      <c r="D222" s="92" t="s">
        <v>8</v>
      </c>
      <c r="E222" s="58">
        <f>'M.C. '!K603</f>
        <v>55.3</v>
      </c>
      <c r="F222" s="297">
        <f>'A14,1-B14,1-C13,1-E4,1-F13,1'!F48</f>
        <v>2331</v>
      </c>
      <c r="G222" s="298">
        <f>E222*F222</f>
        <v>128904.29999999999</v>
      </c>
      <c r="K222" s="574"/>
    </row>
    <row r="223" spans="1:11" s="215" customFormat="1" ht="13.5" customHeight="1" x14ac:dyDescent="0.3">
      <c r="A223" s="308"/>
      <c r="B223" s="550"/>
      <c r="C223" s="551"/>
      <c r="D223" s="550"/>
      <c r="E223" s="552"/>
      <c r="F223" s="553"/>
      <c r="G223" s="554"/>
      <c r="K223" s="574"/>
    </row>
    <row r="224" spans="1:11" s="215" customFormat="1" ht="13.5" customHeight="1" x14ac:dyDescent="0.3">
      <c r="A224" s="308"/>
      <c r="B224" s="305" t="s">
        <v>1160</v>
      </c>
      <c r="C224" s="728" t="s">
        <v>1253</v>
      </c>
      <c r="D224" s="728"/>
      <c r="E224" s="728"/>
      <c r="F224" s="728"/>
      <c r="G224" s="538">
        <f>G225+G227+G233+G236+G238+G241+G244+G252+G254+G259+G262+G267+G269</f>
        <v>34655199.440000005</v>
      </c>
      <c r="H224" s="91">
        <f>G224*0.3</f>
        <v>10396559.832</v>
      </c>
      <c r="I224" s="291">
        <f>G224+H224</f>
        <v>45051759.272000007</v>
      </c>
      <c r="J224" s="291">
        <f>I224*0.01</f>
        <v>450517.59272000007</v>
      </c>
      <c r="K224" s="573">
        <f>I224+J224</f>
        <v>45502276.864720009</v>
      </c>
    </row>
    <row r="225" spans="1:11" s="215" customFormat="1" ht="13.5" customHeight="1" x14ac:dyDescent="0.3">
      <c r="A225" s="308"/>
      <c r="B225" s="300" t="s">
        <v>1161</v>
      </c>
      <c r="C225" s="381" t="s">
        <v>1123</v>
      </c>
      <c r="D225" s="382"/>
      <c r="E225" s="382"/>
      <c r="F225" s="383"/>
      <c r="G225" s="93">
        <f>SUM(G226:G226)</f>
        <v>283317.51</v>
      </c>
      <c r="K225" s="574"/>
    </row>
    <row r="226" spans="1:11" s="215" customFormat="1" ht="13.5" customHeight="1" x14ac:dyDescent="0.3">
      <c r="A226" s="308"/>
      <c r="B226" s="92" t="s">
        <v>1162</v>
      </c>
      <c r="C226" s="59" t="s">
        <v>651</v>
      </c>
      <c r="D226" s="92" t="s">
        <v>8</v>
      </c>
      <c r="E226" s="58">
        <f>'M.C. '!K608</f>
        <v>54.39</v>
      </c>
      <c r="F226" s="307">
        <f>'A1,1-B1,1-C1,1-E1,1-F1,1'!F48</f>
        <v>5209</v>
      </c>
      <c r="G226" s="549">
        <f>E226*F226</f>
        <v>283317.51</v>
      </c>
      <c r="K226" s="574"/>
    </row>
    <row r="227" spans="1:11" s="215" customFormat="1" ht="13.5" customHeight="1" x14ac:dyDescent="0.3">
      <c r="A227" s="308"/>
      <c r="B227" s="558" t="s">
        <v>1163</v>
      </c>
      <c r="C227" s="565" t="s">
        <v>943</v>
      </c>
      <c r="D227" s="555"/>
      <c r="E227" s="556"/>
      <c r="F227" s="557"/>
      <c r="G227" s="93">
        <f>SUM(G228:G232)</f>
        <v>3769854.8400000003</v>
      </c>
      <c r="K227" s="574"/>
    </row>
    <row r="228" spans="1:11" s="215" customFormat="1" ht="13.5" customHeight="1" x14ac:dyDescent="0.3">
      <c r="A228" s="308"/>
      <c r="B228" s="92" t="s">
        <v>1176</v>
      </c>
      <c r="C228" s="566" t="s">
        <v>1168</v>
      </c>
      <c r="D228" s="567" t="s">
        <v>8</v>
      </c>
      <c r="E228" s="58">
        <f>'M.C. '!K611</f>
        <v>50.36</v>
      </c>
      <c r="F228" s="297">
        <f>'F2,1'!F48</f>
        <v>31571</v>
      </c>
      <c r="G228" s="298">
        <f>E228*F228</f>
        <v>1589915.56</v>
      </c>
      <c r="K228" s="574"/>
    </row>
    <row r="229" spans="1:11" s="215" customFormat="1" ht="13.5" customHeight="1" x14ac:dyDescent="0.3">
      <c r="A229" s="308"/>
      <c r="B229" s="92" t="s">
        <v>1164</v>
      </c>
      <c r="C229" s="566" t="s">
        <v>1165</v>
      </c>
      <c r="D229" s="567" t="s">
        <v>8</v>
      </c>
      <c r="E229" s="58">
        <f>'M.C. '!K614</f>
        <v>133.34</v>
      </c>
      <c r="F229" s="297">
        <f>'F2,2'!F48</f>
        <v>13735</v>
      </c>
      <c r="G229" s="298">
        <f t="shared" ref="G229:G270" si="25">E229*F229</f>
        <v>1831424.9000000001</v>
      </c>
      <c r="K229" s="574"/>
    </row>
    <row r="230" spans="1:11" s="215" customFormat="1" ht="13.5" customHeight="1" x14ac:dyDescent="0.3">
      <c r="A230" s="308"/>
      <c r="B230" s="92" t="s">
        <v>1170</v>
      </c>
      <c r="C230" s="566" t="s">
        <v>1166</v>
      </c>
      <c r="D230" s="567" t="s">
        <v>1014</v>
      </c>
      <c r="E230" s="58">
        <f>'M.C. '!K618</f>
        <v>3</v>
      </c>
      <c r="F230" s="297">
        <f>'F2,3'!F48</f>
        <v>26661</v>
      </c>
      <c r="G230" s="298">
        <f t="shared" si="25"/>
        <v>79983</v>
      </c>
      <c r="K230" s="574"/>
    </row>
    <row r="231" spans="1:11" s="215" customFormat="1" ht="13.5" customHeight="1" x14ac:dyDescent="0.3">
      <c r="A231" s="308"/>
      <c r="B231" s="92" t="s">
        <v>1171</v>
      </c>
      <c r="C231" s="566" t="s">
        <v>1167</v>
      </c>
      <c r="D231" s="567" t="s">
        <v>8</v>
      </c>
      <c r="E231" s="58">
        <f>'M.C. '!K620</f>
        <v>4.1399999999999997</v>
      </c>
      <c r="F231" s="297">
        <f>'F2,4'!F48</f>
        <v>24237</v>
      </c>
      <c r="G231" s="298">
        <f t="shared" si="25"/>
        <v>100341.18</v>
      </c>
      <c r="K231" s="574"/>
    </row>
    <row r="232" spans="1:11" s="215" customFormat="1" ht="13.5" customHeight="1" x14ac:dyDescent="0.3">
      <c r="A232" s="308"/>
      <c r="B232" s="92" t="s">
        <v>1172</v>
      </c>
      <c r="C232" s="566" t="s">
        <v>1169</v>
      </c>
      <c r="D232" s="567" t="s">
        <v>8</v>
      </c>
      <c r="E232" s="58">
        <f>'M.C. '!K622</f>
        <v>8.1999999999999993</v>
      </c>
      <c r="F232" s="297">
        <f>'F2,5'!F48</f>
        <v>20511</v>
      </c>
      <c r="G232" s="298">
        <f t="shared" si="25"/>
        <v>168190.19999999998</v>
      </c>
      <c r="K232" s="574"/>
    </row>
    <row r="233" spans="1:11" s="215" customFormat="1" ht="13.5" customHeight="1" x14ac:dyDescent="0.3">
      <c r="A233" s="308"/>
      <c r="B233" s="300" t="s">
        <v>1173</v>
      </c>
      <c r="C233" s="64" t="s">
        <v>1124</v>
      </c>
      <c r="D233" s="64"/>
      <c r="E233" s="64"/>
      <c r="F233" s="64"/>
      <c r="G233" s="93">
        <f>SUM(G234:G235)</f>
        <v>1300584.5</v>
      </c>
      <c r="K233" s="574"/>
    </row>
    <row r="234" spans="1:11" s="215" customFormat="1" ht="13.5" customHeight="1" x14ac:dyDescent="0.3">
      <c r="A234" s="308"/>
      <c r="B234" s="92" t="s">
        <v>1174</v>
      </c>
      <c r="C234" s="61" t="s">
        <v>666</v>
      </c>
      <c r="D234" s="92" t="s">
        <v>9</v>
      </c>
      <c r="E234" s="58">
        <f>'M.C. '!K626</f>
        <v>12.59</v>
      </c>
      <c r="F234" s="307">
        <f>'A2,1-B2,1-C2,1-E2,2-F3,1'!F48</f>
        <v>58887</v>
      </c>
      <c r="G234" s="298">
        <f t="shared" si="25"/>
        <v>741387.33</v>
      </c>
      <c r="K234" s="574"/>
    </row>
    <row r="235" spans="1:11" s="215" customFormat="1" ht="13.5" customHeight="1" x14ac:dyDescent="0.3">
      <c r="A235" s="308"/>
      <c r="B235" s="92" t="s">
        <v>1175</v>
      </c>
      <c r="C235" s="59" t="s">
        <v>357</v>
      </c>
      <c r="D235" s="92" t="s">
        <v>9</v>
      </c>
      <c r="E235" s="58">
        <f>'M.C. '!K629</f>
        <v>10.07</v>
      </c>
      <c r="F235" s="307">
        <f>'A2,2-C2,2-E2,1-F3,2'!F48</f>
        <v>55531</v>
      </c>
      <c r="G235" s="298">
        <f t="shared" si="25"/>
        <v>559197.17000000004</v>
      </c>
      <c r="K235" s="574"/>
    </row>
    <row r="236" spans="1:11" s="215" customFormat="1" ht="13.5" customHeight="1" x14ac:dyDescent="0.3">
      <c r="A236" s="308"/>
      <c r="B236" s="300" t="s">
        <v>1177</v>
      </c>
      <c r="C236" s="64" t="s">
        <v>655</v>
      </c>
      <c r="D236" s="64"/>
      <c r="E236" s="64"/>
      <c r="F236" s="64"/>
      <c r="G236" s="93">
        <f>SUM(G237:G237)</f>
        <v>431116.80000000005</v>
      </c>
      <c r="K236" s="574"/>
    </row>
    <row r="237" spans="1:11" s="215" customFormat="1" ht="13.5" customHeight="1" x14ac:dyDescent="0.3">
      <c r="A237" s="308"/>
      <c r="B237" s="92" t="s">
        <v>1178</v>
      </c>
      <c r="C237" s="62" t="s">
        <v>771</v>
      </c>
      <c r="D237" s="92" t="s">
        <v>19</v>
      </c>
      <c r="E237" s="58">
        <f>'M.C. '!K633</f>
        <v>6.4</v>
      </c>
      <c r="F237" s="293">
        <f>'B3,1-F4,1'!F48</f>
        <v>67362</v>
      </c>
      <c r="G237" s="298">
        <f t="shared" si="25"/>
        <v>431116.80000000005</v>
      </c>
      <c r="K237" s="574"/>
    </row>
    <row r="238" spans="1:11" s="215" customFormat="1" ht="13.5" customHeight="1" x14ac:dyDescent="0.3">
      <c r="A238" s="308"/>
      <c r="B238" s="299" t="s">
        <v>1179</v>
      </c>
      <c r="C238" s="64" t="s">
        <v>239</v>
      </c>
      <c r="D238" s="64"/>
      <c r="E238" s="64"/>
      <c r="F238" s="64"/>
      <c r="G238" s="93">
        <f>SUM(G239:G240)</f>
        <v>1237638.1200000001</v>
      </c>
      <c r="K238" s="574"/>
    </row>
    <row r="239" spans="1:11" s="215" customFormat="1" ht="13.5" customHeight="1" x14ac:dyDescent="0.3">
      <c r="A239" s="308"/>
      <c r="B239" s="92" t="s">
        <v>1180</v>
      </c>
      <c r="C239" s="62" t="s">
        <v>772</v>
      </c>
      <c r="D239" s="92" t="s">
        <v>19</v>
      </c>
      <c r="E239" s="58">
        <f>'M.C. '!K636</f>
        <v>6.4</v>
      </c>
      <c r="F239" s="293">
        <f>'B5,1-F5,1'!F48</f>
        <v>83520</v>
      </c>
      <c r="G239" s="298">
        <f t="shared" si="25"/>
        <v>534528</v>
      </c>
      <c r="K239" s="574"/>
    </row>
    <row r="240" spans="1:11" s="215" customFormat="1" ht="13.5" customHeight="1" x14ac:dyDescent="0.3">
      <c r="A240" s="308"/>
      <c r="B240" s="92" t="s">
        <v>1181</v>
      </c>
      <c r="C240" s="62" t="s">
        <v>773</v>
      </c>
      <c r="D240" s="92" t="s">
        <v>19</v>
      </c>
      <c r="E240" s="58">
        <f>'M.C. '!K638</f>
        <v>9.32</v>
      </c>
      <c r="F240" s="293">
        <f>'B5,2-F5,2'!F48</f>
        <v>75441</v>
      </c>
      <c r="G240" s="298">
        <f t="shared" si="25"/>
        <v>703110.12</v>
      </c>
      <c r="K240" s="574"/>
    </row>
    <row r="241" spans="1:11" s="215" customFormat="1" ht="13.5" customHeight="1" x14ac:dyDescent="0.3">
      <c r="A241" s="308"/>
      <c r="B241" s="299" t="s">
        <v>1182</v>
      </c>
      <c r="C241" s="64" t="s">
        <v>10</v>
      </c>
      <c r="D241" s="64"/>
      <c r="E241" s="295"/>
      <c r="F241" s="296"/>
      <c r="G241" s="93">
        <f>SUM(G242:G243)</f>
        <v>3301767.2899999996</v>
      </c>
      <c r="K241" s="574"/>
    </row>
    <row r="242" spans="1:11" s="215" customFormat="1" ht="13.5" customHeight="1" x14ac:dyDescent="0.3">
      <c r="A242" s="308"/>
      <c r="B242" s="92" t="s">
        <v>1183</v>
      </c>
      <c r="C242" s="61" t="s">
        <v>701</v>
      </c>
      <c r="D242" s="92" t="s">
        <v>8</v>
      </c>
      <c r="E242" s="58">
        <f>'M.C. '!K641</f>
        <v>15.36</v>
      </c>
      <c r="F242" s="297">
        <f>'A4,1 -B4,1-C5,1-F6,1'!F48</f>
        <v>60669</v>
      </c>
      <c r="G242" s="298">
        <f t="shared" si="25"/>
        <v>931875.83999999997</v>
      </c>
      <c r="K242" s="574"/>
    </row>
    <row r="243" spans="1:11" s="215" customFormat="1" ht="27" customHeight="1" x14ac:dyDescent="0.3">
      <c r="A243" s="308"/>
      <c r="B243" s="92" t="s">
        <v>1200</v>
      </c>
      <c r="C243" s="62" t="s">
        <v>702</v>
      </c>
      <c r="D243" s="92" t="s">
        <v>19</v>
      </c>
      <c r="E243" s="58">
        <f>'M.C. '!K646</f>
        <v>7.85</v>
      </c>
      <c r="F243" s="297">
        <f>'A4,2-F6,2'!F48</f>
        <v>301897</v>
      </c>
      <c r="G243" s="298">
        <f t="shared" si="25"/>
        <v>2369891.4499999997</v>
      </c>
      <c r="K243" s="574"/>
    </row>
    <row r="244" spans="1:11" s="215" customFormat="1" ht="15" customHeight="1" x14ac:dyDescent="0.3">
      <c r="A244" s="308"/>
      <c r="B244" s="300" t="s">
        <v>1184</v>
      </c>
      <c r="C244" s="64" t="s">
        <v>246</v>
      </c>
      <c r="D244" s="64"/>
      <c r="E244" s="295"/>
      <c r="F244" s="296"/>
      <c r="G244" s="93">
        <f>SUM(G245:G251)</f>
        <v>906218.5</v>
      </c>
      <c r="K244" s="574"/>
    </row>
    <row r="245" spans="1:11" s="215" customFormat="1" ht="15" customHeight="1" x14ac:dyDescent="0.3">
      <c r="A245" s="308"/>
      <c r="B245" s="92" t="s">
        <v>1185</v>
      </c>
      <c r="C245" s="61" t="s">
        <v>738</v>
      </c>
      <c r="D245" s="5" t="s">
        <v>21</v>
      </c>
      <c r="E245" s="58">
        <f>'M.C. '!K650</f>
        <v>1</v>
      </c>
      <c r="F245" s="297">
        <f>'A7,1-B7,1-F7,1'!F48</f>
        <v>68127</v>
      </c>
      <c r="G245" s="298">
        <f t="shared" si="25"/>
        <v>68127</v>
      </c>
      <c r="K245" s="574"/>
    </row>
    <row r="246" spans="1:11" s="215" customFormat="1" ht="15" customHeight="1" x14ac:dyDescent="0.3">
      <c r="A246" s="308"/>
      <c r="B246" s="92" t="s">
        <v>1186</v>
      </c>
      <c r="C246" s="61" t="s">
        <v>739</v>
      </c>
      <c r="D246" s="5" t="s">
        <v>21</v>
      </c>
      <c r="E246" s="58">
        <f>'M.C. '!K652</f>
        <v>1</v>
      </c>
      <c r="F246" s="297">
        <f>'A7,2-B7,2-B7,2'!F48</f>
        <v>74715</v>
      </c>
      <c r="G246" s="298">
        <f t="shared" si="25"/>
        <v>74715</v>
      </c>
      <c r="K246" s="574"/>
    </row>
    <row r="247" spans="1:11" s="215" customFormat="1" ht="15" customHeight="1" x14ac:dyDescent="0.3">
      <c r="A247" s="308"/>
      <c r="B247" s="92" t="s">
        <v>1187</v>
      </c>
      <c r="C247" s="61" t="s">
        <v>742</v>
      </c>
      <c r="D247" s="5" t="s">
        <v>21</v>
      </c>
      <c r="E247" s="58">
        <f>'M.C. '!K654</f>
        <v>1</v>
      </c>
      <c r="F247" s="297">
        <f>'A7,5-B7,5-F7,3'!F48</f>
        <v>63478.5</v>
      </c>
      <c r="G247" s="298">
        <f t="shared" si="25"/>
        <v>63478.5</v>
      </c>
      <c r="K247" s="574"/>
    </row>
    <row r="248" spans="1:11" s="215" customFormat="1" ht="15" customHeight="1" x14ac:dyDescent="0.3">
      <c r="A248" s="308"/>
      <c r="B248" s="92" t="s">
        <v>1188</v>
      </c>
      <c r="C248" s="61" t="s">
        <v>741</v>
      </c>
      <c r="D248" s="5" t="s">
        <v>21</v>
      </c>
      <c r="E248" s="58">
        <f>'M.C. '!K656</f>
        <v>1</v>
      </c>
      <c r="F248" s="297">
        <f>'A7,6-B7,6-F7,4'!F48</f>
        <v>79410</v>
      </c>
      <c r="G248" s="298">
        <f t="shared" si="25"/>
        <v>79410</v>
      </c>
      <c r="K248" s="574"/>
    </row>
    <row r="249" spans="1:11" s="215" customFormat="1" ht="15" customHeight="1" x14ac:dyDescent="0.3">
      <c r="A249" s="308"/>
      <c r="B249" s="92" t="s">
        <v>1201</v>
      </c>
      <c r="C249" s="61" t="s">
        <v>743</v>
      </c>
      <c r="D249" s="5" t="s">
        <v>21</v>
      </c>
      <c r="E249" s="58">
        <f>'M.C. '!K658</f>
        <v>1</v>
      </c>
      <c r="F249" s="297">
        <f>'A7,7-B7,7-F7,5'!F51</f>
        <v>233367</v>
      </c>
      <c r="G249" s="298">
        <f t="shared" si="25"/>
        <v>233367</v>
      </c>
      <c r="K249" s="574"/>
    </row>
    <row r="250" spans="1:11" s="215" customFormat="1" ht="15" customHeight="1" x14ac:dyDescent="0.3">
      <c r="A250" s="308"/>
      <c r="B250" s="92" t="s">
        <v>1202</v>
      </c>
      <c r="C250" s="61" t="s">
        <v>744</v>
      </c>
      <c r="D250" s="5" t="s">
        <v>21</v>
      </c>
      <c r="E250" s="58">
        <f>'M.C. '!K660</f>
        <v>1</v>
      </c>
      <c r="F250" s="297">
        <f>'A7,8-B7,8-F7,6'!F48</f>
        <v>228979</v>
      </c>
      <c r="G250" s="298">
        <f t="shared" si="25"/>
        <v>228979</v>
      </c>
      <c r="K250" s="574"/>
    </row>
    <row r="251" spans="1:11" s="215" customFormat="1" ht="15" customHeight="1" x14ac:dyDescent="0.3">
      <c r="A251" s="308"/>
      <c r="B251" s="92" t="s">
        <v>1203</v>
      </c>
      <c r="C251" s="61" t="s">
        <v>1011</v>
      </c>
      <c r="D251" s="5" t="s">
        <v>21</v>
      </c>
      <c r="E251" s="58">
        <f>'M.C. '!K662</f>
        <v>1</v>
      </c>
      <c r="F251" s="297">
        <f>'A7,9-F7,7'!F48</f>
        <v>158142</v>
      </c>
      <c r="G251" s="298">
        <f t="shared" si="25"/>
        <v>158142</v>
      </c>
      <c r="K251" s="574"/>
    </row>
    <row r="252" spans="1:11" s="215" customFormat="1" ht="15" customHeight="1" x14ac:dyDescent="0.3">
      <c r="A252" s="308"/>
      <c r="B252" s="403" t="s">
        <v>1189</v>
      </c>
      <c r="C252" s="409" t="s">
        <v>254</v>
      </c>
      <c r="D252" s="410"/>
      <c r="E252" s="400"/>
      <c r="F252" s="401"/>
      <c r="G252" s="93">
        <f>SUM(G253:G253)</f>
        <v>3994199.7</v>
      </c>
      <c r="K252" s="574"/>
    </row>
    <row r="253" spans="1:11" s="215" customFormat="1" ht="15" customHeight="1" x14ac:dyDescent="0.3">
      <c r="A253" s="308"/>
      <c r="B253" s="29" t="s">
        <v>1190</v>
      </c>
      <c r="C253" s="411" t="s">
        <v>711</v>
      </c>
      <c r="D253" s="412" t="s">
        <v>8</v>
      </c>
      <c r="E253" s="30">
        <f>'M.C. '!K665</f>
        <v>133.34</v>
      </c>
      <c r="F253" s="357">
        <f>'A8,1-B9,1-C7,1-F8,1'!F48</f>
        <v>29955</v>
      </c>
      <c r="G253" s="298">
        <f t="shared" si="25"/>
        <v>3994199.7</v>
      </c>
      <c r="K253" s="574"/>
    </row>
    <row r="254" spans="1:11" s="215" customFormat="1" ht="15" customHeight="1" x14ac:dyDescent="0.3">
      <c r="A254" s="308"/>
      <c r="B254" s="403" t="s">
        <v>1191</v>
      </c>
      <c r="C254" s="404" t="s">
        <v>856</v>
      </c>
      <c r="D254" s="405"/>
      <c r="E254" s="400"/>
      <c r="F254" s="401"/>
      <c r="G254" s="93">
        <f>SUM(G255:G258)</f>
        <v>13246521.589999998</v>
      </c>
      <c r="K254" s="574"/>
    </row>
    <row r="255" spans="1:11" s="215" customFormat="1" ht="15" customHeight="1" x14ac:dyDescent="0.3">
      <c r="A255" s="308"/>
      <c r="B255" s="29" t="s">
        <v>1192</v>
      </c>
      <c r="C255" s="328" t="s">
        <v>1015</v>
      </c>
      <c r="D255" s="412" t="s">
        <v>8</v>
      </c>
      <c r="E255" s="30">
        <f>'M.C. '!K670</f>
        <v>43.01</v>
      </c>
      <c r="F255" s="357">
        <f>'A10,2-B10,2-C9,1'!F48</f>
        <v>70907</v>
      </c>
      <c r="G255" s="298">
        <f t="shared" si="25"/>
        <v>3049710.07</v>
      </c>
      <c r="K255" s="574"/>
    </row>
    <row r="256" spans="1:11" s="215" customFormat="1" ht="15" customHeight="1" x14ac:dyDescent="0.3">
      <c r="A256" s="308"/>
      <c r="B256" s="29" t="s">
        <v>1193</v>
      </c>
      <c r="C256" s="328" t="s">
        <v>364</v>
      </c>
      <c r="D256" s="6" t="s">
        <v>8</v>
      </c>
      <c r="E256" s="30">
        <f>'M.C. '!K672</f>
        <v>50.36</v>
      </c>
      <c r="F256" s="357">
        <f>'A10,1-C9,2-F9,2'!F48</f>
        <v>35876</v>
      </c>
      <c r="G256" s="298">
        <f t="shared" si="25"/>
        <v>1806715.3599999999</v>
      </c>
      <c r="K256" s="574"/>
    </row>
    <row r="257" spans="1:11" s="215" customFormat="1" ht="13.5" customHeight="1" x14ac:dyDescent="0.3">
      <c r="A257" s="308"/>
      <c r="B257" s="29" t="s">
        <v>1194</v>
      </c>
      <c r="C257" s="328" t="s">
        <v>1016</v>
      </c>
      <c r="D257" s="412" t="s">
        <v>8</v>
      </c>
      <c r="E257" s="30">
        <f>'M.C. '!K675</f>
        <v>50.36</v>
      </c>
      <c r="F257" s="357">
        <f>'A10,3-B10,3-C9,3-F9,3'!F48</f>
        <v>154596</v>
      </c>
      <c r="G257" s="298">
        <f t="shared" si="25"/>
        <v>7785454.5599999996</v>
      </c>
      <c r="K257" s="574"/>
    </row>
    <row r="258" spans="1:11" s="215" customFormat="1" ht="13.5" customHeight="1" x14ac:dyDescent="0.3">
      <c r="A258" s="308"/>
      <c r="B258" s="29" t="s">
        <v>1195</v>
      </c>
      <c r="C258" s="328" t="s">
        <v>713</v>
      </c>
      <c r="D258" s="29" t="s">
        <v>19</v>
      </c>
      <c r="E258" s="30">
        <f>'M.C. '!K678</f>
        <v>31.65</v>
      </c>
      <c r="F258" s="357">
        <f>'A10,4-B10,4-C9,4-F9,4'!F48</f>
        <v>19104</v>
      </c>
      <c r="G258" s="298">
        <f t="shared" si="25"/>
        <v>604641.6</v>
      </c>
      <c r="K258" s="574"/>
    </row>
    <row r="259" spans="1:11" s="215" customFormat="1" ht="13.5" customHeight="1" x14ac:dyDescent="0.3">
      <c r="A259" s="308"/>
      <c r="B259" s="299" t="s">
        <v>1196</v>
      </c>
      <c r="C259" s="64" t="s">
        <v>259</v>
      </c>
      <c r="D259" s="64"/>
      <c r="E259" s="295"/>
      <c r="F259" s="296"/>
      <c r="G259" s="93">
        <f>SUM(G260:G261)</f>
        <v>1329045.52</v>
      </c>
      <c r="K259" s="574"/>
    </row>
    <row r="260" spans="1:11" s="215" customFormat="1" ht="13.5" customHeight="1" x14ac:dyDescent="0.3">
      <c r="A260" s="308"/>
      <c r="B260" s="92" t="s">
        <v>1197</v>
      </c>
      <c r="C260" s="63" t="s">
        <v>764</v>
      </c>
      <c r="D260" s="92" t="s">
        <v>8</v>
      </c>
      <c r="E260" s="58">
        <f>'M.C. '!K682</f>
        <v>3.84</v>
      </c>
      <c r="F260" s="297">
        <f>'A11,1-F10,1'!F48</f>
        <v>216428</v>
      </c>
      <c r="G260" s="298">
        <f t="shared" si="25"/>
        <v>831083.52000000002</v>
      </c>
      <c r="K260" s="574"/>
    </row>
    <row r="261" spans="1:11" s="215" customFormat="1" ht="13.5" customHeight="1" x14ac:dyDescent="0.3">
      <c r="A261" s="308"/>
      <c r="B261" s="92" t="s">
        <v>1204</v>
      </c>
      <c r="C261" s="62" t="s">
        <v>767</v>
      </c>
      <c r="D261" s="92" t="s">
        <v>21</v>
      </c>
      <c r="E261" s="58">
        <f>'M.C. '!K685</f>
        <v>1</v>
      </c>
      <c r="F261" s="297">
        <f>'A11,2-F10,2'!F48</f>
        <v>497962</v>
      </c>
      <c r="G261" s="298">
        <f t="shared" si="25"/>
        <v>497962</v>
      </c>
      <c r="K261" s="574"/>
    </row>
    <row r="262" spans="1:11" s="215" customFormat="1" ht="13.5" customHeight="1" x14ac:dyDescent="0.3">
      <c r="A262" s="308"/>
      <c r="B262" s="299" t="s">
        <v>1198</v>
      </c>
      <c r="C262" s="395" t="s">
        <v>262</v>
      </c>
      <c r="D262" s="559"/>
      <c r="E262" s="302"/>
      <c r="F262" s="303"/>
      <c r="G262" s="93">
        <f>SUM(G263:G266)</f>
        <v>4013812.83</v>
      </c>
      <c r="K262" s="574"/>
    </row>
    <row r="263" spans="1:11" s="215" customFormat="1" ht="13.5" customHeight="1" x14ac:dyDescent="0.3">
      <c r="A263" s="308"/>
      <c r="B263" s="301" t="s">
        <v>1199</v>
      </c>
      <c r="C263" s="276" t="s">
        <v>948</v>
      </c>
      <c r="D263" s="29" t="s">
        <v>19</v>
      </c>
      <c r="E263" s="58">
        <f>'M.C. '!K688</f>
        <v>58.8</v>
      </c>
      <c r="F263" s="297">
        <f>'D3,1'!F48</f>
        <v>2907</v>
      </c>
      <c r="G263" s="298">
        <f t="shared" si="25"/>
        <v>170931.6</v>
      </c>
      <c r="K263" s="574"/>
    </row>
    <row r="264" spans="1:11" s="215" customFormat="1" ht="13.5" customHeight="1" x14ac:dyDescent="0.3">
      <c r="A264" s="308"/>
      <c r="B264" s="301" t="s">
        <v>1205</v>
      </c>
      <c r="C264" s="276" t="s">
        <v>949</v>
      </c>
      <c r="D264" s="29" t="s">
        <v>19</v>
      </c>
      <c r="E264" s="58">
        <f>'M.C. '!K690</f>
        <v>7.77</v>
      </c>
      <c r="F264" s="297">
        <f>'D3,2'!F48</f>
        <v>23401</v>
      </c>
      <c r="G264" s="298">
        <f t="shared" si="25"/>
        <v>181825.77</v>
      </c>
      <c r="K264" s="574"/>
    </row>
    <row r="265" spans="1:11" s="215" customFormat="1" ht="13.5" customHeight="1" x14ac:dyDescent="0.3">
      <c r="A265" s="308"/>
      <c r="B265" s="301" t="s">
        <v>1206</v>
      </c>
      <c r="C265" s="61" t="s">
        <v>715</v>
      </c>
      <c r="D265" s="6" t="s">
        <v>8</v>
      </c>
      <c r="E265" s="58">
        <f>'M.C. '!K692</f>
        <v>72.56</v>
      </c>
      <c r="F265" s="297">
        <f>'A12,1-C11,1-F11,3'!F48</f>
        <v>25569</v>
      </c>
      <c r="G265" s="298">
        <f t="shared" si="25"/>
        <v>1855286.6400000001</v>
      </c>
      <c r="K265" s="574"/>
    </row>
    <row r="266" spans="1:11" s="215" customFormat="1" ht="13.5" customHeight="1" x14ac:dyDescent="0.3">
      <c r="A266" s="308"/>
      <c r="B266" s="301" t="s">
        <v>1207</v>
      </c>
      <c r="C266" s="61" t="s">
        <v>366</v>
      </c>
      <c r="D266" s="6" t="s">
        <v>8</v>
      </c>
      <c r="E266" s="58">
        <f>'M.C. '!K696</f>
        <v>54.93</v>
      </c>
      <c r="F266" s="297">
        <f>'A12,2-B12,1-C11,2-F11,4'!F48</f>
        <v>32874</v>
      </c>
      <c r="G266" s="298">
        <f t="shared" si="25"/>
        <v>1805768.82</v>
      </c>
      <c r="K266" s="574"/>
    </row>
    <row r="267" spans="1:11" s="215" customFormat="1" ht="13.5" customHeight="1" x14ac:dyDescent="0.3">
      <c r="A267" s="308"/>
      <c r="B267" s="300" t="s">
        <v>1208</v>
      </c>
      <c r="C267" s="64" t="s">
        <v>269</v>
      </c>
      <c r="D267" s="295"/>
      <c r="E267" s="295"/>
      <c r="F267" s="296"/>
      <c r="G267" s="93">
        <f>SUM(G268:G268)</f>
        <v>714339.15</v>
      </c>
      <c r="I267" s="571">
        <f>E14+E86+E138+E196+E212+E226</f>
        <v>655.83999999999992</v>
      </c>
      <c r="K267" s="574"/>
    </row>
    <row r="268" spans="1:11" s="215" customFormat="1" ht="13.5" customHeight="1" x14ac:dyDescent="0.3">
      <c r="A268" s="308"/>
      <c r="B268" s="92" t="s">
        <v>1209</v>
      </c>
      <c r="C268" s="61" t="s">
        <v>863</v>
      </c>
      <c r="D268" s="92" t="s">
        <v>8</v>
      </c>
      <c r="E268" s="58">
        <f>'M.C. '!K701</f>
        <v>7.35</v>
      </c>
      <c r="F268" s="297">
        <f>'A13,3-C12,2-F12,1'!F48</f>
        <v>97189</v>
      </c>
      <c r="G268" s="298">
        <f t="shared" si="25"/>
        <v>714339.15</v>
      </c>
      <c r="K268" s="574"/>
    </row>
    <row r="269" spans="1:11" s="215" customFormat="1" ht="13.5" customHeight="1" x14ac:dyDescent="0.3">
      <c r="A269" s="308"/>
      <c r="B269" s="300" t="s">
        <v>1210</v>
      </c>
      <c r="C269" s="64" t="s">
        <v>631</v>
      </c>
      <c r="D269" s="300"/>
      <c r="E269" s="302"/>
      <c r="F269" s="303"/>
      <c r="G269" s="93">
        <f>SUM(G270:G270)</f>
        <v>126783.09</v>
      </c>
      <c r="K269" s="574"/>
    </row>
    <row r="270" spans="1:11" s="215" customFormat="1" ht="13.5" customHeight="1" x14ac:dyDescent="0.3">
      <c r="A270" s="308"/>
      <c r="B270" s="92" t="s">
        <v>1211</v>
      </c>
      <c r="C270" s="61" t="s">
        <v>640</v>
      </c>
      <c r="D270" s="92" t="s">
        <v>8</v>
      </c>
      <c r="E270" s="58">
        <f>'M.C. '!K704</f>
        <v>54.39</v>
      </c>
      <c r="F270" s="297">
        <f>'A14,1-B14,1-C13,1-E4,1-F13,1'!F48</f>
        <v>2331</v>
      </c>
      <c r="G270" s="298">
        <f t="shared" si="25"/>
        <v>126783.09</v>
      </c>
      <c r="K270" s="574"/>
    </row>
    <row r="271" spans="1:11" x14ac:dyDescent="0.3">
      <c r="B271" s="729"/>
      <c r="C271" s="729"/>
      <c r="D271" s="729"/>
      <c r="E271" s="729"/>
      <c r="F271" s="729"/>
      <c r="G271" s="729"/>
      <c r="H271" s="1" t="s">
        <v>124</v>
      </c>
    </row>
    <row r="272" spans="1:11" x14ac:dyDescent="0.3">
      <c r="B272" s="96"/>
      <c r="C272" s="719" t="s">
        <v>1034</v>
      </c>
      <c r="D272" s="720"/>
      <c r="E272" s="721"/>
      <c r="F272" s="109"/>
      <c r="G272" s="97">
        <f>G12+G84+G136+G194+G210+G224</f>
        <v>368077370.04000002</v>
      </c>
    </row>
    <row r="273" spans="2:14" x14ac:dyDescent="0.3">
      <c r="B273" s="56"/>
      <c r="C273" s="722" t="s">
        <v>620</v>
      </c>
      <c r="D273" s="723"/>
      <c r="E273" s="724"/>
      <c r="F273" s="110">
        <v>0.24</v>
      </c>
      <c r="G273" s="94">
        <f>G272*F273</f>
        <v>88338568.809599996</v>
      </c>
      <c r="K273" s="575">
        <f>+K12+K84+K136+K194+K210+K224</f>
        <v>483285586.86251998</v>
      </c>
      <c r="L273" s="10">
        <f>G279-K273</f>
        <v>0</v>
      </c>
    </row>
    <row r="274" spans="2:14" x14ac:dyDescent="0.3">
      <c r="B274" s="56"/>
      <c r="C274" s="722" t="s">
        <v>621</v>
      </c>
      <c r="D274" s="723"/>
      <c r="E274" s="724"/>
      <c r="F274" s="110">
        <v>0.01</v>
      </c>
      <c r="G274" s="94">
        <f>G272*F274</f>
        <v>3680773.7004000004</v>
      </c>
      <c r="N274" s="10">
        <f>K12+K84+K136+M194+N194+K210+K224</f>
        <v>483285586.86251998</v>
      </c>
    </row>
    <row r="275" spans="2:14" x14ac:dyDescent="0.3">
      <c r="B275" s="56"/>
      <c r="C275" s="722" t="s">
        <v>622</v>
      </c>
      <c r="D275" s="723"/>
      <c r="E275" s="724"/>
      <c r="F275" s="95">
        <v>0.05</v>
      </c>
      <c r="G275" s="94">
        <f>G272*F275</f>
        <v>18403868.502</v>
      </c>
    </row>
    <row r="276" spans="2:14" x14ac:dyDescent="0.3">
      <c r="B276" s="96"/>
      <c r="C276" s="719" t="s">
        <v>1035</v>
      </c>
      <c r="D276" s="720"/>
      <c r="E276" s="721"/>
      <c r="F276" s="109"/>
      <c r="G276" s="97">
        <f>SUM(G273:G275)</f>
        <v>110423211.01199999</v>
      </c>
    </row>
    <row r="277" spans="2:14" x14ac:dyDescent="0.3">
      <c r="B277" s="492"/>
      <c r="C277" s="725" t="s">
        <v>1036</v>
      </c>
      <c r="D277" s="725"/>
      <c r="E277" s="725"/>
      <c r="F277" s="493"/>
      <c r="G277" s="494">
        <f>G272+G276</f>
        <v>478500581.05200005</v>
      </c>
      <c r="H277" s="72"/>
      <c r="I277" s="10"/>
    </row>
    <row r="278" spans="2:14" x14ac:dyDescent="0.3">
      <c r="B278" s="29"/>
      <c r="C278" s="714" t="s">
        <v>1032</v>
      </c>
      <c r="D278" s="714"/>
      <c r="E278" s="714"/>
      <c r="F278" s="110">
        <v>0.01</v>
      </c>
      <c r="G278" s="94">
        <f>G277*F278</f>
        <v>4785005.8105200008</v>
      </c>
    </row>
    <row r="279" spans="2:14" x14ac:dyDescent="0.3">
      <c r="B279" s="497"/>
      <c r="C279" s="715" t="s">
        <v>1037</v>
      </c>
      <c r="D279" s="715"/>
      <c r="E279" s="715"/>
      <c r="F279" s="495"/>
      <c r="G279" s="496">
        <f>G277+G278</f>
        <v>483285586.86252004</v>
      </c>
      <c r="I279" s="214">
        <v>483285586.86251998</v>
      </c>
    </row>
    <row r="280" spans="2:14" x14ac:dyDescent="0.3">
      <c r="B280" s="29"/>
      <c r="C280" s="714" t="s">
        <v>1033</v>
      </c>
      <c r="D280" s="714"/>
      <c r="E280" s="714"/>
      <c r="F280" s="110">
        <v>7.0000000000000007E-2</v>
      </c>
      <c r="G280" s="94">
        <f>G279*F280</f>
        <v>33829991.080376409</v>
      </c>
      <c r="H280" s="10"/>
      <c r="I280" s="10"/>
    </row>
    <row r="281" spans="2:14" x14ac:dyDescent="0.3">
      <c r="B281" s="498"/>
      <c r="C281" s="716" t="s">
        <v>1038</v>
      </c>
      <c r="D281" s="716"/>
      <c r="E281" s="716"/>
      <c r="F281" s="499"/>
      <c r="G281" s="500">
        <f>G279+G280</f>
        <v>517115577.94289643</v>
      </c>
      <c r="J281" s="10">
        <f>342991032+40000000+109986884+26813848</f>
        <v>519791764</v>
      </c>
      <c r="K281" s="576">
        <f>J281-G281</f>
        <v>2676186.0571035743</v>
      </c>
      <c r="L281" s="291"/>
      <c r="M281" s="572">
        <v>33829991.079999998</v>
      </c>
    </row>
    <row r="282" spans="2:14" x14ac:dyDescent="0.3">
      <c r="C282" s="35"/>
      <c r="D282" s="35"/>
      <c r="E282" s="35"/>
      <c r="F282" s="68"/>
      <c r="G282" s="36"/>
      <c r="J282" s="10"/>
    </row>
    <row r="283" spans="2:14" x14ac:dyDescent="0.3">
      <c r="C283" s="35"/>
      <c r="D283" s="35"/>
      <c r="E283" s="35"/>
      <c r="F283" s="68"/>
      <c r="G283" s="36"/>
      <c r="J283" s="10"/>
    </row>
    <row r="284" spans="2:14" x14ac:dyDescent="0.3">
      <c r="C284" s="35"/>
      <c r="D284" s="35"/>
      <c r="E284" s="35"/>
      <c r="F284" s="68"/>
      <c r="G284" s="36"/>
      <c r="J284" s="10"/>
    </row>
    <row r="285" spans="2:14" x14ac:dyDescent="0.3">
      <c r="C285" s="35"/>
      <c r="D285" s="35"/>
      <c r="E285" s="35"/>
      <c r="F285" s="68"/>
      <c r="G285" s="36"/>
      <c r="I285" s="10"/>
    </row>
    <row r="286" spans="2:14" x14ac:dyDescent="0.3">
      <c r="C286" s="28"/>
    </row>
    <row r="287" spans="2:14" x14ac:dyDescent="0.3">
      <c r="C287" s="309" t="s">
        <v>691</v>
      </c>
      <c r="E287" s="717" t="s">
        <v>122</v>
      </c>
      <c r="F287" s="717"/>
      <c r="G287" s="717"/>
    </row>
    <row r="288" spans="2:14" x14ac:dyDescent="0.3">
      <c r="C288" s="28" t="s">
        <v>121</v>
      </c>
      <c r="E288" s="718" t="s">
        <v>123</v>
      </c>
      <c r="F288" s="718"/>
      <c r="G288" s="718"/>
    </row>
  </sheetData>
  <mergeCells count="24">
    <mergeCell ref="C281:E281"/>
    <mergeCell ref="C280:E280"/>
    <mergeCell ref="C278:E278"/>
    <mergeCell ref="C136:F136"/>
    <mergeCell ref="C194:F194"/>
    <mergeCell ref="C274:E274"/>
    <mergeCell ref="C275:E275"/>
    <mergeCell ref="C276:E276"/>
    <mergeCell ref="E287:G287"/>
    <mergeCell ref="E288:G288"/>
    <mergeCell ref="B3:G7"/>
    <mergeCell ref="B9:G9"/>
    <mergeCell ref="B10:G10"/>
    <mergeCell ref="C12:F12"/>
    <mergeCell ref="B83:G83"/>
    <mergeCell ref="C84:F84"/>
    <mergeCell ref="B271:G271"/>
    <mergeCell ref="B8:G8"/>
    <mergeCell ref="C279:E279"/>
    <mergeCell ref="C224:F224"/>
    <mergeCell ref="C210:F210"/>
    <mergeCell ref="C277:E277"/>
    <mergeCell ref="C272:E272"/>
    <mergeCell ref="C273:E273"/>
  </mergeCells>
  <phoneticPr fontId="14" type="noConversion"/>
  <conditionalFormatting sqref="C227">
    <cfRule type="expression" dxfId="3" priority="6">
      <formula>ROW()=CELL("FILA")</formula>
    </cfRule>
  </conditionalFormatting>
  <conditionalFormatting sqref="C228:D235">
    <cfRule type="expression" dxfId="2" priority="1">
      <formula>ROW()=CELL("FILA")</formula>
    </cfRule>
  </conditionalFormatting>
  <pageMargins left="0.70866141732283472" right="0.70866141732283472" top="0.59055118110236227" bottom="0.59055118110236227" header="0.31496062992125984" footer="0.31496062992125984"/>
  <pageSetup paperSize="9" scale="60" fitToHeight="0" orientation="portrait" r:id="rId1"/>
  <rowBreaks count="3" manualBreakCount="3">
    <brk id="67" min="1" max="6" man="1"/>
    <brk id="139" min="1" max="6" man="1"/>
    <brk id="216" min="1" max="6" man="1"/>
  </rowBreaks>
  <ignoredErrors>
    <ignoredError sqref="G105:G134 G88:G103 G74:G76 G185:G193 G195:G200 G64:G68 G79:G81 G31:G58 G60:G62 G70:G72 G213:G217 G207 G221 G227:G270 G279:G280 G20:G25 G27:G29 G17:G18 G16 G19 G26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578F3-EB9B-4889-9463-9B3D3A7408C2}">
  <sheetPr>
    <pageSetUpPr fitToPage="1"/>
  </sheetPr>
  <dimension ref="A1:O288"/>
  <sheetViews>
    <sheetView view="pageBreakPreview" topLeftCell="B1" zoomScale="80" zoomScaleNormal="80" zoomScaleSheetLayoutView="80" workbookViewId="0">
      <pane ySplit="1" topLeftCell="A2" activePane="bottomLeft" state="frozen"/>
      <selection activeCell="A51" sqref="A51:B51"/>
      <selection pane="bottomLeft" activeCell="J9" sqref="J9"/>
    </sheetView>
  </sheetViews>
  <sheetFormatPr baseColWidth="10" defaultColWidth="11.44140625" defaultRowHeight="15.6" x14ac:dyDescent="0.3"/>
  <cols>
    <col min="1" max="1" width="6.6640625" style="308" customWidth="1"/>
    <col min="2" max="2" width="8.109375" style="28" customWidth="1"/>
    <col min="3" max="3" width="81.109375" style="34" customWidth="1"/>
    <col min="4" max="4" width="10" style="28" customWidth="1"/>
    <col min="5" max="5" width="13.88671875" style="28" customWidth="1"/>
    <col min="6" max="6" width="14.6640625" style="69" customWidth="1"/>
    <col min="7" max="7" width="16.5546875" style="37" customWidth="1"/>
    <col min="8" max="8" width="24.5546875" style="1" customWidth="1"/>
    <col min="9" max="9" width="16.44140625" style="1" customWidth="1"/>
    <col min="10" max="10" width="16.6640625" style="1" customWidth="1"/>
    <col min="11" max="11" width="16" style="34" bestFit="1" customWidth="1"/>
    <col min="12" max="12" width="17.6640625" style="1" customWidth="1"/>
    <col min="13" max="13" width="15" style="1" bestFit="1" customWidth="1"/>
    <col min="14" max="14" width="22.109375" style="1" customWidth="1"/>
    <col min="15" max="15" width="19.5546875" style="1" customWidth="1"/>
    <col min="16" max="16384" width="11.44140625" style="1"/>
  </cols>
  <sheetData>
    <row r="1" spans="1:11" x14ac:dyDescent="0.3">
      <c r="B1" s="14" t="s">
        <v>0</v>
      </c>
      <c r="C1" s="14" t="s">
        <v>1</v>
      </c>
      <c r="D1" s="14" t="s">
        <v>2</v>
      </c>
      <c r="E1" s="14" t="s">
        <v>3</v>
      </c>
      <c r="F1" s="65" t="s">
        <v>4</v>
      </c>
      <c r="G1" s="31" t="s">
        <v>5</v>
      </c>
    </row>
    <row r="3" spans="1:11" ht="16.5" customHeight="1" x14ac:dyDescent="0.3">
      <c r="B3" s="730"/>
      <c r="C3" s="730"/>
      <c r="D3" s="730"/>
      <c r="E3" s="730"/>
      <c r="F3" s="730"/>
      <c r="G3" s="730"/>
    </row>
    <row r="4" spans="1:11" ht="18" customHeight="1" x14ac:dyDescent="0.3">
      <c r="B4" s="730"/>
      <c r="C4" s="730"/>
      <c r="D4" s="730"/>
      <c r="E4" s="730"/>
      <c r="F4" s="730"/>
      <c r="G4" s="730"/>
    </row>
    <row r="5" spans="1:11" ht="16.5" customHeight="1" x14ac:dyDescent="0.3">
      <c r="B5" s="730"/>
      <c r="C5" s="730"/>
      <c r="D5" s="730"/>
      <c r="E5" s="730"/>
      <c r="F5" s="730"/>
      <c r="G5" s="730"/>
    </row>
    <row r="6" spans="1:11" ht="16.5" customHeight="1" x14ac:dyDescent="0.3">
      <c r="B6" s="730"/>
      <c r="C6" s="730"/>
      <c r="D6" s="730"/>
      <c r="E6" s="730"/>
      <c r="F6" s="730"/>
      <c r="G6" s="730"/>
    </row>
    <row r="7" spans="1:11" ht="16.5" customHeight="1" x14ac:dyDescent="0.3">
      <c r="B7" s="730"/>
      <c r="C7" s="730"/>
      <c r="D7" s="730"/>
      <c r="E7" s="730"/>
      <c r="F7" s="730"/>
      <c r="G7" s="730"/>
    </row>
    <row r="8" spans="1:11" ht="16.5" customHeight="1" x14ac:dyDescent="0.3">
      <c r="B8" s="730"/>
      <c r="C8" s="730"/>
      <c r="D8" s="730"/>
      <c r="E8" s="730"/>
      <c r="F8" s="730"/>
      <c r="G8" s="730"/>
    </row>
    <row r="9" spans="1:11" ht="39.75" customHeight="1" x14ac:dyDescent="0.3">
      <c r="B9" s="731" t="s">
        <v>1301</v>
      </c>
      <c r="C9" s="731"/>
      <c r="D9" s="731"/>
      <c r="E9" s="731"/>
      <c r="F9" s="731"/>
      <c r="G9" s="731"/>
    </row>
    <row r="10" spans="1:11" x14ac:dyDescent="0.3">
      <c r="B10" s="732"/>
      <c r="C10" s="732"/>
      <c r="D10" s="732"/>
      <c r="E10" s="732"/>
      <c r="F10" s="732"/>
      <c r="G10" s="732"/>
    </row>
    <row r="11" spans="1:11" ht="31.2" x14ac:dyDescent="0.3">
      <c r="B11" s="14" t="s">
        <v>0</v>
      </c>
      <c r="C11" s="14" t="s">
        <v>1</v>
      </c>
      <c r="D11" s="14" t="s">
        <v>23</v>
      </c>
      <c r="E11" s="14" t="s">
        <v>12</v>
      </c>
      <c r="F11" s="66" t="s">
        <v>150</v>
      </c>
      <c r="G11" s="15" t="s">
        <v>151</v>
      </c>
    </row>
    <row r="12" spans="1:11" ht="33.75" customHeight="1" x14ac:dyDescent="0.3">
      <c r="A12" s="308">
        <v>12</v>
      </c>
      <c r="B12" s="16"/>
      <c r="C12" s="727"/>
      <c r="D12" s="727"/>
      <c r="E12" s="727"/>
      <c r="F12" s="727"/>
      <c r="G12" s="32"/>
      <c r="H12" s="91"/>
      <c r="I12" s="291"/>
      <c r="J12" s="291"/>
      <c r="K12" s="573"/>
    </row>
    <row r="13" spans="1:11" x14ac:dyDescent="0.3">
      <c r="A13" s="308">
        <v>13</v>
      </c>
      <c r="B13" s="17"/>
      <c r="C13" s="18"/>
      <c r="D13" s="18"/>
      <c r="E13" s="18"/>
      <c r="F13" s="67"/>
      <c r="G13" s="33"/>
    </row>
    <row r="14" spans="1:11" x14ac:dyDescent="0.3">
      <c r="A14" s="308">
        <v>14</v>
      </c>
      <c r="B14" s="292"/>
      <c r="C14" s="4"/>
      <c r="D14" s="5"/>
      <c r="E14" s="58"/>
      <c r="F14" s="293"/>
      <c r="G14" s="294"/>
      <c r="I14" s="10"/>
    </row>
    <row r="15" spans="1:11" s="215" customFormat="1" x14ac:dyDescent="0.3">
      <c r="A15" s="308">
        <v>15</v>
      </c>
      <c r="B15" s="292"/>
      <c r="C15" s="4"/>
      <c r="D15" s="5"/>
      <c r="E15" s="58"/>
      <c r="F15" s="293"/>
      <c r="G15" s="294"/>
      <c r="K15" s="574"/>
    </row>
    <row r="16" spans="1:11" x14ac:dyDescent="0.3">
      <c r="A16" s="308">
        <v>16</v>
      </c>
      <c r="B16" s="19"/>
      <c r="C16" s="18"/>
      <c r="D16" s="18"/>
      <c r="E16" s="295"/>
      <c r="F16" s="296"/>
      <c r="G16" s="93"/>
    </row>
    <row r="17" spans="1:11" s="215" customFormat="1" x14ac:dyDescent="0.3">
      <c r="A17" s="308">
        <v>17</v>
      </c>
      <c r="B17" s="92"/>
      <c r="C17" s="61"/>
      <c r="D17" s="92"/>
      <c r="E17" s="58"/>
      <c r="F17" s="297"/>
      <c r="G17" s="298"/>
      <c r="K17" s="574"/>
    </row>
    <row r="18" spans="1:11" s="215" customFormat="1" x14ac:dyDescent="0.3">
      <c r="A18" s="308">
        <v>18</v>
      </c>
      <c r="B18" s="92"/>
      <c r="C18" s="61"/>
      <c r="D18" s="92"/>
      <c r="E18" s="58"/>
      <c r="F18" s="297"/>
      <c r="G18" s="298"/>
      <c r="K18" s="574"/>
    </row>
    <row r="19" spans="1:11" x14ac:dyDescent="0.3">
      <c r="A19" s="308">
        <v>19</v>
      </c>
      <c r="B19" s="299"/>
      <c r="C19" s="64"/>
      <c r="D19" s="64"/>
      <c r="E19" s="295"/>
      <c r="F19" s="296"/>
      <c r="G19" s="93"/>
    </row>
    <row r="20" spans="1:11" s="215" customFormat="1" x14ac:dyDescent="0.3">
      <c r="A20" s="308">
        <v>20</v>
      </c>
      <c r="B20" s="92"/>
      <c r="C20" s="59"/>
      <c r="D20" s="92"/>
      <c r="E20" s="58"/>
      <c r="F20" s="297"/>
      <c r="G20" s="298"/>
      <c r="K20" s="574"/>
    </row>
    <row r="21" spans="1:11" x14ac:dyDescent="0.3">
      <c r="A21" s="308">
        <v>21</v>
      </c>
      <c r="B21" s="92"/>
      <c r="C21" s="61"/>
      <c r="D21" s="92"/>
      <c r="E21" s="58"/>
      <c r="F21" s="297"/>
      <c r="G21" s="298"/>
    </row>
    <row r="22" spans="1:11" x14ac:dyDescent="0.3">
      <c r="A22" s="308">
        <v>22</v>
      </c>
      <c r="B22" s="92"/>
      <c r="C22" s="61"/>
      <c r="D22" s="92"/>
      <c r="E22" s="58"/>
      <c r="F22" s="297"/>
      <c r="G22" s="298"/>
    </row>
    <row r="23" spans="1:11" x14ac:dyDescent="0.3">
      <c r="A23" s="308">
        <v>23</v>
      </c>
      <c r="B23" s="92"/>
      <c r="C23" s="62"/>
      <c r="D23" s="92"/>
      <c r="E23" s="58"/>
      <c r="F23" s="297"/>
      <c r="G23" s="298"/>
    </row>
    <row r="24" spans="1:11" x14ac:dyDescent="0.3">
      <c r="A24" s="308">
        <v>24</v>
      </c>
      <c r="B24" s="92"/>
      <c r="C24" s="61"/>
      <c r="D24" s="92"/>
      <c r="E24" s="58"/>
      <c r="F24" s="297"/>
      <c r="G24" s="298"/>
    </row>
    <row r="25" spans="1:11" x14ac:dyDescent="0.3">
      <c r="A25" s="308">
        <v>25</v>
      </c>
      <c r="B25" s="92"/>
      <c r="C25" s="61"/>
      <c r="D25" s="92"/>
      <c r="E25" s="58"/>
      <c r="F25" s="297"/>
      <c r="G25" s="298"/>
    </row>
    <row r="26" spans="1:11" x14ac:dyDescent="0.3">
      <c r="A26" s="308">
        <v>26</v>
      </c>
      <c r="B26" s="299"/>
      <c r="C26" s="64"/>
      <c r="D26" s="64"/>
      <c r="E26" s="295"/>
      <c r="F26" s="296"/>
      <c r="G26" s="93"/>
    </row>
    <row r="27" spans="1:11" s="215" customFormat="1" x14ac:dyDescent="0.3">
      <c r="A27" s="308">
        <v>27</v>
      </c>
      <c r="B27" s="92"/>
      <c r="C27" s="61"/>
      <c r="D27" s="92"/>
      <c r="E27" s="58"/>
      <c r="F27" s="297"/>
      <c r="G27" s="298"/>
      <c r="K27" s="574"/>
    </row>
    <row r="28" spans="1:11" x14ac:dyDescent="0.3">
      <c r="A28" s="308">
        <v>28</v>
      </c>
      <c r="B28" s="92"/>
      <c r="C28" s="62"/>
      <c r="D28" s="92"/>
      <c r="E28" s="58"/>
      <c r="F28" s="297"/>
      <c r="G28" s="298"/>
    </row>
    <row r="29" spans="1:11" x14ac:dyDescent="0.3">
      <c r="A29" s="308">
        <v>29</v>
      </c>
      <c r="B29" s="92"/>
      <c r="C29" s="62"/>
      <c r="D29" s="92"/>
      <c r="E29" s="58"/>
      <c r="F29" s="297"/>
      <c r="G29" s="298"/>
    </row>
    <row r="30" spans="1:11" x14ac:dyDescent="0.3">
      <c r="A30" s="308">
        <v>30</v>
      </c>
      <c r="B30" s="299"/>
      <c r="C30" s="64"/>
      <c r="D30" s="64"/>
      <c r="E30" s="295"/>
      <c r="F30" s="296"/>
      <c r="G30" s="93"/>
    </row>
    <row r="31" spans="1:11" x14ac:dyDescent="0.3">
      <c r="A31" s="308">
        <v>31</v>
      </c>
      <c r="B31" s="92"/>
      <c r="C31" s="62"/>
      <c r="D31" s="92"/>
      <c r="E31" s="58"/>
      <c r="F31" s="297"/>
      <c r="G31" s="298"/>
    </row>
    <row r="32" spans="1:11" x14ac:dyDescent="0.3">
      <c r="A32" s="308">
        <v>32</v>
      </c>
      <c r="B32" s="92"/>
      <c r="C32" s="62"/>
      <c r="D32" s="92"/>
      <c r="E32" s="58"/>
      <c r="F32" s="297"/>
      <c r="G32" s="298"/>
    </row>
    <row r="33" spans="1:11" x14ac:dyDescent="0.3">
      <c r="A33" s="308">
        <v>33</v>
      </c>
      <c r="B33" s="92"/>
      <c r="C33" s="62"/>
      <c r="D33" s="92"/>
      <c r="E33" s="58"/>
      <c r="F33" s="297"/>
      <c r="G33" s="298"/>
    </row>
    <row r="34" spans="1:11" x14ac:dyDescent="0.3">
      <c r="A34" s="308">
        <v>34</v>
      </c>
      <c r="B34" s="92"/>
      <c r="C34" s="62"/>
      <c r="D34" s="92"/>
      <c r="E34" s="58"/>
      <c r="F34" s="297"/>
      <c r="G34" s="298"/>
    </row>
    <row r="35" spans="1:11" s="215" customFormat="1" x14ac:dyDescent="0.3">
      <c r="A35" s="308">
        <v>35</v>
      </c>
      <c r="B35" s="92"/>
      <c r="C35" s="61"/>
      <c r="D35" s="92"/>
      <c r="E35" s="58"/>
      <c r="F35" s="297"/>
      <c r="G35" s="298"/>
      <c r="K35" s="574"/>
    </row>
    <row r="36" spans="1:11" x14ac:dyDescent="0.3">
      <c r="A36" s="308">
        <v>36</v>
      </c>
      <c r="B36" s="299"/>
      <c r="C36" s="289"/>
      <c r="D36" s="289"/>
      <c r="E36" s="295"/>
      <c r="F36" s="296"/>
      <c r="G36" s="93"/>
    </row>
    <row r="37" spans="1:11" ht="19.5" customHeight="1" x14ac:dyDescent="0.3">
      <c r="A37" s="308">
        <v>37</v>
      </c>
      <c r="B37" s="92"/>
      <c r="C37" s="314"/>
      <c r="D37" s="5"/>
      <c r="E37" s="58"/>
      <c r="F37" s="297"/>
      <c r="G37" s="298"/>
    </row>
    <row r="38" spans="1:11" x14ac:dyDescent="0.3">
      <c r="A38" s="308">
        <v>38</v>
      </c>
      <c r="B38" s="92"/>
      <c r="C38" s="314"/>
      <c r="D38" s="5"/>
      <c r="E38" s="58"/>
      <c r="F38" s="297"/>
      <c r="G38" s="298"/>
    </row>
    <row r="39" spans="1:11" x14ac:dyDescent="0.3">
      <c r="A39" s="308">
        <v>39</v>
      </c>
      <c r="B39" s="92"/>
      <c r="C39" s="314"/>
      <c r="D39" s="5"/>
      <c r="E39" s="58"/>
      <c r="F39" s="297"/>
      <c r="G39" s="298"/>
    </row>
    <row r="40" spans="1:11" s="215" customFormat="1" x14ac:dyDescent="0.3">
      <c r="A40" s="308">
        <v>40</v>
      </c>
      <c r="B40" s="92"/>
      <c r="C40" s="314"/>
      <c r="D40" s="5"/>
      <c r="E40" s="58"/>
      <c r="F40" s="297"/>
      <c r="G40" s="298"/>
      <c r="K40" s="574"/>
    </row>
    <row r="41" spans="1:11" ht="19.5" customHeight="1" x14ac:dyDescent="0.3">
      <c r="A41" s="308">
        <v>41</v>
      </c>
      <c r="B41" s="92"/>
      <c r="C41" s="314"/>
      <c r="D41" s="5"/>
      <c r="E41" s="58"/>
      <c r="F41" s="297"/>
      <c r="G41" s="298"/>
    </row>
    <row r="42" spans="1:11" x14ac:dyDescent="0.3">
      <c r="A42" s="308">
        <v>42</v>
      </c>
      <c r="B42" s="92"/>
      <c r="C42" s="314"/>
      <c r="D42" s="5"/>
      <c r="E42" s="58"/>
      <c r="F42" s="297"/>
      <c r="G42" s="298"/>
    </row>
    <row r="43" spans="1:11" s="215" customFormat="1" x14ac:dyDescent="0.3">
      <c r="A43" s="308">
        <v>43</v>
      </c>
      <c r="B43" s="92"/>
      <c r="C43" s="314"/>
      <c r="D43" s="5"/>
      <c r="E43" s="58"/>
      <c r="F43" s="297"/>
      <c r="G43" s="298"/>
      <c r="K43" s="574"/>
    </row>
    <row r="44" spans="1:11" x14ac:dyDescent="0.3">
      <c r="A44" s="308">
        <v>44</v>
      </c>
      <c r="B44" s="92"/>
      <c r="C44" s="276"/>
      <c r="D44" s="92"/>
      <c r="E44" s="58"/>
      <c r="F44" s="297"/>
      <c r="G44" s="298"/>
    </row>
    <row r="45" spans="1:11" x14ac:dyDescent="0.3">
      <c r="A45" s="308">
        <v>45</v>
      </c>
      <c r="B45" s="92"/>
      <c r="C45" s="276"/>
      <c r="D45" s="92"/>
      <c r="E45" s="58"/>
      <c r="F45" s="297"/>
      <c r="G45" s="298"/>
    </row>
    <row r="46" spans="1:11" x14ac:dyDescent="0.3">
      <c r="A46" s="308">
        <v>46</v>
      </c>
      <c r="B46" s="300"/>
      <c r="C46" s="64"/>
      <c r="D46" s="64"/>
      <c r="E46" s="295"/>
      <c r="F46" s="296"/>
      <c r="G46" s="93"/>
    </row>
    <row r="47" spans="1:11" s="215" customFormat="1" x14ac:dyDescent="0.3">
      <c r="A47" s="308">
        <v>47</v>
      </c>
      <c r="B47" s="92"/>
      <c r="C47" s="61"/>
      <c r="D47" s="5"/>
      <c r="E47" s="58"/>
      <c r="F47" s="297"/>
      <c r="G47" s="298"/>
      <c r="K47" s="574"/>
    </row>
    <row r="48" spans="1:11" s="215" customFormat="1" x14ac:dyDescent="0.3">
      <c r="A48" s="308">
        <v>48</v>
      </c>
      <c r="B48" s="92"/>
      <c r="C48" s="61"/>
      <c r="D48" s="5"/>
      <c r="E48" s="58"/>
      <c r="F48" s="297"/>
      <c r="G48" s="298"/>
      <c r="K48" s="574"/>
    </row>
    <row r="49" spans="1:11" s="215" customFormat="1" x14ac:dyDescent="0.3">
      <c r="A49" s="308">
        <v>49</v>
      </c>
      <c r="B49" s="92"/>
      <c r="C49" s="61"/>
      <c r="D49" s="5"/>
      <c r="E49" s="58"/>
      <c r="F49" s="297"/>
      <c r="G49" s="298"/>
      <c r="K49" s="574"/>
    </row>
    <row r="50" spans="1:11" s="215" customFormat="1" x14ac:dyDescent="0.3">
      <c r="A50" s="308">
        <v>50</v>
      </c>
      <c r="B50" s="92"/>
      <c r="C50" s="61"/>
      <c r="D50" s="5"/>
      <c r="E50" s="58"/>
      <c r="F50" s="297"/>
      <c r="G50" s="298"/>
      <c r="K50" s="574"/>
    </row>
    <row r="51" spans="1:11" s="215" customFormat="1" x14ac:dyDescent="0.3">
      <c r="A51" s="308">
        <v>51</v>
      </c>
      <c r="B51" s="92"/>
      <c r="C51" s="61"/>
      <c r="D51" s="5"/>
      <c r="E51" s="58"/>
      <c r="F51" s="297"/>
      <c r="G51" s="298"/>
      <c r="K51" s="574"/>
    </row>
    <row r="52" spans="1:11" s="215" customFormat="1" x14ac:dyDescent="0.3">
      <c r="A52" s="308">
        <v>52</v>
      </c>
      <c r="B52" s="92"/>
      <c r="C52" s="61"/>
      <c r="D52" s="5"/>
      <c r="E52" s="58"/>
      <c r="F52" s="297"/>
      <c r="G52" s="298"/>
      <c r="K52" s="574"/>
    </row>
    <row r="53" spans="1:11" s="215" customFormat="1" x14ac:dyDescent="0.3">
      <c r="A53" s="308">
        <v>53</v>
      </c>
      <c r="B53" s="92"/>
      <c r="C53" s="61"/>
      <c r="D53" s="5"/>
      <c r="E53" s="58"/>
      <c r="F53" s="297"/>
      <c r="G53" s="298"/>
      <c r="K53" s="574"/>
    </row>
    <row r="54" spans="1:11" s="215" customFormat="1" x14ac:dyDescent="0.3">
      <c r="A54" s="308">
        <v>54</v>
      </c>
      <c r="B54" s="92"/>
      <c r="C54" s="61"/>
      <c r="D54" s="5"/>
      <c r="E54" s="58"/>
      <c r="F54" s="297"/>
      <c r="G54" s="298"/>
      <c r="K54" s="574"/>
    </row>
    <row r="55" spans="1:11" x14ac:dyDescent="0.3">
      <c r="A55" s="308">
        <v>55</v>
      </c>
      <c r="B55" s="92"/>
      <c r="C55" s="61"/>
      <c r="D55" s="5"/>
      <c r="E55" s="58"/>
      <c r="F55" s="297"/>
      <c r="G55" s="298"/>
    </row>
    <row r="56" spans="1:11" s="215" customFormat="1" x14ac:dyDescent="0.3">
      <c r="A56" s="308">
        <v>56</v>
      </c>
      <c r="B56" s="92"/>
      <c r="C56" s="61"/>
      <c r="D56" s="5"/>
      <c r="E56" s="58"/>
      <c r="F56" s="297"/>
      <c r="G56" s="298"/>
      <c r="K56" s="574"/>
    </row>
    <row r="57" spans="1:11" x14ac:dyDescent="0.3">
      <c r="A57" s="308">
        <v>57</v>
      </c>
      <c r="B57" s="299"/>
      <c r="C57" s="288"/>
      <c r="D57" s="288"/>
      <c r="E57" s="295"/>
      <c r="F57" s="296"/>
      <c r="G57" s="93"/>
    </row>
    <row r="58" spans="1:11" s="215" customFormat="1" x14ac:dyDescent="0.3">
      <c r="A58" s="308">
        <v>58</v>
      </c>
      <c r="B58" s="92"/>
      <c r="C58" s="8"/>
      <c r="D58" s="6"/>
      <c r="E58" s="58"/>
      <c r="F58" s="297"/>
      <c r="G58" s="298"/>
      <c r="K58" s="574"/>
    </row>
    <row r="59" spans="1:11" x14ac:dyDescent="0.3">
      <c r="A59" s="308">
        <v>59</v>
      </c>
      <c r="B59" s="299"/>
      <c r="C59" s="288"/>
      <c r="D59" s="288"/>
      <c r="E59" s="295"/>
      <c r="F59" s="296"/>
      <c r="G59" s="93"/>
    </row>
    <row r="60" spans="1:11" x14ac:dyDescent="0.3">
      <c r="A60" s="308">
        <v>60</v>
      </c>
      <c r="B60" s="301"/>
      <c r="C60" s="8"/>
      <c r="D60" s="6"/>
      <c r="E60" s="58"/>
      <c r="F60" s="297"/>
      <c r="G60" s="298"/>
    </row>
    <row r="61" spans="1:11" ht="21" customHeight="1" x14ac:dyDescent="0.3">
      <c r="A61" s="308">
        <v>61</v>
      </c>
      <c r="B61" s="301"/>
      <c r="C61" s="8"/>
      <c r="D61" s="5"/>
      <c r="E61" s="58"/>
      <c r="F61" s="297"/>
      <c r="G61" s="298"/>
    </row>
    <row r="62" spans="1:11" x14ac:dyDescent="0.3">
      <c r="A62" s="308">
        <v>62</v>
      </c>
      <c r="B62" s="301"/>
      <c r="C62" s="8"/>
      <c r="D62" s="5"/>
      <c r="E62" s="58"/>
      <c r="F62" s="297"/>
      <c r="G62" s="298"/>
    </row>
    <row r="63" spans="1:11" ht="39" customHeight="1" x14ac:dyDescent="0.3">
      <c r="A63" s="308">
        <v>63</v>
      </c>
      <c r="B63" s="301"/>
      <c r="C63" s="8"/>
      <c r="D63" s="5"/>
      <c r="E63" s="58"/>
      <c r="F63" s="297"/>
      <c r="G63" s="298"/>
    </row>
    <row r="64" spans="1:11" x14ac:dyDescent="0.3">
      <c r="A64" s="308">
        <v>64</v>
      </c>
      <c r="B64" s="299"/>
      <c r="C64" s="64"/>
      <c r="D64" s="64"/>
      <c r="E64" s="295"/>
      <c r="F64" s="296"/>
      <c r="G64" s="93"/>
    </row>
    <row r="65" spans="1:11" x14ac:dyDescent="0.3">
      <c r="A65" s="308">
        <v>65</v>
      </c>
      <c r="B65" s="92"/>
      <c r="C65" s="61"/>
      <c r="D65" s="6"/>
      <c r="E65" s="58"/>
      <c r="F65" s="297"/>
      <c r="G65" s="298"/>
    </row>
    <row r="66" spans="1:11" s="215" customFormat="1" x14ac:dyDescent="0.3">
      <c r="A66" s="308">
        <v>66</v>
      </c>
      <c r="B66" s="92"/>
      <c r="C66" s="61"/>
      <c r="D66" s="6"/>
      <c r="E66" s="58"/>
      <c r="F66" s="297"/>
      <c r="G66" s="298"/>
      <c r="K66" s="574"/>
    </row>
    <row r="67" spans="1:11" s="215" customFormat="1" x14ac:dyDescent="0.3">
      <c r="A67" s="308">
        <v>67</v>
      </c>
      <c r="B67" s="92"/>
      <c r="C67" s="61"/>
      <c r="D67" s="6"/>
      <c r="E67" s="58"/>
      <c r="F67" s="297"/>
      <c r="G67" s="298"/>
      <c r="K67" s="574"/>
    </row>
    <row r="68" spans="1:11" s="215" customFormat="1" x14ac:dyDescent="0.3">
      <c r="A68" s="308">
        <v>68</v>
      </c>
      <c r="B68" s="92"/>
      <c r="C68" s="61"/>
      <c r="D68" s="92"/>
      <c r="E68" s="58"/>
      <c r="F68" s="297"/>
      <c r="G68" s="298"/>
      <c r="K68" s="574"/>
    </row>
    <row r="69" spans="1:11" x14ac:dyDescent="0.3">
      <c r="A69" s="308">
        <v>69</v>
      </c>
      <c r="B69" s="299"/>
      <c r="C69" s="64"/>
      <c r="D69" s="64"/>
      <c r="E69" s="295"/>
      <c r="F69" s="296"/>
      <c r="G69" s="93"/>
    </row>
    <row r="70" spans="1:11" ht="32.25" customHeight="1" x14ac:dyDescent="0.3">
      <c r="A70" s="308">
        <v>70</v>
      </c>
      <c r="B70" s="92"/>
      <c r="C70" s="63"/>
      <c r="D70" s="92"/>
      <c r="E70" s="58"/>
      <c r="F70" s="297"/>
      <c r="G70" s="298"/>
    </row>
    <row r="71" spans="1:11" ht="31.5" customHeight="1" x14ac:dyDescent="0.3">
      <c r="A71" s="308">
        <v>71</v>
      </c>
      <c r="B71" s="92"/>
      <c r="C71" s="62"/>
      <c r="D71" s="92"/>
      <c r="E71" s="58"/>
      <c r="F71" s="297"/>
      <c r="G71" s="298"/>
    </row>
    <row r="72" spans="1:11" x14ac:dyDescent="0.3">
      <c r="A72" s="308">
        <v>72</v>
      </c>
      <c r="B72" s="92"/>
      <c r="C72" s="62"/>
      <c r="D72" s="92"/>
      <c r="E72" s="58"/>
      <c r="F72" s="297"/>
      <c r="G72" s="298"/>
    </row>
    <row r="73" spans="1:11" x14ac:dyDescent="0.3">
      <c r="A73" s="308">
        <v>73</v>
      </c>
      <c r="B73" s="92"/>
      <c r="C73" s="62"/>
      <c r="D73" s="92"/>
      <c r="E73" s="58"/>
      <c r="F73" s="297"/>
      <c r="G73" s="298"/>
    </row>
    <row r="74" spans="1:11" x14ac:dyDescent="0.3">
      <c r="A74" s="308">
        <v>74</v>
      </c>
      <c r="B74" s="300"/>
      <c r="C74" s="64"/>
      <c r="D74" s="295"/>
      <c r="E74" s="295"/>
      <c r="F74" s="296"/>
      <c r="G74" s="93"/>
    </row>
    <row r="75" spans="1:11" x14ac:dyDescent="0.3">
      <c r="A75" s="308">
        <v>75</v>
      </c>
      <c r="B75" s="92"/>
      <c r="C75" s="61"/>
      <c r="D75" s="6"/>
      <c r="E75" s="58"/>
      <c r="F75" s="297"/>
      <c r="G75" s="298"/>
    </row>
    <row r="76" spans="1:11" s="215" customFormat="1" x14ac:dyDescent="0.3">
      <c r="A76" s="308">
        <v>76</v>
      </c>
      <c r="B76" s="92"/>
      <c r="C76" s="61"/>
      <c r="D76" s="6"/>
      <c r="E76" s="58"/>
      <c r="F76" s="297"/>
      <c r="G76" s="298"/>
      <c r="K76" s="574"/>
    </row>
    <row r="77" spans="1:11" x14ac:dyDescent="0.3">
      <c r="A77" s="308">
        <v>77</v>
      </c>
      <c r="B77" s="300"/>
      <c r="C77" s="64"/>
      <c r="D77" s="295"/>
      <c r="E77" s="295"/>
      <c r="F77" s="296"/>
      <c r="G77" s="93"/>
    </row>
    <row r="78" spans="1:11" x14ac:dyDescent="0.3">
      <c r="B78" s="92"/>
      <c r="C78" s="61"/>
      <c r="D78" s="92"/>
      <c r="E78" s="58"/>
      <c r="F78" s="297"/>
      <c r="G78" s="521"/>
    </row>
    <row r="79" spans="1:11" x14ac:dyDescent="0.3">
      <c r="A79" s="308">
        <v>78</v>
      </c>
      <c r="B79" s="92"/>
      <c r="C79" s="61"/>
      <c r="D79" s="92"/>
      <c r="E79" s="58"/>
      <c r="F79" s="297"/>
      <c r="G79" s="298"/>
    </row>
    <row r="80" spans="1:11" x14ac:dyDescent="0.3">
      <c r="A80" s="308">
        <v>79</v>
      </c>
      <c r="B80" s="92"/>
      <c r="C80" s="61"/>
      <c r="D80" s="92"/>
      <c r="E80" s="58"/>
      <c r="F80" s="297"/>
      <c r="G80" s="298"/>
    </row>
    <row r="81" spans="1:11" x14ac:dyDescent="0.3">
      <c r="A81" s="308">
        <v>80</v>
      </c>
      <c r="B81" s="300"/>
      <c r="C81" s="64"/>
      <c r="D81" s="300"/>
      <c r="E81" s="302"/>
      <c r="F81" s="303"/>
      <c r="G81" s="304"/>
    </row>
    <row r="82" spans="1:11" s="215" customFormat="1" x14ac:dyDescent="0.3">
      <c r="A82" s="308">
        <v>81</v>
      </c>
      <c r="B82" s="92"/>
      <c r="C82" s="61"/>
      <c r="D82" s="92"/>
      <c r="E82" s="58"/>
      <c r="F82" s="297"/>
      <c r="G82" s="298"/>
      <c r="K82" s="574"/>
    </row>
    <row r="83" spans="1:11" ht="8.25" customHeight="1" x14ac:dyDescent="0.3">
      <c r="A83" s="308">
        <v>82</v>
      </c>
      <c r="B83" s="733"/>
      <c r="C83" s="733"/>
      <c r="D83" s="733"/>
      <c r="E83" s="733"/>
      <c r="F83" s="733"/>
      <c r="G83" s="733"/>
    </row>
    <row r="84" spans="1:11" ht="31.5" customHeight="1" x14ac:dyDescent="0.3">
      <c r="A84" s="308">
        <v>83</v>
      </c>
      <c r="B84" s="305"/>
      <c r="C84" s="726"/>
      <c r="D84" s="726"/>
      <c r="E84" s="726"/>
      <c r="F84" s="726"/>
      <c r="G84" s="306"/>
      <c r="H84" s="91"/>
      <c r="I84" s="291"/>
      <c r="J84" s="291"/>
      <c r="K84" s="573"/>
    </row>
    <row r="85" spans="1:11" x14ac:dyDescent="0.3">
      <c r="A85" s="308">
        <v>84</v>
      </c>
      <c r="B85" s="17"/>
      <c r="C85" s="375"/>
      <c r="D85" s="388"/>
      <c r="E85" s="388"/>
      <c r="F85" s="389"/>
      <c r="G85" s="93"/>
    </row>
    <row r="86" spans="1:11" x14ac:dyDescent="0.3">
      <c r="A86" s="308">
        <v>85</v>
      </c>
      <c r="B86" s="292"/>
      <c r="C86" s="4"/>
      <c r="D86" s="5"/>
      <c r="E86" s="92"/>
      <c r="F86" s="293"/>
      <c r="G86" s="294"/>
      <c r="H86" s="10"/>
      <c r="J86" s="10"/>
    </row>
    <row r="87" spans="1:11" s="215" customFormat="1" x14ac:dyDescent="0.3">
      <c r="A87" s="308">
        <v>86</v>
      </c>
      <c r="B87" s="292"/>
      <c r="C87" s="4"/>
      <c r="D87" s="5"/>
      <c r="E87" s="92"/>
      <c r="F87" s="293"/>
      <c r="G87" s="294"/>
      <c r="H87" s="291"/>
      <c r="K87" s="574"/>
    </row>
    <row r="88" spans="1:11" x14ac:dyDescent="0.3">
      <c r="A88" s="308">
        <v>87</v>
      </c>
      <c r="B88" s="19"/>
      <c r="C88" s="375"/>
      <c r="D88" s="388"/>
      <c r="E88" s="388"/>
      <c r="F88" s="389"/>
      <c r="G88" s="93"/>
      <c r="H88" s="10"/>
    </row>
    <row r="89" spans="1:11" s="215" customFormat="1" x14ac:dyDescent="0.3">
      <c r="A89" s="308">
        <v>88</v>
      </c>
      <c r="B89" s="92"/>
      <c r="C89" s="61"/>
      <c r="D89" s="92"/>
      <c r="E89" s="92"/>
      <c r="F89" s="293"/>
      <c r="G89" s="294"/>
      <c r="H89" s="291"/>
      <c r="K89" s="574"/>
    </row>
    <row r="90" spans="1:11" x14ac:dyDescent="0.3">
      <c r="A90" s="308">
        <v>89</v>
      </c>
      <c r="B90" s="300"/>
      <c r="C90" s="381"/>
      <c r="D90" s="382"/>
      <c r="E90" s="382"/>
      <c r="F90" s="383"/>
      <c r="G90" s="93"/>
      <c r="H90" s="10"/>
    </row>
    <row r="91" spans="1:11" x14ac:dyDescent="0.3">
      <c r="A91" s="308">
        <v>90</v>
      </c>
      <c r="B91" s="92"/>
      <c r="C91" s="62"/>
      <c r="D91" s="92"/>
      <c r="E91" s="92"/>
      <c r="F91" s="293"/>
      <c r="G91" s="294"/>
      <c r="H91" s="10"/>
    </row>
    <row r="92" spans="1:11" x14ac:dyDescent="0.3">
      <c r="A92" s="308">
        <v>91</v>
      </c>
      <c r="B92" s="299"/>
      <c r="C92" s="381"/>
      <c r="D92" s="382"/>
      <c r="E92" s="382"/>
      <c r="F92" s="383"/>
      <c r="G92" s="93"/>
      <c r="H92" s="10"/>
    </row>
    <row r="93" spans="1:11" s="215" customFormat="1" x14ac:dyDescent="0.3">
      <c r="A93" s="308">
        <v>92</v>
      </c>
      <c r="B93" s="92"/>
      <c r="C93" s="61"/>
      <c r="D93" s="92"/>
      <c r="E93" s="92"/>
      <c r="F93" s="293"/>
      <c r="G93" s="294"/>
      <c r="H93" s="291"/>
      <c r="K93" s="574"/>
    </row>
    <row r="94" spans="1:11" ht="15" customHeight="1" x14ac:dyDescent="0.3">
      <c r="A94" s="308">
        <v>93</v>
      </c>
      <c r="B94" s="299"/>
      <c r="C94" s="381"/>
      <c r="D94" s="382"/>
      <c r="E94" s="382"/>
      <c r="F94" s="383"/>
      <c r="G94" s="93"/>
      <c r="H94" s="10"/>
    </row>
    <row r="95" spans="1:11" ht="33" customHeight="1" x14ac:dyDescent="0.3">
      <c r="A95" s="308">
        <v>94</v>
      </c>
      <c r="B95" s="92"/>
      <c r="C95" s="62"/>
      <c r="D95" s="92"/>
      <c r="E95" s="92"/>
      <c r="F95" s="293"/>
      <c r="G95" s="294"/>
      <c r="H95" s="10"/>
    </row>
    <row r="96" spans="1:11" x14ac:dyDescent="0.3">
      <c r="A96" s="308">
        <v>95</v>
      </c>
      <c r="B96" s="92"/>
      <c r="C96" s="62"/>
      <c r="D96" s="92"/>
      <c r="E96" s="58"/>
      <c r="F96" s="293"/>
      <c r="G96" s="294"/>
      <c r="H96" s="10"/>
    </row>
    <row r="97" spans="1:11" x14ac:dyDescent="0.3">
      <c r="A97" s="308">
        <v>96</v>
      </c>
      <c r="B97" s="92"/>
      <c r="C97" s="61"/>
      <c r="D97" s="92"/>
      <c r="E97" s="58"/>
      <c r="F97" s="293"/>
      <c r="G97" s="294"/>
      <c r="H97" s="10"/>
    </row>
    <row r="98" spans="1:11" s="215" customFormat="1" x14ac:dyDescent="0.3">
      <c r="A98" s="308">
        <v>97</v>
      </c>
      <c r="B98" s="92"/>
      <c r="C98" s="61"/>
      <c r="D98" s="92"/>
      <c r="E98" s="92"/>
      <c r="F98" s="293"/>
      <c r="G98" s="294"/>
      <c r="H98" s="291"/>
      <c r="K98" s="574"/>
    </row>
    <row r="99" spans="1:11" x14ac:dyDescent="0.3">
      <c r="A99" s="308">
        <v>98</v>
      </c>
      <c r="B99" s="299"/>
      <c r="C99" s="377"/>
      <c r="D99" s="386"/>
      <c r="E99" s="386"/>
      <c r="F99" s="387"/>
      <c r="G99" s="93"/>
      <c r="H99" s="10"/>
    </row>
    <row r="100" spans="1:11" x14ac:dyDescent="0.3">
      <c r="A100" s="308">
        <v>99</v>
      </c>
      <c r="B100" s="301"/>
      <c r="C100" s="4"/>
      <c r="D100" s="7"/>
      <c r="E100" s="58"/>
      <c r="F100" s="70"/>
      <c r="G100" s="294"/>
      <c r="H100" s="10"/>
    </row>
    <row r="101" spans="1:11" s="215" customFormat="1" x14ac:dyDescent="0.3">
      <c r="A101" s="308">
        <v>100</v>
      </c>
      <c r="B101" s="301"/>
      <c r="C101" s="4"/>
      <c r="D101" s="7"/>
      <c r="E101" s="58"/>
      <c r="F101" s="70"/>
      <c r="G101" s="294"/>
      <c r="H101" s="291"/>
      <c r="K101" s="574"/>
    </row>
    <row r="102" spans="1:11" x14ac:dyDescent="0.3">
      <c r="A102" s="308">
        <v>101</v>
      </c>
      <c r="B102" s="301"/>
      <c r="C102" s="8"/>
      <c r="D102" s="7"/>
      <c r="E102" s="58"/>
      <c r="F102" s="70"/>
      <c r="G102" s="294"/>
      <c r="H102" s="10"/>
    </row>
    <row r="103" spans="1:11" s="215" customFormat="1" ht="29.25" customHeight="1" x14ac:dyDescent="0.3">
      <c r="A103" s="308">
        <v>102</v>
      </c>
      <c r="B103" s="301"/>
      <c r="C103" s="8"/>
      <c r="D103" s="7"/>
      <c r="E103" s="58"/>
      <c r="F103" s="70"/>
      <c r="G103" s="294"/>
      <c r="H103" s="291"/>
      <c r="K103" s="574"/>
    </row>
    <row r="104" spans="1:11" s="215" customFormat="1" ht="24.75" customHeight="1" x14ac:dyDescent="0.3">
      <c r="A104" s="308">
        <v>103</v>
      </c>
      <c r="B104" s="301"/>
      <c r="C104" s="276"/>
      <c r="D104" s="92"/>
      <c r="E104" s="58"/>
      <c r="F104" s="297"/>
      <c r="G104" s="294"/>
      <c r="H104" s="291"/>
      <c r="K104" s="574"/>
    </row>
    <row r="105" spans="1:11" x14ac:dyDescent="0.3">
      <c r="A105" s="308">
        <v>104</v>
      </c>
      <c r="B105" s="299"/>
      <c r="C105" s="377"/>
      <c r="D105" s="386"/>
      <c r="E105" s="386"/>
      <c r="F105" s="387"/>
      <c r="G105" s="93"/>
      <c r="H105" s="10"/>
    </row>
    <row r="106" spans="1:11" s="215" customFormat="1" x14ac:dyDescent="0.3">
      <c r="A106" s="308">
        <v>105</v>
      </c>
      <c r="B106" s="92"/>
      <c r="C106" s="61"/>
      <c r="D106" s="6"/>
      <c r="E106" s="537"/>
      <c r="F106" s="70"/>
      <c r="G106" s="294"/>
      <c r="H106" s="291"/>
      <c r="K106" s="574"/>
    </row>
    <row r="107" spans="1:11" s="215" customFormat="1" x14ac:dyDescent="0.3">
      <c r="A107" s="308">
        <v>106</v>
      </c>
      <c r="B107" s="92"/>
      <c r="C107" s="61"/>
      <c r="D107" s="6"/>
      <c r="E107" s="537"/>
      <c r="F107" s="70"/>
      <c r="G107" s="294"/>
      <c r="H107" s="291" t="s">
        <v>654</v>
      </c>
      <c r="K107" s="574"/>
    </row>
    <row r="108" spans="1:11" s="215" customFormat="1" x14ac:dyDescent="0.3">
      <c r="A108" s="308">
        <v>107</v>
      </c>
      <c r="B108" s="92"/>
      <c r="C108" s="61"/>
      <c r="D108" s="6"/>
      <c r="E108" s="537"/>
      <c r="F108" s="70"/>
      <c r="G108" s="294"/>
      <c r="H108" s="291"/>
      <c r="K108" s="574"/>
    </row>
    <row r="109" spans="1:11" s="215" customFormat="1" x14ac:dyDescent="0.3">
      <c r="A109" s="308">
        <v>108</v>
      </c>
      <c r="B109" s="92"/>
      <c r="C109" s="8"/>
      <c r="D109" s="6"/>
      <c r="E109" s="537"/>
      <c r="F109" s="70"/>
      <c r="G109" s="294"/>
      <c r="H109" s="291"/>
      <c r="K109" s="574"/>
    </row>
    <row r="110" spans="1:11" s="215" customFormat="1" x14ac:dyDescent="0.3">
      <c r="A110" s="308">
        <v>109</v>
      </c>
      <c r="B110" s="92"/>
      <c r="C110" s="61"/>
      <c r="D110" s="5"/>
      <c r="E110" s="537"/>
      <c r="F110" s="70"/>
      <c r="G110" s="294"/>
      <c r="K110" s="574"/>
    </row>
    <row r="111" spans="1:11" s="215" customFormat="1" x14ac:dyDescent="0.3">
      <c r="A111" s="308">
        <v>110</v>
      </c>
      <c r="B111" s="92"/>
      <c r="C111" s="61"/>
      <c r="D111" s="5"/>
      <c r="E111" s="537"/>
      <c r="F111" s="297"/>
      <c r="G111" s="298"/>
      <c r="K111" s="574"/>
    </row>
    <row r="112" spans="1:11" s="215" customFormat="1" x14ac:dyDescent="0.3">
      <c r="A112" s="308">
        <v>111</v>
      </c>
      <c r="B112" s="92"/>
      <c r="C112" s="61"/>
      <c r="D112" s="5"/>
      <c r="E112" s="537"/>
      <c r="F112" s="297"/>
      <c r="G112" s="298"/>
      <c r="K112" s="574"/>
    </row>
    <row r="113" spans="1:11" s="215" customFormat="1" x14ac:dyDescent="0.3">
      <c r="A113" s="308">
        <v>112</v>
      </c>
      <c r="B113" s="92"/>
      <c r="C113" s="61"/>
      <c r="D113" s="5"/>
      <c r="E113" s="537"/>
      <c r="F113" s="297"/>
      <c r="G113" s="298"/>
      <c r="K113" s="574"/>
    </row>
    <row r="114" spans="1:11" s="215" customFormat="1" x14ac:dyDescent="0.3">
      <c r="A114" s="308">
        <v>113</v>
      </c>
      <c r="B114" s="92"/>
      <c r="C114" s="61"/>
      <c r="D114" s="5"/>
      <c r="E114" s="537"/>
      <c r="F114" s="297"/>
      <c r="G114" s="298"/>
      <c r="H114" s="291"/>
      <c r="K114" s="574"/>
    </row>
    <row r="115" spans="1:11" x14ac:dyDescent="0.3">
      <c r="A115" s="308">
        <v>114</v>
      </c>
      <c r="B115" s="92"/>
      <c r="C115" s="8"/>
      <c r="D115" s="6"/>
      <c r="E115" s="537"/>
      <c r="F115" s="70"/>
      <c r="G115" s="294"/>
      <c r="H115" s="10"/>
    </row>
    <row r="116" spans="1:11" x14ac:dyDescent="0.3">
      <c r="A116" s="308">
        <v>115</v>
      </c>
      <c r="B116" s="299"/>
      <c r="C116" s="376"/>
      <c r="D116" s="384"/>
      <c r="E116" s="384"/>
      <c r="F116" s="385"/>
      <c r="G116" s="93"/>
      <c r="H116" s="10"/>
    </row>
    <row r="117" spans="1:11" x14ac:dyDescent="0.3">
      <c r="A117" s="308">
        <v>116</v>
      </c>
      <c r="B117" s="92"/>
      <c r="C117" s="4"/>
      <c r="D117" s="5"/>
      <c r="E117" s="58"/>
      <c r="F117" s="293"/>
      <c r="G117" s="294"/>
      <c r="H117" s="10"/>
    </row>
    <row r="118" spans="1:11" x14ac:dyDescent="0.3">
      <c r="A118" s="308">
        <v>117</v>
      </c>
      <c r="B118" s="92"/>
      <c r="C118" s="61"/>
      <c r="D118" s="92"/>
      <c r="E118" s="58"/>
      <c r="F118" s="293"/>
      <c r="G118" s="294"/>
      <c r="H118" s="10"/>
    </row>
    <row r="119" spans="1:11" x14ac:dyDescent="0.3">
      <c r="A119" s="308">
        <v>118</v>
      </c>
      <c r="B119" s="299"/>
      <c r="C119" s="381"/>
      <c r="D119" s="382"/>
      <c r="E119" s="382"/>
      <c r="F119" s="383"/>
      <c r="G119" s="93"/>
      <c r="H119" s="10"/>
    </row>
    <row r="120" spans="1:11" s="215" customFormat="1" x14ac:dyDescent="0.3">
      <c r="A120" s="308">
        <v>119</v>
      </c>
      <c r="B120" s="92"/>
      <c r="C120" s="61"/>
      <c r="D120" s="92"/>
      <c r="E120" s="92"/>
      <c r="F120" s="293"/>
      <c r="G120" s="294"/>
      <c r="H120" s="291"/>
      <c r="K120" s="574"/>
    </row>
    <row r="121" spans="1:11" x14ac:dyDescent="0.3">
      <c r="A121" s="308">
        <v>120</v>
      </c>
      <c r="B121" s="299"/>
      <c r="C121" s="381"/>
      <c r="D121" s="382"/>
      <c r="E121" s="382"/>
      <c r="F121" s="383"/>
      <c r="G121" s="93"/>
      <c r="H121" s="10"/>
    </row>
    <row r="122" spans="1:11" x14ac:dyDescent="0.3">
      <c r="A122" s="308">
        <v>121</v>
      </c>
      <c r="B122" s="92"/>
      <c r="C122" s="61"/>
      <c r="D122" s="92"/>
      <c r="E122" s="92"/>
      <c r="F122" s="293"/>
      <c r="G122" s="294"/>
      <c r="H122" s="10"/>
    </row>
    <row r="123" spans="1:11" s="215" customFormat="1" x14ac:dyDescent="0.3">
      <c r="A123" s="308">
        <v>122</v>
      </c>
      <c r="B123" s="92"/>
      <c r="C123" s="61"/>
      <c r="D123" s="6"/>
      <c r="E123" s="58"/>
      <c r="F123" s="297"/>
      <c r="G123" s="298"/>
      <c r="H123" s="291"/>
      <c r="K123" s="574"/>
    </row>
    <row r="124" spans="1:11" s="215" customFormat="1" x14ac:dyDescent="0.3">
      <c r="A124" s="308">
        <v>123</v>
      </c>
      <c r="B124" s="92"/>
      <c r="C124" s="61"/>
      <c r="D124" s="92"/>
      <c r="E124" s="92"/>
      <c r="F124" s="293"/>
      <c r="G124" s="294"/>
      <c r="H124" s="291"/>
      <c r="K124" s="574"/>
    </row>
    <row r="125" spans="1:11" s="215" customFormat="1" x14ac:dyDescent="0.3">
      <c r="A125" s="308">
        <v>124</v>
      </c>
      <c r="B125" s="92"/>
      <c r="C125" s="61"/>
      <c r="D125" s="92"/>
      <c r="E125" s="58"/>
      <c r="F125" s="293"/>
      <c r="G125" s="294"/>
      <c r="H125" s="291"/>
      <c r="K125" s="574"/>
    </row>
    <row r="126" spans="1:11" x14ac:dyDescent="0.3">
      <c r="A126" s="308">
        <v>125</v>
      </c>
      <c r="B126" s="92"/>
      <c r="C126" s="61"/>
      <c r="D126" s="92"/>
      <c r="E126" s="58"/>
      <c r="F126" s="293"/>
      <c r="G126" s="294"/>
      <c r="H126" s="10"/>
    </row>
    <row r="127" spans="1:11" x14ac:dyDescent="0.3">
      <c r="A127" s="308">
        <v>126</v>
      </c>
      <c r="B127" s="300"/>
      <c r="C127" s="381"/>
      <c r="D127" s="382"/>
      <c r="E127" s="382"/>
      <c r="F127" s="383"/>
      <c r="G127" s="93"/>
      <c r="H127" s="10"/>
    </row>
    <row r="128" spans="1:11" x14ac:dyDescent="0.3">
      <c r="A128" s="308">
        <v>127</v>
      </c>
      <c r="B128" s="92"/>
      <c r="C128" s="62"/>
      <c r="D128" s="5"/>
      <c r="E128" s="58"/>
      <c r="F128" s="293"/>
      <c r="G128" s="294"/>
      <c r="H128" s="10"/>
    </row>
    <row r="129" spans="1:11" x14ac:dyDescent="0.3">
      <c r="A129" s="308">
        <v>128</v>
      </c>
      <c r="B129" s="92"/>
      <c r="C129" s="61"/>
      <c r="D129" s="92"/>
      <c r="E129" s="58"/>
      <c r="F129" s="293"/>
      <c r="G129" s="294"/>
      <c r="H129" s="10"/>
    </row>
    <row r="130" spans="1:11" x14ac:dyDescent="0.3">
      <c r="A130" s="308">
        <v>129</v>
      </c>
      <c r="B130" s="299"/>
      <c r="C130" s="381"/>
      <c r="D130" s="382"/>
      <c r="E130" s="382"/>
      <c r="F130" s="383"/>
      <c r="G130" s="93"/>
      <c r="H130" s="10"/>
    </row>
    <row r="131" spans="1:11" s="215" customFormat="1" ht="17.25" customHeight="1" x14ac:dyDescent="0.3">
      <c r="A131" s="308">
        <v>130</v>
      </c>
      <c r="B131" s="92"/>
      <c r="C131" s="61"/>
      <c r="D131" s="92"/>
      <c r="E131" s="58"/>
      <c r="F131" s="293"/>
      <c r="G131" s="294"/>
      <c r="H131" s="291"/>
      <c r="K131" s="574"/>
    </row>
    <row r="132" spans="1:11" ht="13.5" customHeight="1" x14ac:dyDescent="0.3">
      <c r="A132" s="308">
        <v>131</v>
      </c>
      <c r="B132" s="299"/>
      <c r="C132" s="381"/>
      <c r="D132" s="382"/>
      <c r="E132" s="382"/>
      <c r="F132" s="383"/>
      <c r="G132" s="93"/>
    </row>
    <row r="133" spans="1:11" ht="13.5" customHeight="1" x14ac:dyDescent="0.3">
      <c r="A133" s="308">
        <v>132</v>
      </c>
      <c r="B133" s="92"/>
      <c r="C133" s="63"/>
      <c r="D133" s="92"/>
      <c r="E133" s="58"/>
      <c r="F133" s="307"/>
      <c r="G133" s="294"/>
    </row>
    <row r="134" spans="1:11" ht="13.5" customHeight="1" x14ac:dyDescent="0.3">
      <c r="A134" s="308">
        <v>133</v>
      </c>
      <c r="B134" s="300"/>
      <c r="C134" s="381"/>
      <c r="D134" s="382"/>
      <c r="E134" s="382"/>
      <c r="F134" s="383"/>
      <c r="G134" s="304"/>
    </row>
    <row r="135" spans="1:11" s="215" customFormat="1" ht="13.5" customHeight="1" x14ac:dyDescent="0.3">
      <c r="A135" s="308">
        <v>134</v>
      </c>
      <c r="B135" s="92"/>
      <c r="C135" s="61"/>
      <c r="D135" s="92"/>
      <c r="E135" s="58"/>
      <c r="F135" s="297"/>
      <c r="G135" s="298"/>
      <c r="K135" s="574"/>
    </row>
    <row r="136" spans="1:11" s="215" customFormat="1" ht="40.5" customHeight="1" x14ac:dyDescent="0.3">
      <c r="A136" s="308">
        <v>135</v>
      </c>
      <c r="B136" s="305"/>
      <c r="C136" s="726"/>
      <c r="D136" s="726"/>
      <c r="E136" s="726"/>
      <c r="F136" s="726"/>
      <c r="G136" s="306"/>
      <c r="H136" s="91"/>
      <c r="I136" s="291"/>
      <c r="J136" s="291"/>
      <c r="K136" s="573"/>
    </row>
    <row r="137" spans="1:11" s="215" customFormat="1" ht="13.5" customHeight="1" x14ac:dyDescent="0.3">
      <c r="A137" s="308">
        <v>136</v>
      </c>
      <c r="B137" s="17"/>
      <c r="C137" s="395"/>
      <c r="D137" s="396"/>
      <c r="E137" s="18"/>
      <c r="F137" s="67"/>
      <c r="G137" s="33"/>
      <c r="K137" s="574"/>
    </row>
    <row r="138" spans="1:11" s="215" customFormat="1" ht="13.5" customHeight="1" x14ac:dyDescent="0.3">
      <c r="A138" s="308">
        <v>137</v>
      </c>
      <c r="B138" s="292"/>
      <c r="C138" s="314"/>
      <c r="D138" s="397"/>
      <c r="E138" s="30"/>
      <c r="F138" s="398"/>
      <c r="G138" s="399"/>
      <c r="I138" s="291"/>
      <c r="K138" s="574"/>
    </row>
    <row r="139" spans="1:11" s="215" customFormat="1" ht="13.5" customHeight="1" x14ac:dyDescent="0.3">
      <c r="A139" s="308">
        <v>138</v>
      </c>
      <c r="B139" s="292"/>
      <c r="C139" s="314"/>
      <c r="D139" s="397"/>
      <c r="E139" s="30"/>
      <c r="F139" s="398"/>
      <c r="G139" s="399"/>
      <c r="K139" s="574"/>
    </row>
    <row r="140" spans="1:11" s="215" customFormat="1" ht="13.5" customHeight="1" x14ac:dyDescent="0.3">
      <c r="A140" s="308">
        <v>139</v>
      </c>
      <c r="B140" s="19"/>
      <c r="C140" s="395"/>
      <c r="D140" s="396"/>
      <c r="E140" s="400"/>
      <c r="F140" s="401"/>
      <c r="G140" s="33"/>
      <c r="K140" s="574"/>
    </row>
    <row r="141" spans="1:11" s="215" customFormat="1" ht="13.5" customHeight="1" x14ac:dyDescent="0.3">
      <c r="A141" s="308">
        <v>140</v>
      </c>
      <c r="B141" s="29"/>
      <c r="C141" s="328"/>
      <c r="D141" s="29"/>
      <c r="E141" s="30"/>
      <c r="F141" s="357"/>
      <c r="G141" s="402"/>
      <c r="K141" s="574"/>
    </row>
    <row r="142" spans="1:11" s="215" customFormat="1" ht="13.5" customHeight="1" x14ac:dyDescent="0.3">
      <c r="A142" s="308">
        <v>141</v>
      </c>
      <c r="B142" s="29"/>
      <c r="C142" s="328"/>
      <c r="D142" s="29"/>
      <c r="E142" s="30"/>
      <c r="F142" s="357"/>
      <c r="G142" s="402"/>
      <c r="K142" s="574"/>
    </row>
    <row r="143" spans="1:11" s="215" customFormat="1" ht="13.5" customHeight="1" x14ac:dyDescent="0.3">
      <c r="A143" s="308">
        <v>142</v>
      </c>
      <c r="B143" s="403"/>
      <c r="C143" s="404"/>
      <c r="D143" s="405"/>
      <c r="E143" s="400"/>
      <c r="F143" s="401"/>
      <c r="G143" s="33"/>
      <c r="K143" s="574"/>
    </row>
    <row r="144" spans="1:11" s="215" customFormat="1" ht="13.5" customHeight="1" x14ac:dyDescent="0.3">
      <c r="A144" s="308">
        <v>143</v>
      </c>
      <c r="B144" s="29"/>
      <c r="C144" s="276"/>
      <c r="D144" s="29"/>
      <c r="E144" s="30"/>
      <c r="F144" s="357"/>
      <c r="G144" s="402"/>
      <c r="K144" s="574"/>
    </row>
    <row r="145" spans="1:11" s="215" customFormat="1" ht="13.5" customHeight="1" x14ac:dyDescent="0.3">
      <c r="A145" s="308">
        <v>144</v>
      </c>
      <c r="B145" s="29"/>
      <c r="C145" s="276"/>
      <c r="D145" s="29"/>
      <c r="E145" s="30"/>
      <c r="F145" s="357"/>
      <c r="G145" s="402"/>
      <c r="K145" s="574"/>
    </row>
    <row r="146" spans="1:11" s="215" customFormat="1" x14ac:dyDescent="0.3">
      <c r="A146" s="308">
        <v>145</v>
      </c>
      <c r="B146" s="29"/>
      <c r="C146" s="276"/>
      <c r="D146" s="29"/>
      <c r="E146" s="30"/>
      <c r="F146" s="357"/>
      <c r="G146" s="402"/>
      <c r="K146" s="574"/>
    </row>
    <row r="147" spans="1:11" s="215" customFormat="1" x14ac:dyDescent="0.3">
      <c r="A147" s="308">
        <v>146</v>
      </c>
      <c r="B147" s="29"/>
      <c r="C147" s="276"/>
      <c r="D147" s="29"/>
      <c r="E147" s="30"/>
      <c r="F147" s="357"/>
      <c r="G147" s="402"/>
      <c r="K147" s="574"/>
    </row>
    <row r="148" spans="1:11" s="215" customFormat="1" ht="13.5" customHeight="1" x14ac:dyDescent="0.3">
      <c r="A148" s="308">
        <v>147</v>
      </c>
      <c r="B148" s="29"/>
      <c r="C148" s="276"/>
      <c r="D148" s="29"/>
      <c r="E148" s="30"/>
      <c r="F148" s="357"/>
      <c r="G148" s="402"/>
      <c r="K148" s="574"/>
    </row>
    <row r="149" spans="1:11" s="215" customFormat="1" ht="13.5" customHeight="1" x14ac:dyDescent="0.3">
      <c r="A149" s="308">
        <v>148</v>
      </c>
      <c r="B149" s="403"/>
      <c r="C149" s="404"/>
      <c r="D149" s="405"/>
      <c r="E149" s="400"/>
      <c r="F149" s="401"/>
      <c r="G149" s="33"/>
      <c r="K149" s="574"/>
    </row>
    <row r="150" spans="1:11" s="215" customFormat="1" ht="34.5" customHeight="1" x14ac:dyDescent="0.3">
      <c r="A150" s="308">
        <v>149</v>
      </c>
      <c r="B150" s="29"/>
      <c r="C150" s="276"/>
      <c r="D150" s="29"/>
      <c r="E150" s="30"/>
      <c r="F150" s="357"/>
      <c r="G150" s="402"/>
      <c r="K150" s="574"/>
    </row>
    <row r="151" spans="1:11" s="215" customFormat="1" ht="29.25" customHeight="1" x14ac:dyDescent="0.3">
      <c r="A151" s="308">
        <v>150</v>
      </c>
      <c r="B151" s="29"/>
      <c r="C151" s="276"/>
      <c r="D151" s="29"/>
      <c r="E151" s="30"/>
      <c r="F151" s="357"/>
      <c r="G151" s="402"/>
      <c r="K151" s="574"/>
    </row>
    <row r="152" spans="1:11" s="215" customFormat="1" ht="27.75" customHeight="1" x14ac:dyDescent="0.3">
      <c r="A152" s="308">
        <v>151</v>
      </c>
      <c r="B152" s="29"/>
      <c r="C152" s="276"/>
      <c r="D152" s="29"/>
      <c r="E152" s="30"/>
      <c r="F152" s="357"/>
      <c r="G152" s="402"/>
      <c r="K152" s="574"/>
    </row>
    <row r="153" spans="1:11" s="215" customFormat="1" ht="13.5" customHeight="1" x14ac:dyDescent="0.3">
      <c r="A153" s="308">
        <v>152</v>
      </c>
      <c r="B153" s="29"/>
      <c r="C153" s="276"/>
      <c r="D153" s="29"/>
      <c r="E153" s="30"/>
      <c r="F153" s="357"/>
      <c r="G153" s="402"/>
      <c r="K153" s="574"/>
    </row>
    <row r="154" spans="1:11" s="215" customFormat="1" ht="29.25" customHeight="1" x14ac:dyDescent="0.3">
      <c r="A154" s="308">
        <v>153</v>
      </c>
      <c r="B154" s="29"/>
      <c r="C154" s="276"/>
      <c r="D154" s="29"/>
      <c r="E154" s="30"/>
      <c r="F154" s="357"/>
      <c r="G154" s="402"/>
      <c r="K154" s="574"/>
    </row>
    <row r="155" spans="1:11" s="215" customFormat="1" ht="13.5" customHeight="1" x14ac:dyDescent="0.3">
      <c r="A155" s="308">
        <v>154</v>
      </c>
      <c r="B155" s="403"/>
      <c r="C155" s="404"/>
      <c r="D155" s="405"/>
      <c r="E155" s="400"/>
      <c r="F155" s="401"/>
      <c r="G155" s="33"/>
      <c r="K155" s="574"/>
    </row>
    <row r="156" spans="1:11" s="215" customFormat="1" ht="13.5" customHeight="1" x14ac:dyDescent="0.3">
      <c r="A156" s="308">
        <v>155</v>
      </c>
      <c r="B156" s="92"/>
      <c r="C156" s="61"/>
      <c r="D156" s="29"/>
      <c r="E156" s="30"/>
      <c r="F156" s="357"/>
      <c r="G156" s="402"/>
      <c r="K156" s="574"/>
    </row>
    <row r="157" spans="1:11" s="215" customFormat="1" x14ac:dyDescent="0.3">
      <c r="A157" s="308">
        <v>156</v>
      </c>
      <c r="B157" s="29"/>
      <c r="C157" s="62"/>
      <c r="D157" s="29"/>
      <c r="E157" s="30"/>
      <c r="F157" s="357"/>
      <c r="G157" s="402"/>
      <c r="K157" s="574"/>
    </row>
    <row r="158" spans="1:11" s="215" customFormat="1" ht="13.5" customHeight="1" x14ac:dyDescent="0.3">
      <c r="A158" s="308">
        <v>157</v>
      </c>
      <c r="B158" s="403"/>
      <c r="C158" s="406"/>
      <c r="D158" s="407"/>
      <c r="E158" s="400"/>
      <c r="F158" s="401"/>
      <c r="G158" s="33"/>
      <c r="K158" s="574"/>
    </row>
    <row r="159" spans="1:11" s="215" customFormat="1" ht="13.5" customHeight="1" x14ac:dyDescent="0.3">
      <c r="A159" s="308">
        <v>158</v>
      </c>
      <c r="B159" s="29"/>
      <c r="C159" s="314"/>
      <c r="D159" s="397"/>
      <c r="E159" s="30"/>
      <c r="F159" s="357"/>
      <c r="G159" s="402"/>
      <c r="K159" s="574"/>
    </row>
    <row r="160" spans="1:11" s="215" customFormat="1" ht="13.5" customHeight="1" x14ac:dyDescent="0.3">
      <c r="A160" s="308">
        <v>159</v>
      </c>
      <c r="B160" s="29"/>
      <c r="C160" s="314"/>
      <c r="D160" s="397"/>
      <c r="E160" s="30"/>
      <c r="F160" s="357"/>
      <c r="G160" s="402"/>
      <c r="K160" s="574"/>
    </row>
    <row r="161" spans="1:11" s="215" customFormat="1" ht="13.5" customHeight="1" x14ac:dyDescent="0.3">
      <c r="A161" s="308">
        <v>160</v>
      </c>
      <c r="B161" s="29"/>
      <c r="C161" s="314"/>
      <c r="D161" s="397"/>
      <c r="E161" s="30"/>
      <c r="F161" s="357"/>
      <c r="G161" s="402"/>
      <c r="K161" s="574"/>
    </row>
    <row r="162" spans="1:11" s="215" customFormat="1" x14ac:dyDescent="0.3">
      <c r="A162" s="308">
        <v>161</v>
      </c>
      <c r="B162" s="29"/>
      <c r="C162" s="314"/>
      <c r="D162" s="397"/>
      <c r="E162" s="30"/>
      <c r="F162" s="357"/>
      <c r="G162" s="402"/>
      <c r="K162" s="574"/>
    </row>
    <row r="163" spans="1:11" s="215" customFormat="1" x14ac:dyDescent="0.3">
      <c r="A163" s="308">
        <v>162</v>
      </c>
      <c r="B163" s="29"/>
      <c r="C163" s="314"/>
      <c r="D163" s="397"/>
      <c r="E163" s="30"/>
      <c r="F163" s="357"/>
      <c r="G163" s="402"/>
      <c r="K163" s="574"/>
    </row>
    <row r="164" spans="1:11" s="215" customFormat="1" x14ac:dyDescent="0.3">
      <c r="A164" s="308">
        <v>163</v>
      </c>
      <c r="B164" s="29"/>
      <c r="C164" s="314"/>
      <c r="D164" s="397"/>
      <c r="E164" s="30"/>
      <c r="F164" s="357"/>
      <c r="G164" s="402"/>
      <c r="K164" s="574"/>
    </row>
    <row r="165" spans="1:11" s="215" customFormat="1" ht="13.5" customHeight="1" x14ac:dyDescent="0.3">
      <c r="A165" s="308">
        <v>164</v>
      </c>
      <c r="B165" s="29"/>
      <c r="C165" s="408"/>
      <c r="D165" s="29"/>
      <c r="E165" s="30"/>
      <c r="F165" s="357"/>
      <c r="G165" s="402"/>
      <c r="K165" s="574"/>
    </row>
    <row r="166" spans="1:11" s="215" customFormat="1" ht="13.5" customHeight="1" x14ac:dyDescent="0.3">
      <c r="A166" s="308">
        <v>165</v>
      </c>
      <c r="B166" s="29"/>
      <c r="C166" s="408"/>
      <c r="D166" s="29"/>
      <c r="E166" s="30"/>
      <c r="F166" s="357"/>
      <c r="G166" s="402"/>
      <c r="K166" s="574"/>
    </row>
    <row r="167" spans="1:11" s="215" customFormat="1" ht="13.5" customHeight="1" x14ac:dyDescent="0.3">
      <c r="A167" s="308">
        <v>166</v>
      </c>
      <c r="B167" s="403"/>
      <c r="C167" s="409"/>
      <c r="D167" s="410"/>
      <c r="E167" s="400"/>
      <c r="F167" s="401"/>
      <c r="G167" s="33"/>
      <c r="K167" s="574"/>
    </row>
    <row r="168" spans="1:11" s="215" customFormat="1" ht="13.5" customHeight="1" x14ac:dyDescent="0.3">
      <c r="A168" s="308">
        <v>167</v>
      </c>
      <c r="B168" s="29"/>
      <c r="C168" s="411"/>
      <c r="D168" s="412"/>
      <c r="E168" s="30"/>
      <c r="F168" s="357"/>
      <c r="G168" s="402"/>
      <c r="K168" s="574"/>
    </row>
    <row r="169" spans="1:11" s="215" customFormat="1" ht="13.5" customHeight="1" x14ac:dyDescent="0.3">
      <c r="A169" s="308">
        <v>168</v>
      </c>
      <c r="B169" s="403"/>
      <c r="C169" s="409"/>
      <c r="D169" s="410"/>
      <c r="E169" s="400"/>
      <c r="F169" s="401"/>
      <c r="G169" s="33"/>
      <c r="K169" s="574"/>
    </row>
    <row r="170" spans="1:11" s="215" customFormat="1" ht="13.5" customHeight="1" x14ac:dyDescent="0.3">
      <c r="A170" s="308">
        <v>169</v>
      </c>
      <c r="B170" s="413"/>
      <c r="C170" s="414"/>
      <c r="D170" s="412"/>
      <c r="E170" s="30"/>
      <c r="F170" s="357"/>
      <c r="G170" s="402"/>
      <c r="K170" s="574"/>
    </row>
    <row r="171" spans="1:11" s="215" customFormat="1" ht="13.5" customHeight="1" x14ac:dyDescent="0.3">
      <c r="A171" s="308">
        <v>170</v>
      </c>
      <c r="B171" s="413"/>
      <c r="C171" s="415"/>
      <c r="D171" s="29"/>
      <c r="E171" s="30"/>
      <c r="F171" s="357"/>
      <c r="G171" s="402"/>
      <c r="K171" s="574"/>
    </row>
    <row r="172" spans="1:11" s="215" customFormat="1" x14ac:dyDescent="0.3">
      <c r="A172" s="308">
        <v>171</v>
      </c>
      <c r="B172" s="413"/>
      <c r="C172" s="416"/>
      <c r="D172" s="417"/>
      <c r="E172" s="30"/>
      <c r="F172" s="357"/>
      <c r="G172" s="402"/>
      <c r="K172" s="574"/>
    </row>
    <row r="173" spans="1:11" s="215" customFormat="1" ht="13.5" customHeight="1" x14ac:dyDescent="0.3">
      <c r="A173" s="308">
        <v>172</v>
      </c>
      <c r="B173" s="413"/>
      <c r="C173" s="416"/>
      <c r="D173" s="417"/>
      <c r="E173" s="30"/>
      <c r="F173" s="357"/>
      <c r="G173" s="402"/>
      <c r="K173" s="574"/>
    </row>
    <row r="174" spans="1:11" s="215" customFormat="1" ht="13.5" customHeight="1" x14ac:dyDescent="0.3">
      <c r="A174" s="308">
        <v>173</v>
      </c>
      <c r="B174" s="413"/>
      <c r="C174" s="8"/>
      <c r="D174" s="5"/>
      <c r="E174" s="58"/>
      <c r="F174" s="297"/>
      <c r="G174" s="402"/>
      <c r="K174" s="574"/>
    </row>
    <row r="175" spans="1:11" s="215" customFormat="1" ht="13.5" customHeight="1" x14ac:dyDescent="0.3">
      <c r="A175" s="308">
        <v>174</v>
      </c>
      <c r="B175" s="403"/>
      <c r="C175" s="404"/>
      <c r="D175" s="405"/>
      <c r="E175" s="400"/>
      <c r="F175" s="401"/>
      <c r="G175" s="33"/>
      <c r="K175" s="574"/>
    </row>
    <row r="176" spans="1:11" s="215" customFormat="1" ht="13.5" customHeight="1" x14ac:dyDescent="0.3">
      <c r="A176" s="308">
        <v>175</v>
      </c>
      <c r="B176" s="29"/>
      <c r="C176" s="328"/>
      <c r="D176" s="412"/>
      <c r="E176" s="30"/>
      <c r="F176" s="357"/>
      <c r="G176" s="402"/>
      <c r="K176" s="574"/>
    </row>
    <row r="177" spans="1:11" s="215" customFormat="1" ht="13.5" customHeight="1" x14ac:dyDescent="0.3">
      <c r="A177" s="308">
        <v>176</v>
      </c>
      <c r="B177" s="29"/>
      <c r="C177" s="418"/>
      <c r="D177" s="390"/>
      <c r="E177" s="30"/>
      <c r="F177" s="357"/>
      <c r="G177" s="402"/>
      <c r="K177" s="574"/>
    </row>
    <row r="178" spans="1:11" s="215" customFormat="1" ht="13.5" customHeight="1" x14ac:dyDescent="0.3">
      <c r="A178" s="308">
        <v>177</v>
      </c>
      <c r="B178" s="29"/>
      <c r="C178" s="328"/>
      <c r="D178" s="412"/>
      <c r="E178" s="30"/>
      <c r="F178" s="357"/>
      <c r="G178" s="402"/>
      <c r="K178" s="574"/>
    </row>
    <row r="179" spans="1:11" s="215" customFormat="1" ht="13.5" customHeight="1" x14ac:dyDescent="0.3">
      <c r="A179" s="308">
        <v>178</v>
      </c>
      <c r="B179" s="29"/>
      <c r="C179" s="328"/>
      <c r="D179" s="29"/>
      <c r="E179" s="30"/>
      <c r="F179" s="357"/>
      <c r="G179" s="402"/>
      <c r="K179" s="574"/>
    </row>
    <row r="180" spans="1:11" s="215" customFormat="1" ht="13.5" customHeight="1" x14ac:dyDescent="0.3">
      <c r="A180" s="308">
        <v>179</v>
      </c>
      <c r="B180" s="403"/>
      <c r="C180" s="404"/>
      <c r="D180" s="405"/>
      <c r="E180" s="400"/>
      <c r="F180" s="401"/>
      <c r="G180" s="33"/>
      <c r="K180" s="574"/>
    </row>
    <row r="181" spans="1:11" s="215" customFormat="1" x14ac:dyDescent="0.3">
      <c r="A181" s="308">
        <v>180</v>
      </c>
      <c r="B181" s="29"/>
      <c r="C181" s="323"/>
      <c r="D181" s="29"/>
      <c r="E181" s="30"/>
      <c r="F181" s="357"/>
      <c r="G181" s="402"/>
      <c r="I181" s="291"/>
      <c r="K181" s="574"/>
    </row>
    <row r="182" spans="1:11" s="215" customFormat="1" x14ac:dyDescent="0.3">
      <c r="A182" s="308">
        <v>181</v>
      </c>
      <c r="B182" s="29"/>
      <c r="C182" s="323"/>
      <c r="D182" s="29"/>
      <c r="E182" s="30"/>
      <c r="F182" s="357"/>
      <c r="G182" s="402"/>
      <c r="K182" s="574"/>
    </row>
    <row r="183" spans="1:11" s="215" customFormat="1" x14ac:dyDescent="0.3">
      <c r="A183" s="308">
        <v>182</v>
      </c>
      <c r="B183" s="29"/>
      <c r="C183" s="276"/>
      <c r="D183" s="29"/>
      <c r="E183" s="30"/>
      <c r="F183" s="357"/>
      <c r="G183" s="402"/>
      <c r="K183" s="574"/>
    </row>
    <row r="184" spans="1:11" s="215" customFormat="1" x14ac:dyDescent="0.3">
      <c r="A184" s="308">
        <v>183</v>
      </c>
      <c r="B184" s="29"/>
      <c r="C184" s="62"/>
      <c r="D184" s="92"/>
      <c r="E184" s="58"/>
      <c r="F184" s="297"/>
      <c r="G184" s="402"/>
      <c r="K184" s="574"/>
    </row>
    <row r="185" spans="1:11" s="215" customFormat="1" ht="13.5" customHeight="1" x14ac:dyDescent="0.3">
      <c r="A185" s="308">
        <v>184</v>
      </c>
      <c r="B185" s="419"/>
      <c r="C185" s="404"/>
      <c r="D185" s="420"/>
      <c r="E185" s="400"/>
      <c r="F185" s="401"/>
      <c r="G185" s="33"/>
      <c r="K185" s="574"/>
    </row>
    <row r="186" spans="1:11" s="215" customFormat="1" ht="13.5" customHeight="1" x14ac:dyDescent="0.3">
      <c r="A186" s="308">
        <v>185</v>
      </c>
      <c r="B186" s="29"/>
      <c r="C186" s="328"/>
      <c r="D186" s="412"/>
      <c r="E186" s="30"/>
      <c r="F186" s="357"/>
      <c r="G186" s="402"/>
      <c r="K186" s="574"/>
    </row>
    <row r="187" spans="1:11" s="215" customFormat="1" ht="13.5" customHeight="1" x14ac:dyDescent="0.3">
      <c r="A187" s="308">
        <v>186</v>
      </c>
      <c r="B187" s="29"/>
      <c r="C187" s="328"/>
      <c r="D187" s="29"/>
      <c r="E187" s="30"/>
      <c r="F187" s="357"/>
      <c r="G187" s="402"/>
      <c r="K187" s="574"/>
    </row>
    <row r="188" spans="1:11" s="215" customFormat="1" ht="13.5" customHeight="1" x14ac:dyDescent="0.3">
      <c r="A188" s="308">
        <v>187</v>
      </c>
      <c r="B188" s="419"/>
      <c r="C188" s="404"/>
      <c r="D188" s="421"/>
      <c r="E188" s="422"/>
      <c r="F188" s="423"/>
      <c r="G188" s="424"/>
      <c r="K188" s="574"/>
    </row>
    <row r="189" spans="1:11" s="215" customFormat="1" ht="13.5" customHeight="1" x14ac:dyDescent="0.3">
      <c r="A189" s="308">
        <v>188</v>
      </c>
      <c r="B189" s="29"/>
      <c r="C189" s="328"/>
      <c r="D189" s="412"/>
      <c r="E189" s="30"/>
      <c r="F189" s="357"/>
      <c r="G189" s="402"/>
      <c r="K189" s="574"/>
    </row>
    <row r="190" spans="1:11" s="215" customFormat="1" ht="13.5" customHeight="1" x14ac:dyDescent="0.3">
      <c r="A190" s="308">
        <v>189</v>
      </c>
      <c r="B190" s="29"/>
      <c r="C190" s="328"/>
      <c r="D190" s="29"/>
      <c r="E190" s="30"/>
      <c r="F190" s="357"/>
      <c r="G190" s="402"/>
      <c r="K190" s="574"/>
    </row>
    <row r="191" spans="1:11" s="215" customFormat="1" ht="13.5" customHeight="1" x14ac:dyDescent="0.3">
      <c r="A191" s="308">
        <v>190</v>
      </c>
      <c r="B191" s="29"/>
      <c r="C191" s="328"/>
      <c r="D191" s="412"/>
      <c r="E191" s="30"/>
      <c r="F191" s="357"/>
      <c r="G191" s="402"/>
      <c r="K191" s="574"/>
    </row>
    <row r="192" spans="1:11" s="215" customFormat="1" ht="13.5" customHeight="1" x14ac:dyDescent="0.3">
      <c r="A192" s="308">
        <v>191</v>
      </c>
      <c r="B192" s="419"/>
      <c r="C192" s="404"/>
      <c r="D192" s="419"/>
      <c r="E192" s="422"/>
      <c r="F192" s="423"/>
      <c r="G192" s="424"/>
      <c r="K192" s="574"/>
    </row>
    <row r="193" spans="1:15" s="215" customFormat="1" ht="13.5" customHeight="1" x14ac:dyDescent="0.3">
      <c r="A193" s="308">
        <v>192</v>
      </c>
      <c r="B193" s="29"/>
      <c r="C193" s="328"/>
      <c r="D193" s="29"/>
      <c r="E193" s="30"/>
      <c r="F193" s="357"/>
      <c r="G193" s="402"/>
      <c r="K193" s="574"/>
    </row>
    <row r="194" spans="1:15" s="215" customFormat="1" ht="13.5" customHeight="1" x14ac:dyDescent="0.3">
      <c r="A194" s="308">
        <v>193</v>
      </c>
      <c r="B194" s="445"/>
      <c r="C194" s="727"/>
      <c r="D194" s="727"/>
      <c r="E194" s="727"/>
      <c r="F194" s="727"/>
      <c r="G194" s="502"/>
      <c r="H194" s="91"/>
      <c r="I194" s="291"/>
      <c r="J194" s="291"/>
      <c r="K194" s="573"/>
      <c r="M194" s="291"/>
      <c r="N194" s="291"/>
      <c r="O194" s="291"/>
    </row>
    <row r="195" spans="1:15" s="215" customFormat="1" ht="13.5" customHeight="1" x14ac:dyDescent="0.3">
      <c r="A195" s="308">
        <v>194</v>
      </c>
      <c r="B195" s="446"/>
      <c r="C195" s="18"/>
      <c r="D195" s="18"/>
      <c r="E195" s="447"/>
      <c r="F195" s="67"/>
      <c r="G195" s="448"/>
      <c r="K195" s="574"/>
    </row>
    <row r="196" spans="1:15" s="215" customFormat="1" ht="13.5" customHeight="1" x14ac:dyDescent="0.3">
      <c r="A196" s="308">
        <v>195</v>
      </c>
      <c r="B196" s="449"/>
      <c r="C196" s="4"/>
      <c r="D196" s="5"/>
      <c r="E196" s="58"/>
      <c r="F196" s="293"/>
      <c r="G196" s="450"/>
      <c r="K196" s="574"/>
    </row>
    <row r="197" spans="1:15" s="215" customFormat="1" ht="13.5" customHeight="1" x14ac:dyDescent="0.3">
      <c r="A197" s="308">
        <v>196</v>
      </c>
      <c r="B197" s="451"/>
      <c r="C197" s="288"/>
      <c r="D197" s="288"/>
      <c r="E197" s="295"/>
      <c r="F197" s="296"/>
      <c r="G197" s="452"/>
      <c r="K197" s="574"/>
    </row>
    <row r="198" spans="1:15" s="215" customFormat="1" ht="13.5" customHeight="1" x14ac:dyDescent="0.3">
      <c r="A198" s="308">
        <v>197</v>
      </c>
      <c r="B198" s="453"/>
      <c r="C198" s="411"/>
      <c r="D198" s="454"/>
      <c r="E198" s="58"/>
      <c r="F198" s="297"/>
      <c r="G198" s="455"/>
      <c r="K198" s="574"/>
    </row>
    <row r="199" spans="1:15" s="215" customFormat="1" ht="13.5" customHeight="1" x14ac:dyDescent="0.3">
      <c r="A199" s="308">
        <v>198</v>
      </c>
      <c r="B199" s="453"/>
      <c r="C199" s="276"/>
      <c r="D199" s="29"/>
      <c r="E199" s="58"/>
      <c r="F199" s="297"/>
      <c r="G199" s="455"/>
      <c r="K199" s="574"/>
    </row>
    <row r="200" spans="1:15" s="215" customFormat="1" ht="13.5" customHeight="1" x14ac:dyDescent="0.3">
      <c r="A200" s="308">
        <v>199</v>
      </c>
      <c r="B200" s="451"/>
      <c r="C200" s="395"/>
      <c r="D200" s="456"/>
      <c r="E200" s="302"/>
      <c r="F200" s="303"/>
      <c r="G200" s="457"/>
      <c r="K200" s="574"/>
    </row>
    <row r="201" spans="1:15" s="215" customFormat="1" ht="13.5" customHeight="1" x14ac:dyDescent="0.3">
      <c r="A201" s="308">
        <v>200</v>
      </c>
      <c r="B201" s="453"/>
      <c r="C201" s="276"/>
      <c r="D201" s="29"/>
      <c r="E201" s="58"/>
      <c r="F201" s="297"/>
      <c r="G201" s="455"/>
      <c r="K201" s="574"/>
    </row>
    <row r="202" spans="1:15" s="215" customFormat="1" ht="13.5" customHeight="1" x14ac:dyDescent="0.3">
      <c r="A202" s="308">
        <v>201</v>
      </c>
      <c r="B202" s="453"/>
      <c r="C202" s="276"/>
      <c r="D202" s="29"/>
      <c r="E202" s="58"/>
      <c r="F202" s="297"/>
      <c r="G202" s="455"/>
      <c r="K202" s="574"/>
    </row>
    <row r="203" spans="1:15" s="215" customFormat="1" ht="13.5" customHeight="1" x14ac:dyDescent="0.3">
      <c r="A203" s="308">
        <v>202</v>
      </c>
      <c r="B203" s="453"/>
      <c r="C203" s="61"/>
      <c r="D203" s="6"/>
      <c r="E203" s="58"/>
      <c r="F203" s="297"/>
      <c r="G203" s="455"/>
      <c r="K203" s="574"/>
    </row>
    <row r="204" spans="1:15" s="215" customFormat="1" ht="13.5" customHeight="1" x14ac:dyDescent="0.3">
      <c r="A204" s="308">
        <v>203</v>
      </c>
      <c r="B204" s="453"/>
      <c r="C204" s="458"/>
      <c r="D204" s="459"/>
      <c r="E204" s="58"/>
      <c r="F204" s="297"/>
      <c r="G204" s="455"/>
      <c r="K204" s="574"/>
    </row>
    <row r="205" spans="1:15" s="215" customFormat="1" ht="13.5" customHeight="1" x14ac:dyDescent="0.3">
      <c r="A205" s="308">
        <v>204</v>
      </c>
      <c r="B205" s="453"/>
      <c r="C205" s="458"/>
      <c r="D205" s="459"/>
      <c r="E205" s="58"/>
      <c r="F205" s="297"/>
      <c r="G205" s="455"/>
      <c r="K205" s="574"/>
    </row>
    <row r="206" spans="1:15" s="215" customFormat="1" ht="13.5" customHeight="1" x14ac:dyDescent="0.3">
      <c r="A206" s="308">
        <v>205</v>
      </c>
      <c r="B206" s="453"/>
      <c r="C206" s="458"/>
      <c r="D206" s="459"/>
      <c r="E206" s="58"/>
      <c r="F206" s="297"/>
      <c r="G206" s="455"/>
      <c r="K206" s="574"/>
    </row>
    <row r="207" spans="1:15" s="215" customFormat="1" ht="13.5" customHeight="1" x14ac:dyDescent="0.3">
      <c r="A207" s="308">
        <v>206</v>
      </c>
      <c r="B207" s="451"/>
      <c r="C207" s="395"/>
      <c r="D207" s="456"/>
      <c r="E207" s="302"/>
      <c r="F207" s="303"/>
      <c r="G207" s="457"/>
      <c r="K207" s="574"/>
    </row>
    <row r="208" spans="1:15" s="215" customFormat="1" ht="13.5" customHeight="1" x14ac:dyDescent="0.3">
      <c r="A208" s="308">
        <v>207</v>
      </c>
      <c r="B208" s="453"/>
      <c r="C208" s="458"/>
      <c r="D208" s="459"/>
      <c r="E208" s="58"/>
      <c r="F208" s="297"/>
      <c r="G208" s="455"/>
      <c r="K208" s="574"/>
    </row>
    <row r="209" spans="1:11" s="215" customFormat="1" ht="13.5" customHeight="1" x14ac:dyDescent="0.3">
      <c r="A209" s="308"/>
      <c r="B209" s="453"/>
      <c r="C209" s="458"/>
      <c r="D209" s="459"/>
      <c r="E209" s="58"/>
      <c r="F209" s="297"/>
      <c r="G209" s="455"/>
      <c r="K209" s="574"/>
    </row>
    <row r="210" spans="1:11" s="215" customFormat="1" ht="13.5" customHeight="1" x14ac:dyDescent="0.3">
      <c r="A210" s="308"/>
      <c r="B210" s="305"/>
      <c r="C210" s="728"/>
      <c r="D210" s="728"/>
      <c r="E210" s="728"/>
      <c r="F210" s="728"/>
      <c r="G210" s="538"/>
      <c r="H210" s="91"/>
      <c r="I210" s="291"/>
      <c r="J210" s="291"/>
      <c r="K210" s="573"/>
    </row>
    <row r="211" spans="1:11" s="215" customFormat="1" ht="13.5" customHeight="1" x14ac:dyDescent="0.3">
      <c r="A211" s="308"/>
      <c r="B211" s="300"/>
      <c r="C211" s="381"/>
      <c r="D211" s="382"/>
      <c r="E211" s="382"/>
      <c r="F211" s="383"/>
      <c r="G211" s="93"/>
      <c r="K211" s="574"/>
    </row>
    <row r="212" spans="1:11" s="215" customFormat="1" ht="13.5" customHeight="1" x14ac:dyDescent="0.3">
      <c r="A212" s="308"/>
      <c r="B212" s="92"/>
      <c r="C212" s="59"/>
      <c r="D212" s="92"/>
      <c r="E212" s="58"/>
      <c r="F212" s="307"/>
      <c r="G212" s="549"/>
      <c r="K212" s="574"/>
    </row>
    <row r="213" spans="1:11" s="215" customFormat="1" ht="13.5" customHeight="1" x14ac:dyDescent="0.3">
      <c r="A213" s="308"/>
      <c r="B213" s="300"/>
      <c r="C213" s="381"/>
      <c r="D213" s="382"/>
      <c r="E213" s="382"/>
      <c r="F213" s="383"/>
      <c r="G213" s="93"/>
      <c r="K213" s="574"/>
    </row>
    <row r="214" spans="1:11" s="215" customFormat="1" ht="13.5" customHeight="1" x14ac:dyDescent="0.3">
      <c r="A214" s="308"/>
      <c r="B214" s="92"/>
      <c r="C214" s="59"/>
      <c r="D214" s="92"/>
      <c r="E214" s="58"/>
      <c r="F214" s="307"/>
      <c r="G214" s="549"/>
      <c r="K214" s="574"/>
    </row>
    <row r="215" spans="1:11" s="215" customFormat="1" ht="13.5" customHeight="1" x14ac:dyDescent="0.3">
      <c r="A215" s="308"/>
      <c r="B215" s="92"/>
      <c r="C215" s="61"/>
      <c r="D215" s="92"/>
      <c r="E215" s="58"/>
      <c r="F215" s="307"/>
      <c r="G215" s="549"/>
      <c r="K215" s="574"/>
    </row>
    <row r="216" spans="1:11" s="215" customFormat="1" ht="13.5" customHeight="1" x14ac:dyDescent="0.3">
      <c r="A216" s="308"/>
      <c r="B216" s="300"/>
      <c r="C216" s="381"/>
      <c r="D216" s="382"/>
      <c r="E216" s="382"/>
      <c r="F216" s="383"/>
      <c r="G216" s="93"/>
      <c r="K216" s="574"/>
    </row>
    <row r="217" spans="1:11" s="215" customFormat="1" ht="13.5" customHeight="1" x14ac:dyDescent="0.3">
      <c r="A217" s="308"/>
      <c r="B217" s="92"/>
      <c r="C217" s="59"/>
      <c r="D217" s="92"/>
      <c r="E217" s="58"/>
      <c r="F217" s="307"/>
      <c r="G217" s="549"/>
      <c r="K217" s="574"/>
    </row>
    <row r="218" spans="1:11" s="215" customFormat="1" ht="13.5" customHeight="1" x14ac:dyDescent="0.3">
      <c r="A218" s="308"/>
      <c r="B218" s="92"/>
      <c r="C218" s="63"/>
      <c r="D218" s="92"/>
      <c r="E218" s="58"/>
      <c r="F218" s="307"/>
      <c r="G218" s="549"/>
      <c r="K218" s="574"/>
    </row>
    <row r="219" spans="1:11" s="215" customFormat="1" ht="13.5" customHeight="1" x14ac:dyDescent="0.3">
      <c r="A219" s="308"/>
      <c r="B219" s="92"/>
      <c r="C219" s="63"/>
      <c r="D219" s="92"/>
      <c r="E219" s="58"/>
      <c r="F219" s="307"/>
      <c r="G219" s="549"/>
      <c r="K219" s="574"/>
    </row>
    <row r="220" spans="1:11" s="215" customFormat="1" ht="13.5" customHeight="1" x14ac:dyDescent="0.3">
      <c r="A220" s="308"/>
      <c r="B220" s="92"/>
      <c r="C220" s="63"/>
      <c r="D220" s="92"/>
      <c r="E220" s="58"/>
      <c r="F220" s="307"/>
      <c r="G220" s="549"/>
      <c r="K220" s="574"/>
    </row>
    <row r="221" spans="1:11" s="215" customFormat="1" ht="13.5" customHeight="1" x14ac:dyDescent="0.3">
      <c r="A221" s="308"/>
      <c r="B221" s="300"/>
      <c r="C221" s="381"/>
      <c r="D221" s="382"/>
      <c r="E221" s="382"/>
      <c r="F221" s="383"/>
      <c r="G221" s="304"/>
      <c r="K221" s="574"/>
    </row>
    <row r="222" spans="1:11" s="215" customFormat="1" ht="13.5" customHeight="1" x14ac:dyDescent="0.3">
      <c r="A222" s="308"/>
      <c r="B222" s="92"/>
      <c r="C222" s="61"/>
      <c r="D222" s="92"/>
      <c r="E222" s="58"/>
      <c r="F222" s="297"/>
      <c r="G222" s="298"/>
      <c r="K222" s="574"/>
    </row>
    <row r="223" spans="1:11" s="215" customFormat="1" ht="13.5" customHeight="1" x14ac:dyDescent="0.3">
      <c r="A223" s="308"/>
      <c r="B223" s="550"/>
      <c r="C223" s="551"/>
      <c r="D223" s="550"/>
      <c r="E223" s="552"/>
      <c r="F223" s="553"/>
      <c r="G223" s="554"/>
      <c r="K223" s="574"/>
    </row>
    <row r="224" spans="1:11" s="215" customFormat="1" ht="13.5" customHeight="1" x14ac:dyDescent="0.3">
      <c r="A224" s="308"/>
      <c r="B224" s="305"/>
      <c r="C224" s="728"/>
      <c r="D224" s="728"/>
      <c r="E224" s="728"/>
      <c r="F224" s="728"/>
      <c r="G224" s="538"/>
      <c r="H224" s="91"/>
      <c r="I224" s="291"/>
      <c r="J224" s="291"/>
      <c r="K224" s="573"/>
    </row>
    <row r="225" spans="1:11" s="215" customFormat="1" ht="13.5" customHeight="1" x14ac:dyDescent="0.3">
      <c r="A225" s="308"/>
      <c r="B225" s="300"/>
      <c r="C225" s="381"/>
      <c r="D225" s="382"/>
      <c r="E225" s="382"/>
      <c r="F225" s="383"/>
      <c r="G225" s="93"/>
      <c r="K225" s="574"/>
    </row>
    <row r="226" spans="1:11" s="215" customFormat="1" ht="13.5" customHeight="1" x14ac:dyDescent="0.3">
      <c r="A226" s="308"/>
      <c r="B226" s="92"/>
      <c r="C226" s="59"/>
      <c r="D226" s="92"/>
      <c r="E226" s="58"/>
      <c r="F226" s="307"/>
      <c r="G226" s="549"/>
      <c r="K226" s="574"/>
    </row>
    <row r="227" spans="1:11" s="215" customFormat="1" ht="13.5" customHeight="1" x14ac:dyDescent="0.3">
      <c r="A227" s="308"/>
      <c r="B227" s="558"/>
      <c r="C227" s="565"/>
      <c r="D227" s="555"/>
      <c r="E227" s="556"/>
      <c r="F227" s="557"/>
      <c r="G227" s="93"/>
      <c r="K227" s="574"/>
    </row>
    <row r="228" spans="1:11" s="215" customFormat="1" ht="13.5" customHeight="1" x14ac:dyDescent="0.3">
      <c r="A228" s="308"/>
      <c r="B228" s="92"/>
      <c r="C228" s="566"/>
      <c r="D228" s="567"/>
      <c r="E228" s="58"/>
      <c r="F228" s="297"/>
      <c r="G228" s="298"/>
      <c r="K228" s="574"/>
    </row>
    <row r="229" spans="1:11" s="215" customFormat="1" ht="13.5" customHeight="1" x14ac:dyDescent="0.3">
      <c r="A229" s="308"/>
      <c r="B229" s="92"/>
      <c r="C229" s="566"/>
      <c r="D229" s="567"/>
      <c r="E229" s="58"/>
      <c r="F229" s="297"/>
      <c r="G229" s="298"/>
      <c r="K229" s="574"/>
    </row>
    <row r="230" spans="1:11" s="215" customFormat="1" ht="13.5" customHeight="1" x14ac:dyDescent="0.3">
      <c r="A230" s="308"/>
      <c r="B230" s="92"/>
      <c r="C230" s="566"/>
      <c r="D230" s="567"/>
      <c r="E230" s="58"/>
      <c r="F230" s="297"/>
      <c r="G230" s="298"/>
      <c r="K230" s="574"/>
    </row>
    <row r="231" spans="1:11" s="215" customFormat="1" ht="13.5" customHeight="1" x14ac:dyDescent="0.3">
      <c r="A231" s="308"/>
      <c r="B231" s="92"/>
      <c r="C231" s="566"/>
      <c r="D231" s="567"/>
      <c r="E231" s="58"/>
      <c r="F231" s="297"/>
      <c r="G231" s="298"/>
      <c r="K231" s="574"/>
    </row>
    <row r="232" spans="1:11" s="215" customFormat="1" ht="13.5" customHeight="1" x14ac:dyDescent="0.3">
      <c r="A232" s="308"/>
      <c r="B232" s="92"/>
      <c r="C232" s="566"/>
      <c r="D232" s="567"/>
      <c r="E232" s="58"/>
      <c r="F232" s="297"/>
      <c r="G232" s="298"/>
      <c r="K232" s="574"/>
    </row>
    <row r="233" spans="1:11" s="215" customFormat="1" ht="13.5" customHeight="1" x14ac:dyDescent="0.3">
      <c r="A233" s="308"/>
      <c r="B233" s="300"/>
      <c r="C233" s="64"/>
      <c r="D233" s="64"/>
      <c r="E233" s="64"/>
      <c r="F233" s="64"/>
      <c r="G233" s="93"/>
      <c r="K233" s="574"/>
    </row>
    <row r="234" spans="1:11" s="215" customFormat="1" ht="13.5" customHeight="1" x14ac:dyDescent="0.3">
      <c r="A234" s="308"/>
      <c r="B234" s="92"/>
      <c r="C234" s="61"/>
      <c r="D234" s="92"/>
      <c r="E234" s="58"/>
      <c r="F234" s="307"/>
      <c r="G234" s="298"/>
      <c r="K234" s="574"/>
    </row>
    <row r="235" spans="1:11" s="215" customFormat="1" ht="13.5" customHeight="1" x14ac:dyDescent="0.3">
      <c r="A235" s="308"/>
      <c r="B235" s="92"/>
      <c r="C235" s="59"/>
      <c r="D235" s="92"/>
      <c r="E235" s="58"/>
      <c r="F235" s="307"/>
      <c r="G235" s="298"/>
      <c r="K235" s="574"/>
    </row>
    <row r="236" spans="1:11" s="215" customFormat="1" ht="13.5" customHeight="1" x14ac:dyDescent="0.3">
      <c r="A236" s="308"/>
      <c r="B236" s="300"/>
      <c r="C236" s="64"/>
      <c r="D236" s="64"/>
      <c r="E236" s="64"/>
      <c r="F236" s="64"/>
      <c r="G236" s="93"/>
      <c r="K236" s="574"/>
    </row>
    <row r="237" spans="1:11" s="215" customFormat="1" ht="13.5" customHeight="1" x14ac:dyDescent="0.3">
      <c r="A237" s="308"/>
      <c r="B237" s="92"/>
      <c r="C237" s="62"/>
      <c r="D237" s="92"/>
      <c r="E237" s="58"/>
      <c r="F237" s="293"/>
      <c r="G237" s="298"/>
      <c r="K237" s="574"/>
    </row>
    <row r="238" spans="1:11" s="215" customFormat="1" ht="13.5" customHeight="1" x14ac:dyDescent="0.3">
      <c r="A238" s="308"/>
      <c r="B238" s="299"/>
      <c r="C238" s="64"/>
      <c r="D238" s="64"/>
      <c r="E238" s="64"/>
      <c r="F238" s="64"/>
      <c r="G238" s="93"/>
      <c r="K238" s="574"/>
    </row>
    <row r="239" spans="1:11" s="215" customFormat="1" ht="13.5" customHeight="1" x14ac:dyDescent="0.3">
      <c r="A239" s="308"/>
      <c r="B239" s="92"/>
      <c r="C239" s="62"/>
      <c r="D239" s="92"/>
      <c r="E239" s="58"/>
      <c r="F239" s="293"/>
      <c r="G239" s="298"/>
      <c r="K239" s="574"/>
    </row>
    <row r="240" spans="1:11" s="215" customFormat="1" ht="13.5" customHeight="1" x14ac:dyDescent="0.3">
      <c r="A240" s="308"/>
      <c r="B240" s="92"/>
      <c r="C240" s="62"/>
      <c r="D240" s="92"/>
      <c r="E240" s="58"/>
      <c r="F240" s="293"/>
      <c r="G240" s="298"/>
      <c r="K240" s="574"/>
    </row>
    <row r="241" spans="1:11" s="215" customFormat="1" ht="13.5" customHeight="1" x14ac:dyDescent="0.3">
      <c r="A241" s="308"/>
      <c r="B241" s="299"/>
      <c r="C241" s="64"/>
      <c r="D241" s="64"/>
      <c r="E241" s="295"/>
      <c r="F241" s="296"/>
      <c r="G241" s="93"/>
      <c r="K241" s="574"/>
    </row>
    <row r="242" spans="1:11" s="215" customFormat="1" ht="13.5" customHeight="1" x14ac:dyDescent="0.3">
      <c r="A242" s="308"/>
      <c r="B242" s="92"/>
      <c r="C242" s="61"/>
      <c r="D242" s="92"/>
      <c r="E242" s="58"/>
      <c r="F242" s="297"/>
      <c r="G242" s="298"/>
      <c r="K242" s="574"/>
    </row>
    <row r="243" spans="1:11" s="215" customFormat="1" ht="27" customHeight="1" x14ac:dyDescent="0.3">
      <c r="A243" s="308"/>
      <c r="B243" s="92"/>
      <c r="C243" s="62"/>
      <c r="D243" s="92"/>
      <c r="E243" s="58"/>
      <c r="F243" s="297"/>
      <c r="G243" s="298"/>
      <c r="K243" s="574"/>
    </row>
    <row r="244" spans="1:11" s="215" customFormat="1" ht="15" customHeight="1" x14ac:dyDescent="0.3">
      <c r="A244" s="308"/>
      <c r="B244" s="300"/>
      <c r="C244" s="64"/>
      <c r="D244" s="64"/>
      <c r="E244" s="295"/>
      <c r="F244" s="296"/>
      <c r="G244" s="93"/>
      <c r="K244" s="574"/>
    </row>
    <row r="245" spans="1:11" s="215" customFormat="1" ht="15" customHeight="1" x14ac:dyDescent="0.3">
      <c r="A245" s="308"/>
      <c r="B245" s="92"/>
      <c r="C245" s="61"/>
      <c r="D245" s="5"/>
      <c r="E245" s="58"/>
      <c r="F245" s="297"/>
      <c r="G245" s="298"/>
      <c r="K245" s="574"/>
    </row>
    <row r="246" spans="1:11" s="215" customFormat="1" ht="15" customHeight="1" x14ac:dyDescent="0.3">
      <c r="A246" s="308"/>
      <c r="B246" s="92"/>
      <c r="C246" s="61"/>
      <c r="D246" s="5"/>
      <c r="E246" s="58"/>
      <c r="F246" s="297"/>
      <c r="G246" s="298"/>
      <c r="K246" s="574"/>
    </row>
    <row r="247" spans="1:11" s="215" customFormat="1" ht="15" customHeight="1" x14ac:dyDescent="0.3">
      <c r="A247" s="308"/>
      <c r="B247" s="92"/>
      <c r="C247" s="61"/>
      <c r="D247" s="5"/>
      <c r="E247" s="58"/>
      <c r="F247" s="297"/>
      <c r="G247" s="298"/>
      <c r="K247" s="574"/>
    </row>
    <row r="248" spans="1:11" s="215" customFormat="1" ht="15" customHeight="1" x14ac:dyDescent="0.3">
      <c r="A248" s="308"/>
      <c r="B248" s="92"/>
      <c r="C248" s="61"/>
      <c r="D248" s="5"/>
      <c r="E248" s="58"/>
      <c r="F248" s="297"/>
      <c r="G248" s="298"/>
      <c r="K248" s="574"/>
    </row>
    <row r="249" spans="1:11" s="215" customFormat="1" ht="15" customHeight="1" x14ac:dyDescent="0.3">
      <c r="A249" s="308"/>
      <c r="B249" s="92"/>
      <c r="C249" s="61"/>
      <c r="D249" s="5"/>
      <c r="E249" s="58"/>
      <c r="F249" s="297"/>
      <c r="G249" s="298"/>
      <c r="K249" s="574"/>
    </row>
    <row r="250" spans="1:11" s="215" customFormat="1" ht="15" customHeight="1" x14ac:dyDescent="0.3">
      <c r="A250" s="308"/>
      <c r="B250" s="92"/>
      <c r="C250" s="61"/>
      <c r="D250" s="5"/>
      <c r="E250" s="58"/>
      <c r="F250" s="297"/>
      <c r="G250" s="298"/>
      <c r="K250" s="574"/>
    </row>
    <row r="251" spans="1:11" s="215" customFormat="1" ht="15" customHeight="1" x14ac:dyDescent="0.3">
      <c r="A251" s="308"/>
      <c r="B251" s="92"/>
      <c r="C251" s="61"/>
      <c r="D251" s="5"/>
      <c r="E251" s="58"/>
      <c r="F251" s="297"/>
      <c r="G251" s="298"/>
      <c r="K251" s="574"/>
    </row>
    <row r="252" spans="1:11" s="215" customFormat="1" ht="15" customHeight="1" x14ac:dyDescent="0.3">
      <c r="A252" s="308"/>
      <c r="B252" s="403"/>
      <c r="C252" s="409"/>
      <c r="D252" s="410"/>
      <c r="E252" s="400"/>
      <c r="F252" s="401"/>
      <c r="G252" s="93"/>
      <c r="K252" s="574"/>
    </row>
    <row r="253" spans="1:11" s="215" customFormat="1" ht="15" customHeight="1" x14ac:dyDescent="0.3">
      <c r="A253" s="308"/>
      <c r="B253" s="29"/>
      <c r="C253" s="411"/>
      <c r="D253" s="412"/>
      <c r="E253" s="30"/>
      <c r="F253" s="357"/>
      <c r="G253" s="298"/>
      <c r="K253" s="574"/>
    </row>
    <row r="254" spans="1:11" s="215" customFormat="1" ht="15" customHeight="1" x14ac:dyDescent="0.3">
      <c r="A254" s="308"/>
      <c r="B254" s="403"/>
      <c r="C254" s="404"/>
      <c r="D254" s="405"/>
      <c r="E254" s="400"/>
      <c r="F254" s="401"/>
      <c r="G254" s="93"/>
      <c r="K254" s="574"/>
    </row>
    <row r="255" spans="1:11" s="215" customFormat="1" ht="15" customHeight="1" x14ac:dyDescent="0.3">
      <c r="A255" s="308"/>
      <c r="B255" s="29"/>
      <c r="C255" s="328"/>
      <c r="D255" s="412"/>
      <c r="E255" s="30"/>
      <c r="F255" s="357"/>
      <c r="G255" s="298"/>
      <c r="K255" s="574"/>
    </row>
    <row r="256" spans="1:11" s="215" customFormat="1" ht="15" customHeight="1" x14ac:dyDescent="0.3">
      <c r="A256" s="308"/>
      <c r="B256" s="29"/>
      <c r="C256" s="328"/>
      <c r="D256" s="6"/>
      <c r="E256" s="30"/>
      <c r="F256" s="357"/>
      <c r="G256" s="298"/>
      <c r="K256" s="574"/>
    </row>
    <row r="257" spans="1:11" s="215" customFormat="1" ht="13.5" customHeight="1" x14ac:dyDescent="0.3">
      <c r="A257" s="308"/>
      <c r="B257" s="29"/>
      <c r="C257" s="328"/>
      <c r="D257" s="412"/>
      <c r="E257" s="30"/>
      <c r="F257" s="357"/>
      <c r="G257" s="298"/>
      <c r="K257" s="574"/>
    </row>
    <row r="258" spans="1:11" s="215" customFormat="1" ht="13.5" customHeight="1" x14ac:dyDescent="0.3">
      <c r="A258" s="308"/>
      <c r="B258" s="29"/>
      <c r="C258" s="328"/>
      <c r="D258" s="29"/>
      <c r="E258" s="30"/>
      <c r="F258" s="357"/>
      <c r="G258" s="298"/>
      <c r="K258" s="574"/>
    </row>
    <row r="259" spans="1:11" s="215" customFormat="1" ht="13.5" customHeight="1" x14ac:dyDescent="0.3">
      <c r="A259" s="308"/>
      <c r="B259" s="299"/>
      <c r="C259" s="64"/>
      <c r="D259" s="64"/>
      <c r="E259" s="295"/>
      <c r="F259" s="296"/>
      <c r="G259" s="93"/>
      <c r="K259" s="574"/>
    </row>
    <row r="260" spans="1:11" s="215" customFormat="1" ht="13.5" customHeight="1" x14ac:dyDescent="0.3">
      <c r="A260" s="308"/>
      <c r="B260" s="92"/>
      <c r="C260" s="63"/>
      <c r="D260" s="92"/>
      <c r="E260" s="58"/>
      <c r="F260" s="297"/>
      <c r="G260" s="298"/>
      <c r="K260" s="574"/>
    </row>
    <row r="261" spans="1:11" s="215" customFormat="1" ht="13.5" customHeight="1" x14ac:dyDescent="0.3">
      <c r="A261" s="308"/>
      <c r="B261" s="92"/>
      <c r="C261" s="62"/>
      <c r="D261" s="92"/>
      <c r="E261" s="58"/>
      <c r="F261" s="297"/>
      <c r="G261" s="298"/>
      <c r="K261" s="574"/>
    </row>
    <row r="262" spans="1:11" s="215" customFormat="1" ht="13.5" customHeight="1" x14ac:dyDescent="0.3">
      <c r="A262" s="308"/>
      <c r="B262" s="299"/>
      <c r="C262" s="395"/>
      <c r="D262" s="559"/>
      <c r="E262" s="302"/>
      <c r="F262" s="303"/>
      <c r="G262" s="93"/>
      <c r="K262" s="574"/>
    </row>
    <row r="263" spans="1:11" s="215" customFormat="1" ht="13.5" customHeight="1" x14ac:dyDescent="0.3">
      <c r="A263" s="308"/>
      <c r="B263" s="301"/>
      <c r="C263" s="276"/>
      <c r="D263" s="29"/>
      <c r="E263" s="58"/>
      <c r="F263" s="297"/>
      <c r="G263" s="298"/>
      <c r="K263" s="574"/>
    </row>
    <row r="264" spans="1:11" s="215" customFormat="1" ht="13.5" customHeight="1" x14ac:dyDescent="0.3">
      <c r="A264" s="308"/>
      <c r="B264" s="301"/>
      <c r="C264" s="276"/>
      <c r="D264" s="29"/>
      <c r="E264" s="58"/>
      <c r="F264" s="297"/>
      <c r="G264" s="298"/>
      <c r="K264" s="574"/>
    </row>
    <row r="265" spans="1:11" s="215" customFormat="1" ht="13.5" customHeight="1" x14ac:dyDescent="0.3">
      <c r="A265" s="308"/>
      <c r="B265" s="301"/>
      <c r="C265" s="61"/>
      <c r="D265" s="6"/>
      <c r="E265" s="58"/>
      <c r="F265" s="297"/>
      <c r="G265" s="298"/>
      <c r="K265" s="574"/>
    </row>
    <row r="266" spans="1:11" s="215" customFormat="1" ht="13.5" customHeight="1" x14ac:dyDescent="0.3">
      <c r="A266" s="308"/>
      <c r="B266" s="301"/>
      <c r="C266" s="61"/>
      <c r="D266" s="6"/>
      <c r="E266" s="58"/>
      <c r="F266" s="297"/>
      <c r="G266" s="298"/>
      <c r="K266" s="574"/>
    </row>
    <row r="267" spans="1:11" s="215" customFormat="1" ht="13.5" customHeight="1" x14ac:dyDescent="0.3">
      <c r="A267" s="308"/>
      <c r="B267" s="300"/>
      <c r="C267" s="64"/>
      <c r="D267" s="295"/>
      <c r="E267" s="295"/>
      <c r="F267" s="296"/>
      <c r="G267" s="93"/>
      <c r="I267" s="571"/>
      <c r="K267" s="574"/>
    </row>
    <row r="268" spans="1:11" s="215" customFormat="1" ht="13.5" customHeight="1" x14ac:dyDescent="0.3">
      <c r="A268" s="308"/>
      <c r="B268" s="92"/>
      <c r="C268" s="61"/>
      <c r="D268" s="92"/>
      <c r="E268" s="58"/>
      <c r="F268" s="297"/>
      <c r="G268" s="298"/>
      <c r="K268" s="574"/>
    </row>
    <row r="269" spans="1:11" s="215" customFormat="1" ht="13.5" customHeight="1" x14ac:dyDescent="0.3">
      <c r="A269" s="308"/>
      <c r="B269" s="300"/>
      <c r="C269" s="64"/>
      <c r="D269" s="300"/>
      <c r="E269" s="302"/>
      <c r="F269" s="303"/>
      <c r="G269" s="93"/>
      <c r="K269" s="574"/>
    </row>
    <row r="270" spans="1:11" s="215" customFormat="1" ht="13.5" customHeight="1" x14ac:dyDescent="0.3">
      <c r="A270" s="308"/>
      <c r="B270" s="92"/>
      <c r="C270" s="61"/>
      <c r="D270" s="92"/>
      <c r="E270" s="58"/>
      <c r="F270" s="297"/>
      <c r="G270" s="298"/>
      <c r="K270" s="574"/>
    </row>
    <row r="271" spans="1:11" x14ac:dyDescent="0.3">
      <c r="B271" s="729"/>
      <c r="C271" s="729"/>
      <c r="D271" s="729"/>
      <c r="E271" s="729"/>
      <c r="F271" s="729"/>
      <c r="G271" s="729"/>
      <c r="H271" s="1" t="s">
        <v>124</v>
      </c>
    </row>
    <row r="272" spans="1:11" x14ac:dyDescent="0.3">
      <c r="B272" s="96"/>
      <c r="C272" s="719" t="s">
        <v>1034</v>
      </c>
      <c r="D272" s="720"/>
      <c r="E272" s="721"/>
      <c r="F272" s="109"/>
      <c r="G272" s="97">
        <f>G12+G84+G136+G194+G210+G224</f>
        <v>0</v>
      </c>
    </row>
    <row r="273" spans="2:14" x14ac:dyDescent="0.3">
      <c r="B273" s="56"/>
      <c r="C273" s="722" t="s">
        <v>620</v>
      </c>
      <c r="D273" s="723"/>
      <c r="E273" s="724"/>
      <c r="F273" s="110">
        <v>0.24</v>
      </c>
      <c r="G273" s="94">
        <f>G272*F273</f>
        <v>0</v>
      </c>
      <c r="K273" s="575"/>
      <c r="L273" s="10"/>
    </row>
    <row r="274" spans="2:14" x14ac:dyDescent="0.3">
      <c r="B274" s="56"/>
      <c r="C274" s="722" t="s">
        <v>621</v>
      </c>
      <c r="D274" s="723"/>
      <c r="E274" s="724"/>
      <c r="F274" s="110">
        <v>0.01</v>
      </c>
      <c r="G274" s="94">
        <f>G272*F274</f>
        <v>0</v>
      </c>
      <c r="N274" s="10"/>
    </row>
    <row r="275" spans="2:14" x14ac:dyDescent="0.3">
      <c r="B275" s="56"/>
      <c r="C275" s="722" t="s">
        <v>622</v>
      </c>
      <c r="D275" s="723"/>
      <c r="E275" s="724"/>
      <c r="F275" s="95">
        <v>0.05</v>
      </c>
      <c r="G275" s="94">
        <f>G272*F275</f>
        <v>0</v>
      </c>
    </row>
    <row r="276" spans="2:14" x14ac:dyDescent="0.3">
      <c r="B276" s="96"/>
      <c r="C276" s="719" t="s">
        <v>1035</v>
      </c>
      <c r="D276" s="720"/>
      <c r="E276" s="721"/>
      <c r="F276" s="109"/>
      <c r="G276" s="97">
        <f>SUM(G273:G275)</f>
        <v>0</v>
      </c>
    </row>
    <row r="277" spans="2:14" x14ac:dyDescent="0.3">
      <c r="B277" s="492"/>
      <c r="C277" s="725" t="s">
        <v>1036</v>
      </c>
      <c r="D277" s="725"/>
      <c r="E277" s="725"/>
      <c r="F277" s="493"/>
      <c r="G277" s="494">
        <f>G272+G276</f>
        <v>0</v>
      </c>
      <c r="H277" s="72"/>
      <c r="I277" s="10"/>
    </row>
    <row r="278" spans="2:14" x14ac:dyDescent="0.3">
      <c r="B278" s="29"/>
      <c r="C278" s="714" t="s">
        <v>1032</v>
      </c>
      <c r="D278" s="714"/>
      <c r="E278" s="714"/>
      <c r="F278" s="110">
        <v>0.01</v>
      </c>
      <c r="G278" s="94">
        <f>G277*F278</f>
        <v>0</v>
      </c>
    </row>
    <row r="279" spans="2:14" x14ac:dyDescent="0.3">
      <c r="B279" s="497"/>
      <c r="C279" s="715" t="s">
        <v>1037</v>
      </c>
      <c r="D279" s="715"/>
      <c r="E279" s="715"/>
      <c r="F279" s="495"/>
      <c r="G279" s="496">
        <f>G277+G278</f>
        <v>0</v>
      </c>
      <c r="I279" s="214"/>
    </row>
    <row r="280" spans="2:14" x14ac:dyDescent="0.3">
      <c r="B280" s="29"/>
      <c r="C280" s="714" t="s">
        <v>1033</v>
      </c>
      <c r="D280" s="714"/>
      <c r="E280" s="714"/>
      <c r="F280" s="110">
        <v>7.0000000000000007E-2</v>
      </c>
      <c r="G280" s="94">
        <f>G279*F280</f>
        <v>0</v>
      </c>
      <c r="H280" s="10"/>
      <c r="I280" s="10"/>
    </row>
    <row r="281" spans="2:14" x14ac:dyDescent="0.3">
      <c r="B281" s="498"/>
      <c r="C281" s="716" t="s">
        <v>1038</v>
      </c>
      <c r="D281" s="716"/>
      <c r="E281" s="716"/>
      <c r="F281" s="499"/>
      <c r="G281" s="500">
        <f>G279+G280</f>
        <v>0</v>
      </c>
      <c r="J281" s="10"/>
      <c r="K281" s="576"/>
      <c r="L281" s="291"/>
      <c r="M281" s="572"/>
    </row>
    <row r="282" spans="2:14" x14ac:dyDescent="0.3">
      <c r="C282" s="35"/>
      <c r="D282" s="35"/>
      <c r="E282" s="35"/>
      <c r="F282" s="68"/>
      <c r="G282" s="36"/>
      <c r="J282" s="10"/>
    </row>
    <row r="283" spans="2:14" x14ac:dyDescent="0.3">
      <c r="C283" s="35"/>
      <c r="D283" s="35"/>
      <c r="E283" s="35"/>
      <c r="F283" s="68"/>
      <c r="G283" s="36"/>
      <c r="J283" s="10"/>
    </row>
    <row r="284" spans="2:14" x14ac:dyDescent="0.3">
      <c r="C284" s="35"/>
      <c r="D284" s="35"/>
      <c r="E284" s="35"/>
      <c r="F284" s="68"/>
      <c r="G284" s="36"/>
      <c r="J284" s="10"/>
    </row>
    <row r="285" spans="2:14" x14ac:dyDescent="0.3">
      <c r="C285" s="35"/>
      <c r="D285" s="35"/>
      <c r="E285" s="35"/>
      <c r="F285" s="68"/>
      <c r="G285" s="36"/>
      <c r="I285" s="10"/>
    </row>
    <row r="286" spans="2:14" x14ac:dyDescent="0.3">
      <c r="C286" s="28"/>
    </row>
    <row r="287" spans="2:14" x14ac:dyDescent="0.3">
      <c r="C287" s="309" t="s">
        <v>691</v>
      </c>
      <c r="E287" s="717" t="s">
        <v>122</v>
      </c>
      <c r="F287" s="717"/>
      <c r="G287" s="717"/>
    </row>
    <row r="288" spans="2:14" x14ac:dyDescent="0.3">
      <c r="C288" s="28" t="s">
        <v>121</v>
      </c>
      <c r="E288" s="718" t="s">
        <v>123</v>
      </c>
      <c r="F288" s="718"/>
      <c r="G288" s="718"/>
    </row>
  </sheetData>
  <mergeCells count="24">
    <mergeCell ref="B271:G271"/>
    <mergeCell ref="B3:G7"/>
    <mergeCell ref="B8:G8"/>
    <mergeCell ref="B9:G9"/>
    <mergeCell ref="B10:G10"/>
    <mergeCell ref="C12:F12"/>
    <mergeCell ref="B83:G83"/>
    <mergeCell ref="C84:F84"/>
    <mergeCell ref="C136:F136"/>
    <mergeCell ref="C194:F194"/>
    <mergeCell ref="C210:F210"/>
    <mergeCell ref="C224:F224"/>
    <mergeCell ref="E288:G288"/>
    <mergeCell ref="C272:E272"/>
    <mergeCell ref="C273:E273"/>
    <mergeCell ref="C274:E274"/>
    <mergeCell ref="C275:E275"/>
    <mergeCell ref="C276:E276"/>
    <mergeCell ref="C277:E277"/>
    <mergeCell ref="C278:E278"/>
    <mergeCell ref="C279:E279"/>
    <mergeCell ref="C280:E280"/>
    <mergeCell ref="C281:E281"/>
    <mergeCell ref="E287:G287"/>
  </mergeCells>
  <conditionalFormatting sqref="C227">
    <cfRule type="expression" dxfId="1" priority="2">
      <formula>ROW()=CELL("FILA")</formula>
    </cfRule>
  </conditionalFormatting>
  <conditionalFormatting sqref="C228:D235">
    <cfRule type="expression" dxfId="0" priority="1">
      <formula>ROW()=CELL("FILA")</formula>
    </cfRule>
  </conditionalFormatting>
  <pageMargins left="0.70866141732283472" right="0.70866141732283472" top="0.59055118110236227" bottom="0.59055118110236227" header="0.31496062992125984" footer="0.31496062992125984"/>
  <pageSetup paperSize="9" scale="60" fitToHeight="0" orientation="portrait" r:id="rId1"/>
  <rowBreaks count="3" manualBreakCount="3">
    <brk id="67" min="1" max="6" man="1"/>
    <brk id="139" min="1" max="6" man="1"/>
    <brk id="216" min="1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04EA-AF07-418F-B85F-050D9E5A43C1}">
  <dimension ref="B2:S43"/>
  <sheetViews>
    <sheetView view="pageBreakPreview" zoomScale="70" zoomScaleNormal="100" zoomScaleSheetLayoutView="70" workbookViewId="0">
      <selection activeCell="M9" sqref="M9"/>
    </sheetView>
  </sheetViews>
  <sheetFormatPr baseColWidth="10" defaultRowHeight="14.4" x14ac:dyDescent="0.3"/>
  <cols>
    <col min="2" max="2" width="6.33203125" bestFit="1" customWidth="1"/>
    <col min="3" max="3" width="24.88671875" customWidth="1"/>
    <col min="4" max="4" width="15" customWidth="1"/>
    <col min="5" max="5" width="15.5546875" customWidth="1"/>
    <col min="6" max="6" width="19.6640625" customWidth="1"/>
    <col min="7" max="7" width="18.109375" customWidth="1"/>
    <col min="8" max="8" width="24.33203125" customWidth="1"/>
    <col min="9" max="9" width="19.109375" style="475" customWidth="1"/>
    <col min="10" max="10" width="20" customWidth="1"/>
    <col min="11" max="11" width="13.44140625" bestFit="1" customWidth="1"/>
    <col min="12" max="12" width="15.109375" bestFit="1" customWidth="1"/>
    <col min="15" max="15" width="19.109375" bestFit="1" customWidth="1"/>
    <col min="16" max="16" width="31.109375" customWidth="1"/>
    <col min="17" max="17" width="15.5546875" bestFit="1" customWidth="1"/>
  </cols>
  <sheetData>
    <row r="2" spans="2:8" ht="115.5" customHeight="1" thickBot="1" x14ac:dyDescent="0.35">
      <c r="B2" s="812" t="s">
        <v>1300</v>
      </c>
      <c r="C2" s="813"/>
      <c r="D2" s="813"/>
      <c r="E2" s="813"/>
      <c r="F2" s="813"/>
      <c r="G2" s="813"/>
      <c r="H2" s="813"/>
    </row>
    <row r="3" spans="2:8" ht="16.8" thickTop="1" thickBot="1" x14ac:dyDescent="0.35">
      <c r="B3" s="814" t="s">
        <v>1254</v>
      </c>
      <c r="C3" s="815"/>
      <c r="D3" s="815"/>
      <c r="E3" s="815"/>
      <c r="F3" s="815"/>
      <c r="G3" s="815"/>
      <c r="H3" s="815"/>
    </row>
    <row r="4" spans="2:8" ht="15.6" thickTop="1" thickBot="1" x14ac:dyDescent="0.35">
      <c r="B4" s="816" t="s">
        <v>620</v>
      </c>
      <c r="C4" s="817"/>
      <c r="D4" s="817"/>
      <c r="E4" s="817"/>
      <c r="F4" s="817"/>
      <c r="G4" s="817"/>
      <c r="H4" s="818"/>
    </row>
    <row r="5" spans="2:8" ht="15" thickBot="1" x14ac:dyDescent="0.35">
      <c r="B5" s="577">
        <v>1</v>
      </c>
      <c r="C5" s="578" t="s">
        <v>1255</v>
      </c>
      <c r="D5" s="579" t="s">
        <v>135</v>
      </c>
      <c r="E5" s="579" t="s">
        <v>205</v>
      </c>
      <c r="F5" s="579" t="s">
        <v>842</v>
      </c>
      <c r="G5" s="579" t="s">
        <v>955</v>
      </c>
      <c r="H5" s="580" t="s">
        <v>1130</v>
      </c>
    </row>
    <row r="6" spans="2:8" ht="27.6" x14ac:dyDescent="0.3">
      <c r="B6" s="819" t="s">
        <v>1256</v>
      </c>
      <c r="C6" s="819" t="s">
        <v>1257</v>
      </c>
      <c r="D6" s="819" t="s">
        <v>12</v>
      </c>
      <c r="E6" s="819" t="s">
        <v>1258</v>
      </c>
      <c r="F6" s="819" t="s">
        <v>1259</v>
      </c>
      <c r="G6" s="819" t="s">
        <v>1260</v>
      </c>
      <c r="H6" s="581" t="s">
        <v>1261</v>
      </c>
    </row>
    <row r="7" spans="2:8" ht="15" thickBot="1" x14ac:dyDescent="0.35">
      <c r="B7" s="820"/>
      <c r="C7" s="820"/>
      <c r="D7" s="820"/>
      <c r="E7" s="820"/>
      <c r="F7" s="820"/>
      <c r="G7" s="820"/>
      <c r="H7" s="582" t="s">
        <v>1262</v>
      </c>
    </row>
    <row r="8" spans="2:8" x14ac:dyDescent="0.3">
      <c r="B8" s="583" t="s">
        <v>1263</v>
      </c>
      <c r="C8" s="584" t="s">
        <v>1264</v>
      </c>
      <c r="D8" s="585">
        <v>1</v>
      </c>
      <c r="E8" s="585">
        <v>0.2</v>
      </c>
      <c r="F8" s="586">
        <v>2000000</v>
      </c>
      <c r="G8" s="587">
        <f>M.O!D33+1</f>
        <v>1.8625664279329834</v>
      </c>
      <c r="H8" s="588">
        <f>(D8*E8*F8*G8)</f>
        <v>745026.5711731934</v>
      </c>
    </row>
    <row r="9" spans="2:8" ht="15" thickBot="1" x14ac:dyDescent="0.35">
      <c r="B9" s="589" t="s">
        <v>1265</v>
      </c>
      <c r="C9" s="590" t="s">
        <v>1266</v>
      </c>
      <c r="D9" s="585">
        <v>1</v>
      </c>
      <c r="E9" s="585">
        <v>1</v>
      </c>
      <c r="F9" s="586">
        <v>1750000</v>
      </c>
      <c r="G9" s="587">
        <f>M.O!D33+1</f>
        <v>1.8625664279329834</v>
      </c>
      <c r="H9" s="591">
        <f>(D9*E9*F9*G9)</f>
        <v>3259491.2488827212</v>
      </c>
    </row>
    <row r="10" spans="2:8" ht="15" thickBot="1" x14ac:dyDescent="0.35">
      <c r="B10" s="790" t="s">
        <v>1267</v>
      </c>
      <c r="C10" s="792"/>
      <c r="D10" s="792"/>
      <c r="E10" s="792"/>
      <c r="F10" s="792"/>
      <c r="G10" s="792"/>
      <c r="H10" s="593">
        <f>SUM(H8:H9)</f>
        <v>4004517.8200559146</v>
      </c>
    </row>
    <row r="11" spans="2:8" ht="15" thickBot="1" x14ac:dyDescent="0.35">
      <c r="B11" s="793" t="s">
        <v>1268</v>
      </c>
      <c r="C11" s="794"/>
      <c r="D11" s="794"/>
      <c r="E11" s="794"/>
      <c r="F11" s="794"/>
      <c r="G11" s="794"/>
      <c r="H11" s="594">
        <f>H10*3</f>
        <v>12013553.460167743</v>
      </c>
    </row>
    <row r="12" spans="2:8" ht="15" thickBot="1" x14ac:dyDescent="0.35">
      <c r="B12" s="595"/>
      <c r="C12" s="596"/>
      <c r="D12" s="596"/>
      <c r="E12" s="596"/>
      <c r="F12" s="596"/>
      <c r="G12" s="596"/>
      <c r="H12" s="597"/>
    </row>
    <row r="13" spans="2:8" ht="15" thickBot="1" x14ac:dyDescent="0.35">
      <c r="B13" s="598">
        <v>2</v>
      </c>
      <c r="C13" s="795" t="s">
        <v>1269</v>
      </c>
      <c r="D13" s="796"/>
      <c r="E13" s="796"/>
      <c r="F13" s="796"/>
      <c r="G13" s="796"/>
      <c r="H13" s="797"/>
    </row>
    <row r="14" spans="2:8" ht="15" thickBot="1" x14ac:dyDescent="0.35">
      <c r="B14" s="599" t="s">
        <v>1270</v>
      </c>
      <c r="C14" s="600" t="s">
        <v>1</v>
      </c>
      <c r="D14" s="601" t="s">
        <v>21</v>
      </c>
      <c r="E14" s="600" t="s">
        <v>12</v>
      </c>
      <c r="F14" s="798" t="s">
        <v>1271</v>
      </c>
      <c r="G14" s="799"/>
      <c r="H14" s="600" t="s">
        <v>1272</v>
      </c>
    </row>
    <row r="15" spans="2:8" x14ac:dyDescent="0.3">
      <c r="B15" s="602" t="s">
        <v>1273</v>
      </c>
      <c r="C15" s="603" t="s">
        <v>1274</v>
      </c>
      <c r="D15" s="604" t="s">
        <v>1275</v>
      </c>
      <c r="E15" s="604">
        <v>3</v>
      </c>
      <c r="F15" s="800">
        <v>300000</v>
      </c>
      <c r="G15" s="800"/>
      <c r="H15" s="605">
        <f>E15*F15</f>
        <v>900000</v>
      </c>
    </row>
    <row r="16" spans="2:8" x14ac:dyDescent="0.3">
      <c r="B16" s="602" t="s">
        <v>1276</v>
      </c>
      <c r="C16" s="603" t="s">
        <v>1277</v>
      </c>
      <c r="D16" s="604" t="s">
        <v>1278</v>
      </c>
      <c r="E16" s="604">
        <v>3</v>
      </c>
      <c r="F16" s="801">
        <v>54000</v>
      </c>
      <c r="G16" s="802"/>
      <c r="H16" s="605">
        <f>E16*F16</f>
        <v>162000</v>
      </c>
    </row>
    <row r="17" spans="2:17" x14ac:dyDescent="0.3">
      <c r="B17" s="589" t="s">
        <v>1279</v>
      </c>
      <c r="C17" s="606" t="s">
        <v>1280</v>
      </c>
      <c r="D17" s="607" t="s">
        <v>1281</v>
      </c>
      <c r="E17" s="607">
        <v>1</v>
      </c>
      <c r="F17" s="803">
        <f>O38</f>
        <v>72507838.029378012</v>
      </c>
      <c r="G17" s="803"/>
      <c r="H17" s="591">
        <f>E17*F17</f>
        <v>72507838.029378012</v>
      </c>
    </row>
    <row r="18" spans="2:17" ht="42" thickBot="1" x14ac:dyDescent="0.35">
      <c r="B18" s="589" t="s">
        <v>1282</v>
      </c>
      <c r="C18" s="606" t="s">
        <v>1283</v>
      </c>
      <c r="D18" s="607" t="s">
        <v>1281</v>
      </c>
      <c r="E18" s="607">
        <v>1</v>
      </c>
      <c r="F18" s="804">
        <f>2500000+255177.32</f>
        <v>2755177.32</v>
      </c>
      <c r="G18" s="804"/>
      <c r="H18" s="591">
        <f t="shared" ref="H18" si="0">E18*F18</f>
        <v>2755177.32</v>
      </c>
    </row>
    <row r="19" spans="2:17" ht="15" thickBot="1" x14ac:dyDescent="0.35">
      <c r="B19" s="805" t="s">
        <v>1284</v>
      </c>
      <c r="C19" s="806"/>
      <c r="D19" s="806"/>
      <c r="E19" s="806"/>
      <c r="F19" s="806"/>
      <c r="G19" s="807"/>
      <c r="H19" s="609">
        <f>SUM(H15:H18)</f>
        <v>76325015.349378005</v>
      </c>
    </row>
    <row r="20" spans="2:17" ht="15" thickBot="1" x14ac:dyDescent="0.35">
      <c r="B20" s="808" t="s">
        <v>1285</v>
      </c>
      <c r="C20" s="809"/>
      <c r="D20" s="809"/>
      <c r="E20" s="809"/>
      <c r="F20" s="809"/>
      <c r="G20" s="810"/>
      <c r="H20" s="610">
        <f>H11+H19</f>
        <v>88338568.809545755</v>
      </c>
      <c r="I20" s="475">
        <f>'PRESUPUESTO OFICIAL (Entidad)'!G273</f>
        <v>88338568.809599996</v>
      </c>
      <c r="J20" s="611">
        <f>H20-I20</f>
        <v>-5.4240226745605469E-5</v>
      </c>
      <c r="K20" s="611"/>
    </row>
    <row r="21" spans="2:17" ht="15" thickBot="1" x14ac:dyDescent="0.35">
      <c r="B21" s="787" t="s">
        <v>1286</v>
      </c>
      <c r="C21" s="788"/>
      <c r="D21" s="788"/>
      <c r="E21" s="788"/>
      <c r="F21" s="788"/>
      <c r="G21" s="788"/>
      <c r="H21" s="789"/>
    </row>
    <row r="22" spans="2:17" ht="43.8" thickBot="1" x14ac:dyDescent="0.35">
      <c r="B22" s="592" t="s">
        <v>1270</v>
      </c>
      <c r="C22" s="581" t="s">
        <v>1287</v>
      </c>
      <c r="D22" s="790"/>
      <c r="E22" s="791"/>
      <c r="F22" s="581" t="s">
        <v>56</v>
      </c>
      <c r="G22" s="612" t="s">
        <v>1271</v>
      </c>
      <c r="H22" s="593" t="s">
        <v>1272</v>
      </c>
      <c r="N22" s="637" t="s">
        <v>1288</v>
      </c>
      <c r="O22" s="638">
        <f>'PRESUPUESTO OFICIAL (Entidad)'!G279</f>
        <v>483285586.86252004</v>
      </c>
    </row>
    <row r="23" spans="2:17" x14ac:dyDescent="0.3">
      <c r="B23" s="613">
        <v>1</v>
      </c>
      <c r="C23" s="614" t="s">
        <v>1289</v>
      </c>
      <c r="D23" s="781"/>
      <c r="E23" s="781"/>
      <c r="F23" s="615">
        <v>5.0000000000000001E-3</v>
      </c>
      <c r="G23" s="616">
        <f>'PRESUPUESTO OFICIAL (Entidad)'!G274*0.5</f>
        <v>1840386.8502000002</v>
      </c>
      <c r="H23" s="617">
        <f>G23</f>
        <v>1840386.8502000002</v>
      </c>
    </row>
    <row r="24" spans="2:17" x14ac:dyDescent="0.3">
      <c r="B24" s="618">
        <v>2</v>
      </c>
      <c r="C24" s="619" t="s">
        <v>1290</v>
      </c>
      <c r="D24" s="782"/>
      <c r="E24" s="782"/>
      <c r="F24" s="620">
        <v>2.5000000000000001E-3</v>
      </c>
      <c r="G24" s="608">
        <f>'PRESUPUESTO OFICIAL (Entidad)'!G274*0.25</f>
        <v>920193.42510000011</v>
      </c>
      <c r="H24" s="591">
        <f t="shared" ref="H24:H25" si="1">G24</f>
        <v>920193.42510000011</v>
      </c>
    </row>
    <row r="25" spans="2:17" ht="28.2" thickBot="1" x14ac:dyDescent="0.35">
      <c r="B25" s="621">
        <v>3</v>
      </c>
      <c r="C25" s="622" t="s">
        <v>1291</v>
      </c>
      <c r="D25" s="783"/>
      <c r="E25" s="783"/>
      <c r="F25" s="623">
        <v>2.5000000000000001E-3</v>
      </c>
      <c r="G25" s="641">
        <f>'PRESUPUESTO OFICIAL (Entidad)'!G274*0.25</f>
        <v>920193.42510000011</v>
      </c>
      <c r="H25" s="624">
        <f t="shared" si="1"/>
        <v>920193.42510000011</v>
      </c>
      <c r="M25" s="2"/>
      <c r="N25" s="2"/>
      <c r="O25" s="2"/>
      <c r="P25" s="2"/>
      <c r="Q25" s="2"/>
    </row>
    <row r="26" spans="2:17" ht="16.2" thickBot="1" x14ac:dyDescent="0.35">
      <c r="B26" s="784" t="s">
        <v>1292</v>
      </c>
      <c r="C26" s="785"/>
      <c r="D26" s="785"/>
      <c r="E26" s="785"/>
      <c r="F26" s="785"/>
      <c r="G26" s="786"/>
      <c r="H26" s="625">
        <f>SUM(H23:H25)</f>
        <v>3680773.7004000004</v>
      </c>
      <c r="I26" s="475">
        <f>'PRESUPUESTO OFICIAL (Entidad)'!G274</f>
        <v>3680773.7004000004</v>
      </c>
      <c r="M26" s="655"/>
      <c r="N26" s="103"/>
      <c r="O26" s="656">
        <f>O22</f>
        <v>483285586.86252004</v>
      </c>
      <c r="P26" s="1"/>
      <c r="Q26" s="2"/>
    </row>
    <row r="27" spans="2:17" ht="16.2" thickBot="1" x14ac:dyDescent="0.35">
      <c r="B27" s="787" t="s">
        <v>622</v>
      </c>
      <c r="C27" s="788"/>
      <c r="D27" s="788"/>
      <c r="E27" s="788"/>
      <c r="F27" s="788"/>
      <c r="G27" s="788"/>
      <c r="H27" s="789"/>
      <c r="M27" s="28" t="s">
        <v>1303</v>
      </c>
      <c r="N27" s="103"/>
      <c r="O27" s="656">
        <f>O26*0.02</f>
        <v>9665711.7372504007</v>
      </c>
      <c r="P27" s="28" t="s">
        <v>1304</v>
      </c>
      <c r="Q27" s="2"/>
    </row>
    <row r="28" spans="2:17" ht="28.2" thickBot="1" x14ac:dyDescent="0.35">
      <c r="B28" s="595" t="s">
        <v>1270</v>
      </c>
      <c r="C28" s="581" t="s">
        <v>1</v>
      </c>
      <c r="D28" s="792"/>
      <c r="E28" s="792"/>
      <c r="F28" s="581" t="s">
        <v>56</v>
      </c>
      <c r="G28" s="596" t="s">
        <v>1271</v>
      </c>
      <c r="H28" s="593" t="s">
        <v>1272</v>
      </c>
      <c r="M28" s="28" t="s">
        <v>1305</v>
      </c>
      <c r="N28" s="103"/>
      <c r="O28" s="656">
        <f>O26*0.04</f>
        <v>19331423.474500801</v>
      </c>
      <c r="P28" s="28" t="s">
        <v>1306</v>
      </c>
      <c r="Q28" s="2"/>
    </row>
    <row r="29" spans="2:17" ht="16.2" thickBot="1" x14ac:dyDescent="0.35">
      <c r="B29" s="626">
        <v>1</v>
      </c>
      <c r="C29" s="627" t="s">
        <v>1293</v>
      </c>
      <c r="D29" s="811"/>
      <c r="E29" s="811"/>
      <c r="F29" s="628">
        <v>0.05</v>
      </c>
      <c r="G29" s="629">
        <f>'PRESUPUESTO OFICIAL (Entidad)'!G275</f>
        <v>18403868.502</v>
      </c>
      <c r="H29" s="630">
        <f>G29</f>
        <v>18403868.502</v>
      </c>
      <c r="M29" s="28" t="s">
        <v>1307</v>
      </c>
      <c r="N29" s="657"/>
      <c r="O29" s="656">
        <f>O26*0.02</f>
        <v>9665711.7372504007</v>
      </c>
      <c r="P29" s="28" t="s">
        <v>1304</v>
      </c>
      <c r="Q29" s="2"/>
    </row>
    <row r="30" spans="2:17" ht="16.2" thickBot="1" x14ac:dyDescent="0.35">
      <c r="B30" s="784" t="s">
        <v>1294</v>
      </c>
      <c r="C30" s="785"/>
      <c r="D30" s="785"/>
      <c r="E30" s="785"/>
      <c r="F30" s="785"/>
      <c r="G30" s="785"/>
      <c r="H30" s="631">
        <f>H29</f>
        <v>18403868.502</v>
      </c>
      <c r="I30" s="475">
        <f>'PRESUPUESTO OFICIAL (Entidad)'!G275</f>
        <v>18403868.502</v>
      </c>
      <c r="M30" s="28" t="s">
        <v>1308</v>
      </c>
      <c r="N30" s="658"/>
      <c r="O30" s="656">
        <f>O26*0.02</f>
        <v>9665711.7372504007</v>
      </c>
      <c r="P30" s="28" t="s">
        <v>1304</v>
      </c>
      <c r="Q30" s="2"/>
    </row>
    <row r="31" spans="2:17" ht="16.2" thickBot="1" x14ac:dyDescent="0.35">
      <c r="B31" s="775" t="s">
        <v>1295</v>
      </c>
      <c r="C31" s="776"/>
      <c r="D31" s="776"/>
      <c r="E31" s="776"/>
      <c r="F31" s="776"/>
      <c r="G31" s="777"/>
      <c r="H31" s="632">
        <f>H20</f>
        <v>88338568.809545755</v>
      </c>
      <c r="M31" s="28" t="s">
        <v>1296</v>
      </c>
      <c r="N31" s="1"/>
      <c r="O31" s="201">
        <v>15000</v>
      </c>
      <c r="P31" s="659">
        <v>12000</v>
      </c>
      <c r="Q31" s="2"/>
    </row>
    <row r="32" spans="2:17" ht="16.2" thickBot="1" x14ac:dyDescent="0.35">
      <c r="B32" s="778" t="s">
        <v>1297</v>
      </c>
      <c r="C32" s="779"/>
      <c r="D32" s="779"/>
      <c r="E32" s="779"/>
      <c r="F32" s="779"/>
      <c r="G32" s="780"/>
      <c r="H32" s="633">
        <f>H26</f>
        <v>3680773.7004000004</v>
      </c>
      <c r="M32" s="28" t="s">
        <v>1309</v>
      </c>
      <c r="N32" s="658"/>
      <c r="O32" s="656">
        <v>0</v>
      </c>
      <c r="P32" s="28" t="s">
        <v>1304</v>
      </c>
      <c r="Q32" s="2"/>
    </row>
    <row r="33" spans="2:19" ht="16.2" thickBot="1" x14ac:dyDescent="0.35">
      <c r="B33" s="778" t="s">
        <v>1298</v>
      </c>
      <c r="C33" s="779"/>
      <c r="D33" s="779"/>
      <c r="E33" s="779"/>
      <c r="F33" s="779"/>
      <c r="G33" s="780"/>
      <c r="H33" s="633">
        <f>H29</f>
        <v>18403868.502</v>
      </c>
      <c r="M33" s="28" t="s">
        <v>1310</v>
      </c>
      <c r="N33" s="658"/>
      <c r="O33" s="656">
        <v>0</v>
      </c>
      <c r="P33" s="28" t="s">
        <v>1311</v>
      </c>
      <c r="Q33" s="2"/>
      <c r="S33" s="639"/>
    </row>
    <row r="34" spans="2:19" ht="16.2" thickBot="1" x14ac:dyDescent="0.35">
      <c r="B34" s="772" t="s">
        <v>1299</v>
      </c>
      <c r="C34" s="773"/>
      <c r="D34" s="773"/>
      <c r="E34" s="773"/>
      <c r="F34" s="773"/>
      <c r="G34" s="774"/>
      <c r="H34" s="634">
        <f>H31+H32+H33</f>
        <v>110423211.01194575</v>
      </c>
      <c r="I34" s="475">
        <f>'PRESUPUESTO OFICIAL (Entidad)'!G276</f>
        <v>110423211.01199999</v>
      </c>
      <c r="J34" s="611">
        <f>I34-H34</f>
        <v>5.4240226745605469E-5</v>
      </c>
      <c r="M34" s="28" t="s">
        <v>1312</v>
      </c>
      <c r="N34" s="658"/>
      <c r="O34" s="656">
        <f>O26*0.05</f>
        <v>24164279.343126003</v>
      </c>
      <c r="P34" s="28" t="s">
        <v>1313</v>
      </c>
      <c r="Q34" s="2"/>
      <c r="S34" s="639"/>
    </row>
    <row r="35" spans="2:19" ht="15.6" x14ac:dyDescent="0.3">
      <c r="M35" s="28" t="s">
        <v>1314</v>
      </c>
      <c r="N35" s="658"/>
      <c r="O35" s="656">
        <v>0</v>
      </c>
      <c r="P35" s="28" t="s">
        <v>1315</v>
      </c>
      <c r="Q35" s="2"/>
      <c r="S35" s="639"/>
    </row>
    <row r="36" spans="2:19" ht="15.6" x14ac:dyDescent="0.3">
      <c r="M36" s="28" t="s">
        <v>1316</v>
      </c>
      <c r="N36" s="103"/>
      <c r="O36" s="201">
        <v>0</v>
      </c>
      <c r="P36" s="28" t="s">
        <v>1317</v>
      </c>
      <c r="Q36" s="2"/>
      <c r="S36" s="639"/>
    </row>
    <row r="37" spans="2:19" ht="15.6" x14ac:dyDescent="0.3">
      <c r="M37" s="1"/>
      <c r="N37" s="1"/>
      <c r="O37" s="660"/>
      <c r="P37" s="1"/>
      <c r="Q37" s="2"/>
      <c r="S37" s="640"/>
    </row>
    <row r="38" spans="2:19" ht="15.6" x14ac:dyDescent="0.3">
      <c r="D38" s="35"/>
      <c r="E38" s="35"/>
      <c r="F38" s="35"/>
      <c r="G38" s="68"/>
      <c r="H38" s="36"/>
      <c r="M38" s="1"/>
      <c r="N38" s="1"/>
      <c r="O38" s="10">
        <f>SUM(O27:O35)</f>
        <v>72507838.029378012</v>
      </c>
      <c r="P38" s="1"/>
      <c r="S38" s="639"/>
    </row>
    <row r="39" spans="2:19" ht="15.6" x14ac:dyDescent="0.3">
      <c r="D39" s="35"/>
      <c r="E39" s="35"/>
      <c r="F39" s="35"/>
      <c r="G39" s="68"/>
      <c r="H39" s="36"/>
      <c r="M39" s="1"/>
      <c r="N39" s="1"/>
      <c r="O39" s="1"/>
      <c r="P39" s="1"/>
      <c r="S39" s="639"/>
    </row>
    <row r="40" spans="2:19" ht="15.6" x14ac:dyDescent="0.3">
      <c r="D40" s="28"/>
      <c r="E40" s="28"/>
      <c r="F40" s="28"/>
      <c r="G40" s="68"/>
      <c r="H40" s="661"/>
      <c r="S40" s="639"/>
    </row>
    <row r="41" spans="2:19" ht="15.6" x14ac:dyDescent="0.3">
      <c r="C41" s="717" t="s">
        <v>691</v>
      </c>
      <c r="D41" s="717"/>
      <c r="E41" s="28"/>
      <c r="F41" s="717" t="s">
        <v>122</v>
      </c>
      <c r="G41" s="717"/>
      <c r="H41" s="717"/>
      <c r="P41" t="s">
        <v>1318</v>
      </c>
      <c r="S41" s="639"/>
    </row>
    <row r="42" spans="2:19" ht="15.6" x14ac:dyDescent="0.3">
      <c r="C42" s="718" t="s">
        <v>121</v>
      </c>
      <c r="D42" s="718"/>
      <c r="E42" s="28"/>
      <c r="F42" s="718" t="s">
        <v>123</v>
      </c>
      <c r="G42" s="718"/>
      <c r="H42" s="718"/>
      <c r="S42" s="639"/>
    </row>
    <row r="43" spans="2:19" ht="15.6" x14ac:dyDescent="0.3">
      <c r="D43" s="34"/>
      <c r="E43" s="28"/>
      <c r="F43" s="28"/>
      <c r="G43" s="69"/>
      <c r="H43" s="37"/>
    </row>
  </sheetData>
  <mergeCells count="38">
    <mergeCell ref="B2:F2"/>
    <mergeCell ref="G2:H2"/>
    <mergeCell ref="B3:H3"/>
    <mergeCell ref="B4:H4"/>
    <mergeCell ref="B6:B7"/>
    <mergeCell ref="C6:C7"/>
    <mergeCell ref="D6:D7"/>
    <mergeCell ref="E6:E7"/>
    <mergeCell ref="F6:F7"/>
    <mergeCell ref="G6:G7"/>
    <mergeCell ref="B33:G33"/>
    <mergeCell ref="D22:E22"/>
    <mergeCell ref="B10:G10"/>
    <mergeCell ref="B11:G11"/>
    <mergeCell ref="C13:H13"/>
    <mergeCell ref="F14:G14"/>
    <mergeCell ref="F15:G15"/>
    <mergeCell ref="F16:G16"/>
    <mergeCell ref="F17:G17"/>
    <mergeCell ref="F18:G18"/>
    <mergeCell ref="B19:G19"/>
    <mergeCell ref="B20:G20"/>
    <mergeCell ref="B21:H21"/>
    <mergeCell ref="D28:E28"/>
    <mergeCell ref="D29:E29"/>
    <mergeCell ref="B30:G30"/>
    <mergeCell ref="B31:G31"/>
    <mergeCell ref="B32:G32"/>
    <mergeCell ref="D23:E23"/>
    <mergeCell ref="D24:E24"/>
    <mergeCell ref="D25:E25"/>
    <mergeCell ref="B26:G26"/>
    <mergeCell ref="B27:H27"/>
    <mergeCell ref="F41:H41"/>
    <mergeCell ref="F42:H42"/>
    <mergeCell ref="C42:D42"/>
    <mergeCell ref="C41:D41"/>
    <mergeCell ref="B34:G34"/>
  </mergeCells>
  <pageMargins left="0.7" right="0.7" top="0.75" bottom="0.75" header="0.3" footer="0.3"/>
  <pageSetup paperSize="9" scale="7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D9392-CB3B-4B82-B1FA-FD237A621747}">
  <dimension ref="A1:Q29"/>
  <sheetViews>
    <sheetView view="pageBreakPreview" zoomScale="80" zoomScaleNormal="100" zoomScaleSheetLayoutView="80" workbookViewId="0">
      <selection sqref="A1:H22"/>
    </sheetView>
  </sheetViews>
  <sheetFormatPr baseColWidth="10" defaultRowHeight="14.4" x14ac:dyDescent="0.3"/>
  <cols>
    <col min="1" max="1" width="7.5546875" customWidth="1"/>
    <col min="2" max="2" width="27.5546875" customWidth="1"/>
    <col min="3" max="3" width="19.33203125" customWidth="1"/>
    <col min="4" max="4" width="17" bestFit="1" customWidth="1"/>
    <col min="5" max="5" width="17.44140625" bestFit="1" customWidth="1"/>
    <col min="6" max="6" width="17" bestFit="1" customWidth="1"/>
    <col min="7" max="7" width="16.88671875" customWidth="1"/>
    <col min="8" max="8" width="22.5546875" bestFit="1" customWidth="1"/>
    <col min="9" max="9" width="16.6640625" customWidth="1"/>
    <col min="10" max="10" width="15.5546875" customWidth="1"/>
    <col min="15" max="15" width="11.109375" customWidth="1"/>
    <col min="16" max="16" width="22.5546875" customWidth="1"/>
    <col min="17" max="17" width="29.5546875" customWidth="1"/>
  </cols>
  <sheetData>
    <row r="1" spans="1:17" ht="18" x14ac:dyDescent="0.35">
      <c r="A1" s="831"/>
      <c r="B1" s="831"/>
      <c r="C1" s="834" t="s">
        <v>1319</v>
      </c>
      <c r="D1" s="834"/>
      <c r="E1" s="834"/>
      <c r="F1" s="834"/>
      <c r="G1" s="834"/>
      <c r="H1" s="834"/>
    </row>
    <row r="2" spans="1:17" ht="18" x14ac:dyDescent="0.35">
      <c r="A2" s="831"/>
      <c r="B2" s="831"/>
      <c r="C2" s="834" t="s">
        <v>1320</v>
      </c>
      <c r="D2" s="834"/>
      <c r="E2" s="834"/>
      <c r="F2" s="834"/>
      <c r="G2" s="834"/>
      <c r="H2" s="834"/>
    </row>
    <row r="3" spans="1:17" ht="18" x14ac:dyDescent="0.35">
      <c r="A3" s="831"/>
      <c r="B3" s="831"/>
      <c r="C3" s="834" t="s">
        <v>1321</v>
      </c>
      <c r="D3" s="834"/>
      <c r="E3" s="834"/>
      <c r="F3" s="834"/>
      <c r="G3" s="834"/>
      <c r="H3" s="834"/>
    </row>
    <row r="4" spans="1:17" ht="60" customHeight="1" x14ac:dyDescent="0.3">
      <c r="A4" s="832"/>
      <c r="B4" s="832"/>
      <c r="C4" s="835" t="s">
        <v>1342</v>
      </c>
      <c r="D4" s="836"/>
      <c r="E4" s="836"/>
      <c r="F4" s="836"/>
      <c r="G4" s="836"/>
      <c r="H4" s="836"/>
    </row>
    <row r="5" spans="1:17" x14ac:dyDescent="0.3">
      <c r="A5" s="833" t="s">
        <v>1322</v>
      </c>
      <c r="B5" s="833"/>
      <c r="C5" s="833"/>
      <c r="D5" s="833"/>
      <c r="E5" s="833"/>
      <c r="F5" s="833"/>
      <c r="G5" s="833"/>
      <c r="H5" s="833"/>
    </row>
    <row r="6" spans="1:17" ht="28.8" x14ac:dyDescent="0.3">
      <c r="A6" s="642" t="s">
        <v>1270</v>
      </c>
      <c r="B6" s="642" t="s">
        <v>1323</v>
      </c>
      <c r="C6" s="642" t="s">
        <v>1324</v>
      </c>
      <c r="D6" s="643" t="s">
        <v>1325</v>
      </c>
      <c r="E6" s="642" t="s">
        <v>1326</v>
      </c>
      <c r="F6" s="643" t="s">
        <v>1327</v>
      </c>
      <c r="G6" s="642" t="s">
        <v>1328</v>
      </c>
      <c r="H6" s="643" t="s">
        <v>1329</v>
      </c>
    </row>
    <row r="7" spans="1:17" x14ac:dyDescent="0.3">
      <c r="A7" s="644" t="s">
        <v>152</v>
      </c>
      <c r="B7" s="645" t="s">
        <v>1330</v>
      </c>
      <c r="C7" s="646">
        <v>1</v>
      </c>
      <c r="D7" s="647">
        <v>3400000</v>
      </c>
      <c r="E7" s="648">
        <v>0.3</v>
      </c>
      <c r="F7" s="647">
        <f>D7*E7</f>
        <v>1020000</v>
      </c>
      <c r="G7" s="646">
        <v>3</v>
      </c>
      <c r="H7" s="647">
        <f>F7*G7</f>
        <v>3060000</v>
      </c>
      <c r="I7">
        <f>H7*H10</f>
        <v>5699556</v>
      </c>
    </row>
    <row r="8" spans="1:17" x14ac:dyDescent="0.3">
      <c r="A8" s="644" t="s">
        <v>153</v>
      </c>
      <c r="B8" s="645" t="s">
        <v>1331</v>
      </c>
      <c r="C8" s="646">
        <v>1</v>
      </c>
      <c r="D8" s="647">
        <v>2800000</v>
      </c>
      <c r="E8" s="648">
        <v>1</v>
      </c>
      <c r="F8" s="647">
        <f>D8*E8</f>
        <v>2800000</v>
      </c>
      <c r="G8" s="646">
        <v>3</v>
      </c>
      <c r="H8" s="647">
        <f>F8*G8</f>
        <v>8400000</v>
      </c>
      <c r="I8">
        <f>H8*H10</f>
        <v>15645840</v>
      </c>
    </row>
    <row r="9" spans="1:17" x14ac:dyDescent="0.3">
      <c r="A9" s="830" t="s">
        <v>1332</v>
      </c>
      <c r="B9" s="830"/>
      <c r="C9" s="830"/>
      <c r="D9" s="830"/>
      <c r="E9" s="830"/>
      <c r="F9" s="830"/>
      <c r="G9" s="830"/>
      <c r="H9" s="649">
        <f>H7+H8</f>
        <v>11460000</v>
      </c>
    </row>
    <row r="10" spans="1:17" x14ac:dyDescent="0.3">
      <c r="A10" s="830" t="s">
        <v>1333</v>
      </c>
      <c r="B10" s="830"/>
      <c r="C10" s="830"/>
      <c r="D10" s="830"/>
      <c r="E10" s="830"/>
      <c r="F10" s="830"/>
      <c r="G10" s="830"/>
      <c r="H10" s="649">
        <v>1.8626</v>
      </c>
    </row>
    <row r="11" spans="1:17" x14ac:dyDescent="0.3">
      <c r="A11" s="830" t="s">
        <v>1334</v>
      </c>
      <c r="B11" s="830"/>
      <c r="C11" s="830"/>
      <c r="D11" s="830"/>
      <c r="E11" s="830"/>
      <c r="F11" s="830"/>
      <c r="G11" s="830"/>
      <c r="H11" s="649">
        <f>H9*H10</f>
        <v>21345396</v>
      </c>
      <c r="I11">
        <f>I7+I8</f>
        <v>21345396</v>
      </c>
    </row>
    <row r="12" spans="1:17" ht="43.2" x14ac:dyDescent="0.3">
      <c r="A12" s="833" t="s">
        <v>1335</v>
      </c>
      <c r="B12" s="833"/>
      <c r="C12" s="833"/>
      <c r="D12" s="833"/>
      <c r="E12" s="833"/>
      <c r="F12" s="833"/>
      <c r="G12" s="833"/>
      <c r="H12" s="833"/>
      <c r="O12" s="637" t="s">
        <v>1288</v>
      </c>
      <c r="P12" s="638">
        <f>'PRESUPUESTO OFICIAL (Entidad)'!G280</f>
        <v>33829991.080376409</v>
      </c>
    </row>
    <row r="13" spans="1:17" x14ac:dyDescent="0.3">
      <c r="A13" s="642" t="s">
        <v>1270</v>
      </c>
      <c r="B13" s="642" t="s">
        <v>1</v>
      </c>
      <c r="C13" s="826" t="s">
        <v>23</v>
      </c>
      <c r="D13" s="826"/>
      <c r="E13" s="821" t="s">
        <v>12</v>
      </c>
      <c r="F13" s="822"/>
      <c r="G13" s="642" t="s">
        <v>1271</v>
      </c>
      <c r="H13" s="642" t="s">
        <v>1329</v>
      </c>
    </row>
    <row r="14" spans="1:17" x14ac:dyDescent="0.3">
      <c r="A14" s="644" t="s">
        <v>206</v>
      </c>
      <c r="B14" s="650" t="s">
        <v>1280</v>
      </c>
      <c r="C14" s="825" t="s">
        <v>1343</v>
      </c>
      <c r="D14" s="825"/>
      <c r="E14" s="823">
        <v>1</v>
      </c>
      <c r="F14" s="824"/>
      <c r="G14" s="663">
        <f>P28</f>
        <v>5089498.662056461</v>
      </c>
      <c r="H14" s="651">
        <f>E14*G14</f>
        <v>5089498.662056461</v>
      </c>
    </row>
    <row r="15" spans="1:17" ht="28.8" x14ac:dyDescent="0.3">
      <c r="A15" s="644" t="s">
        <v>209</v>
      </c>
      <c r="B15" s="637" t="s">
        <v>1336</v>
      </c>
      <c r="C15" s="825" t="s">
        <v>427</v>
      </c>
      <c r="D15" s="825"/>
      <c r="E15" s="823">
        <v>1</v>
      </c>
      <c r="F15" s="824"/>
      <c r="G15" s="651">
        <f>825466.27-131797</f>
        <v>693669.27</v>
      </c>
      <c r="H15" s="651">
        <f t="shared" ref="H15:H16" si="0">E15*G15</f>
        <v>693669.27</v>
      </c>
      <c r="N15" s="2"/>
      <c r="O15" s="2"/>
      <c r="P15" s="2"/>
      <c r="Q15" s="2"/>
    </row>
    <row r="16" spans="1:17" ht="15.6" x14ac:dyDescent="0.3">
      <c r="A16" s="644" t="s">
        <v>211</v>
      </c>
      <c r="B16" s="650" t="s">
        <v>1337</v>
      </c>
      <c r="C16" s="825" t="s">
        <v>427</v>
      </c>
      <c r="D16" s="825"/>
      <c r="E16" s="823">
        <v>1</v>
      </c>
      <c r="F16" s="824"/>
      <c r="G16" s="651">
        <v>1300000</v>
      </c>
      <c r="H16" s="651">
        <f t="shared" si="0"/>
        <v>1300000</v>
      </c>
      <c r="N16" s="655"/>
      <c r="O16" s="103"/>
      <c r="P16" s="662">
        <f>P12</f>
        <v>33829991.080376409</v>
      </c>
      <c r="Q16" s="1"/>
    </row>
    <row r="17" spans="1:17" ht="15.6" x14ac:dyDescent="0.3">
      <c r="A17" s="827" t="s">
        <v>1338</v>
      </c>
      <c r="B17" s="827"/>
      <c r="C17" s="827"/>
      <c r="D17" s="827"/>
      <c r="E17" s="827"/>
      <c r="F17" s="827"/>
      <c r="G17" s="827"/>
      <c r="H17" s="652">
        <f>H14+H15+H16</f>
        <v>7083167.9320564605</v>
      </c>
      <c r="N17" s="28" t="s">
        <v>1303</v>
      </c>
      <c r="O17" s="103"/>
      <c r="P17" s="662">
        <f>P16*0.02</f>
        <v>676599.82160752814</v>
      </c>
      <c r="Q17" s="28" t="s">
        <v>1304</v>
      </c>
    </row>
    <row r="18" spans="1:17" ht="15.6" x14ac:dyDescent="0.3">
      <c r="A18" s="828" t="s">
        <v>1339</v>
      </c>
      <c r="B18" s="828"/>
      <c r="C18" s="828"/>
      <c r="D18" s="828"/>
      <c r="E18" s="828"/>
      <c r="F18" s="828"/>
      <c r="G18" s="828"/>
      <c r="H18" s="653">
        <f>H11+H17</f>
        <v>28428563.932056461</v>
      </c>
      <c r="I18">
        <v>3541344.54</v>
      </c>
      <c r="N18" s="28" t="s">
        <v>1305</v>
      </c>
      <c r="O18" s="103"/>
      <c r="P18" s="662">
        <f>P16*0.04</f>
        <v>1353199.6432150563</v>
      </c>
      <c r="Q18" s="28" t="s">
        <v>1306</v>
      </c>
    </row>
    <row r="19" spans="1:17" ht="15.6" x14ac:dyDescent="0.3">
      <c r="A19" s="829" t="s">
        <v>1340</v>
      </c>
      <c r="B19" s="829"/>
      <c r="C19" s="829"/>
      <c r="D19" s="829"/>
      <c r="E19" s="829"/>
      <c r="F19" s="829"/>
      <c r="G19" s="829"/>
      <c r="H19" s="654">
        <f>H18*19%</f>
        <v>5401427.1470907275</v>
      </c>
      <c r="I19" s="611">
        <f>H18-H19</f>
        <v>23027136.784965731</v>
      </c>
      <c r="J19" s="487">
        <f>'PRESUPUESTO OFICIAL (Entidad)'!G280</f>
        <v>33829991.080376409</v>
      </c>
      <c r="N19" s="28" t="s">
        <v>1307</v>
      </c>
      <c r="O19" s="657"/>
      <c r="P19" s="662">
        <f>P16*0.02</f>
        <v>676599.82160752814</v>
      </c>
      <c r="Q19" s="28" t="s">
        <v>1304</v>
      </c>
    </row>
    <row r="20" spans="1:17" ht="15.6" x14ac:dyDescent="0.3">
      <c r="A20" s="828" t="s">
        <v>1341</v>
      </c>
      <c r="B20" s="828"/>
      <c r="C20" s="828"/>
      <c r="D20" s="828"/>
      <c r="E20" s="828"/>
      <c r="F20" s="828"/>
      <c r="G20" s="828"/>
      <c r="H20" s="653">
        <f>H18+H19</f>
        <v>33829991.07914719</v>
      </c>
      <c r="N20" s="28" t="s">
        <v>1308</v>
      </c>
      <c r="O20" s="658"/>
      <c r="P20" s="662">
        <f>P16*0.02</f>
        <v>676599.82160752814</v>
      </c>
      <c r="Q20" s="28" t="s">
        <v>1304</v>
      </c>
    </row>
    <row r="21" spans="1:17" ht="15.6" x14ac:dyDescent="0.3">
      <c r="I21" s="611">
        <f>J19-H20</f>
        <v>1.2292191386222839E-3</v>
      </c>
      <c r="N21" s="28" t="s">
        <v>1296</v>
      </c>
      <c r="O21" s="1"/>
      <c r="P21" s="355">
        <v>15000</v>
      </c>
      <c r="Q21" s="659">
        <v>12000</v>
      </c>
    </row>
    <row r="22" spans="1:17" ht="15.6" x14ac:dyDescent="0.3">
      <c r="N22" s="28" t="s">
        <v>1309</v>
      </c>
      <c r="O22" s="658"/>
      <c r="P22" s="662">
        <v>0</v>
      </c>
      <c r="Q22" s="28" t="s">
        <v>1304</v>
      </c>
    </row>
    <row r="23" spans="1:17" ht="15.6" x14ac:dyDescent="0.3">
      <c r="C23" s="35"/>
      <c r="D23" s="35"/>
      <c r="E23" s="35"/>
      <c r="F23" s="68"/>
      <c r="G23" s="36"/>
      <c r="N23" s="28" t="s">
        <v>1310</v>
      </c>
      <c r="O23" s="658"/>
      <c r="P23" s="662">
        <v>0</v>
      </c>
      <c r="Q23" s="28" t="s">
        <v>1311</v>
      </c>
    </row>
    <row r="24" spans="1:17" ht="15.6" x14ac:dyDescent="0.3">
      <c r="C24" s="35"/>
      <c r="D24" s="35"/>
      <c r="E24" s="35"/>
      <c r="F24" s="68"/>
      <c r="G24" s="36"/>
      <c r="N24" s="28" t="s">
        <v>1312</v>
      </c>
      <c r="O24" s="658"/>
      <c r="P24" s="662">
        <f>P16*0.05</f>
        <v>1691499.5540188206</v>
      </c>
      <c r="Q24" s="28" t="s">
        <v>1313</v>
      </c>
    </row>
    <row r="25" spans="1:17" ht="15.6" x14ac:dyDescent="0.3">
      <c r="C25" s="28"/>
      <c r="D25" s="28"/>
      <c r="E25" s="28"/>
      <c r="F25" s="69"/>
      <c r="G25" s="37"/>
      <c r="N25" s="28" t="s">
        <v>1314</v>
      </c>
      <c r="O25" s="658"/>
      <c r="P25" s="662">
        <v>0</v>
      </c>
      <c r="Q25" s="28" t="s">
        <v>1315</v>
      </c>
    </row>
    <row r="26" spans="1:17" ht="15.6" x14ac:dyDescent="0.3">
      <c r="B26" s="717" t="s">
        <v>691</v>
      </c>
      <c r="C26" s="717"/>
      <c r="D26" s="28"/>
      <c r="E26" s="717" t="s">
        <v>122</v>
      </c>
      <c r="F26" s="717"/>
      <c r="G26" s="717"/>
      <c r="N26" s="28" t="s">
        <v>1316</v>
      </c>
      <c r="O26" s="103"/>
      <c r="P26" s="355">
        <v>0</v>
      </c>
      <c r="Q26" s="28" t="s">
        <v>1317</v>
      </c>
    </row>
    <row r="27" spans="1:17" ht="15.6" x14ac:dyDescent="0.3">
      <c r="B27" s="718" t="s">
        <v>121</v>
      </c>
      <c r="C27" s="718"/>
      <c r="D27" s="28"/>
      <c r="E27" s="718" t="s">
        <v>123</v>
      </c>
      <c r="F27" s="718"/>
      <c r="G27" s="718"/>
      <c r="N27" s="1"/>
      <c r="O27" s="1"/>
      <c r="P27" s="662"/>
      <c r="Q27" s="1"/>
    </row>
    <row r="28" spans="1:17" ht="15.6" x14ac:dyDescent="0.3">
      <c r="C28" s="34"/>
      <c r="D28" s="28"/>
      <c r="E28" s="28"/>
      <c r="F28" s="69"/>
      <c r="G28" s="37"/>
      <c r="N28" s="1"/>
      <c r="O28" s="1"/>
      <c r="P28" s="355">
        <f>SUM(P17:P25)</f>
        <v>5089498.662056461</v>
      </c>
      <c r="Q28" s="1"/>
    </row>
    <row r="29" spans="1:17" ht="15.6" x14ac:dyDescent="0.3">
      <c r="N29" s="1"/>
      <c r="O29" s="1"/>
      <c r="P29" s="1"/>
      <c r="Q29" s="1"/>
    </row>
  </sheetData>
  <mergeCells count="26">
    <mergeCell ref="A9:G9"/>
    <mergeCell ref="A1:B4"/>
    <mergeCell ref="A10:G10"/>
    <mergeCell ref="A11:G11"/>
    <mergeCell ref="A12:H12"/>
    <mergeCell ref="C1:H1"/>
    <mergeCell ref="C2:H2"/>
    <mergeCell ref="C3:H3"/>
    <mergeCell ref="C4:H4"/>
    <mergeCell ref="A5:H5"/>
    <mergeCell ref="E26:G26"/>
    <mergeCell ref="E27:G27"/>
    <mergeCell ref="B27:C27"/>
    <mergeCell ref="B26:C26"/>
    <mergeCell ref="E13:F13"/>
    <mergeCell ref="E16:F16"/>
    <mergeCell ref="E15:F15"/>
    <mergeCell ref="E14:F14"/>
    <mergeCell ref="C15:D15"/>
    <mergeCell ref="C13:D13"/>
    <mergeCell ref="C14:D14"/>
    <mergeCell ref="C16:D16"/>
    <mergeCell ref="A17:G17"/>
    <mergeCell ref="A18:G18"/>
    <mergeCell ref="A19:G19"/>
    <mergeCell ref="A20:G20"/>
  </mergeCells>
  <pageMargins left="0.7" right="0.7" top="0.75" bottom="0.75" header="0.3" footer="0.3"/>
  <pageSetup paperSize="9"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65A8-8BDE-4D06-9F86-D7AE8FCA7330}">
  <sheetPr codeName="Hoja2"/>
  <dimension ref="A1:T714"/>
  <sheetViews>
    <sheetView view="pageBreakPreview" zoomScale="90" zoomScaleNormal="85" zoomScaleSheetLayoutView="90" workbookViewId="0">
      <pane xSplit="1" ySplit="3" topLeftCell="B691" activePane="bottomRight" state="frozen"/>
      <selection activeCell="A51" sqref="A51:B51"/>
      <selection pane="topRight" activeCell="A51" sqref="A51:B51"/>
      <selection pane="bottomLeft" activeCell="A51" sqref="A51:B51"/>
      <selection pane="bottomRight" activeCell="A648" sqref="A648:XFD648"/>
    </sheetView>
  </sheetViews>
  <sheetFormatPr baseColWidth="10" defaultColWidth="11.44140625" defaultRowHeight="15.6" x14ac:dyDescent="0.3"/>
  <cols>
    <col min="1" max="1" width="5.5546875" style="1" customWidth="1"/>
    <col min="2" max="2" width="11.44140625" style="28"/>
    <col min="3" max="3" width="71" style="335" customWidth="1"/>
    <col min="4" max="8" width="11.44140625" style="28"/>
    <col min="9" max="9" width="11.44140625" style="34"/>
    <col min="10" max="10" width="12.88671875" style="34" customWidth="1"/>
    <col min="11" max="11" width="12.6640625" style="249" customWidth="1"/>
    <col min="12" max="13" width="11.44140625" style="34"/>
    <col min="14" max="16384" width="11.44140625" style="1"/>
  </cols>
  <sheetData>
    <row r="1" spans="2:13" x14ac:dyDescent="0.3">
      <c r="B1" s="12"/>
      <c r="C1" s="11" t="s">
        <v>127</v>
      </c>
      <c r="D1" s="12"/>
      <c r="E1" s="844" t="s">
        <v>128</v>
      </c>
      <c r="F1" s="844"/>
      <c r="G1" s="844"/>
      <c r="H1" s="13"/>
      <c r="I1" s="841" t="s">
        <v>129</v>
      </c>
      <c r="J1" s="841" t="s">
        <v>130</v>
      </c>
      <c r="K1" s="849" t="s">
        <v>131</v>
      </c>
      <c r="L1" s="850" t="s">
        <v>12</v>
      </c>
      <c r="M1" s="844" t="s">
        <v>132</v>
      </c>
    </row>
    <row r="2" spans="2:13" x14ac:dyDescent="0.3">
      <c r="B2" s="841" t="s">
        <v>133</v>
      </c>
      <c r="C2" s="847" t="s">
        <v>48</v>
      </c>
      <c r="D2" s="841" t="s">
        <v>23</v>
      </c>
      <c r="E2" s="13" t="s">
        <v>134</v>
      </c>
      <c r="F2" s="13" t="s">
        <v>135</v>
      </c>
      <c r="G2" s="13" t="s">
        <v>136</v>
      </c>
      <c r="H2" s="13" t="s">
        <v>47</v>
      </c>
      <c r="I2" s="845"/>
      <c r="J2" s="845"/>
      <c r="K2" s="849"/>
      <c r="L2" s="850"/>
      <c r="M2" s="844"/>
    </row>
    <row r="3" spans="2:13" x14ac:dyDescent="0.3">
      <c r="B3" s="853"/>
      <c r="C3" s="854"/>
      <c r="D3" s="853"/>
      <c r="E3" s="20" t="s">
        <v>137</v>
      </c>
      <c r="F3" s="20" t="s">
        <v>137</v>
      </c>
      <c r="G3" s="20" t="s">
        <v>137</v>
      </c>
      <c r="H3" s="20" t="s">
        <v>83</v>
      </c>
      <c r="I3" s="852"/>
      <c r="J3" s="852"/>
      <c r="K3" s="20" t="s">
        <v>138</v>
      </c>
      <c r="L3" s="21"/>
      <c r="M3" s="20" t="s">
        <v>139</v>
      </c>
    </row>
    <row r="4" spans="2:13" x14ac:dyDescent="0.3">
      <c r="B4" s="851"/>
      <c r="C4" s="851"/>
      <c r="D4" s="851"/>
      <c r="E4" s="851"/>
      <c r="F4" s="851"/>
      <c r="G4" s="851"/>
      <c r="H4" s="851"/>
      <c r="I4" s="851"/>
      <c r="J4" s="851"/>
      <c r="K4" s="851"/>
      <c r="L4" s="851"/>
      <c r="M4" s="851"/>
    </row>
    <row r="5" spans="2:13" x14ac:dyDescent="0.3">
      <c r="B5" s="851"/>
      <c r="C5" s="851"/>
      <c r="D5" s="851"/>
      <c r="E5" s="851"/>
      <c r="F5" s="851"/>
      <c r="G5" s="851"/>
      <c r="H5" s="851"/>
      <c r="I5" s="851"/>
      <c r="J5" s="851"/>
      <c r="K5" s="851"/>
      <c r="L5" s="851"/>
      <c r="M5" s="851"/>
    </row>
    <row r="6" spans="2:13" ht="20.25" customHeight="1" x14ac:dyDescent="0.3">
      <c r="B6" s="851"/>
      <c r="C6" s="851"/>
      <c r="D6" s="851"/>
      <c r="E6" s="851"/>
      <c r="F6" s="851"/>
      <c r="G6" s="851"/>
      <c r="H6" s="851"/>
      <c r="I6" s="851"/>
      <c r="J6" s="851"/>
      <c r="K6" s="851"/>
      <c r="L6" s="851"/>
      <c r="M6" s="851"/>
    </row>
    <row r="7" spans="2:13" ht="20.25" customHeight="1" x14ac:dyDescent="0.3">
      <c r="B7" s="851"/>
      <c r="C7" s="851"/>
      <c r="D7" s="851"/>
      <c r="E7" s="851"/>
      <c r="F7" s="851"/>
      <c r="G7" s="851"/>
      <c r="H7" s="851"/>
      <c r="I7" s="851"/>
      <c r="J7" s="851"/>
      <c r="K7" s="851"/>
      <c r="L7" s="851"/>
      <c r="M7" s="851"/>
    </row>
    <row r="8" spans="2:13" x14ac:dyDescent="0.3">
      <c r="B8" s="851"/>
      <c r="C8" s="851"/>
      <c r="D8" s="851"/>
      <c r="E8" s="851"/>
      <c r="F8" s="851"/>
      <c r="G8" s="851"/>
      <c r="H8" s="851"/>
      <c r="I8" s="851"/>
      <c r="J8" s="851"/>
      <c r="K8" s="851"/>
      <c r="L8" s="851"/>
      <c r="M8" s="851"/>
    </row>
    <row r="9" spans="2:13" x14ac:dyDescent="0.3">
      <c r="B9" s="851"/>
      <c r="C9" s="851"/>
      <c r="D9" s="851"/>
      <c r="E9" s="851"/>
      <c r="F9" s="851"/>
      <c r="G9" s="851"/>
      <c r="H9" s="851"/>
      <c r="I9" s="851"/>
      <c r="J9" s="851"/>
      <c r="K9" s="851"/>
      <c r="L9" s="851"/>
      <c r="M9" s="851"/>
    </row>
    <row r="10" spans="2:13" x14ac:dyDescent="0.3">
      <c r="B10" s="851"/>
      <c r="C10" s="851"/>
      <c r="D10" s="851"/>
      <c r="E10" s="851"/>
      <c r="F10" s="851"/>
      <c r="G10" s="851"/>
      <c r="H10" s="851"/>
      <c r="I10" s="851"/>
      <c r="J10" s="851"/>
      <c r="K10" s="851"/>
      <c r="L10" s="851"/>
      <c r="M10" s="851"/>
    </row>
    <row r="11" spans="2:13" x14ac:dyDescent="0.3">
      <c r="B11" s="840" t="s">
        <v>125</v>
      </c>
      <c r="C11" s="840"/>
      <c r="D11" s="840"/>
      <c r="E11" s="840"/>
      <c r="F11" s="840"/>
      <c r="G11" s="840"/>
      <c r="H11" s="840"/>
      <c r="I11" s="840"/>
      <c r="J11" s="840"/>
      <c r="K11" s="840"/>
      <c r="L11" s="840"/>
      <c r="M11" s="840"/>
    </row>
    <row r="12" spans="2:13" x14ac:dyDescent="0.3">
      <c r="B12" s="851"/>
      <c r="C12" s="851"/>
      <c r="D12" s="851"/>
      <c r="E12" s="851"/>
      <c r="F12" s="851"/>
      <c r="G12" s="851"/>
      <c r="H12" s="851"/>
      <c r="I12" s="851"/>
      <c r="J12" s="851"/>
      <c r="K12" s="851"/>
      <c r="L12" s="851"/>
      <c r="M12" s="851"/>
    </row>
    <row r="13" spans="2:13" ht="39.75" customHeight="1" x14ac:dyDescent="0.3">
      <c r="B13" s="846" t="str">
        <f>'PRESUPUESTO OFICIAL (Entidad)'!B9:G9</f>
        <v>OBJETO:  CONTRATO DE OBRA A TODO COSTO PARA LA CONSTRUCCION, MANTENIMIENTO Y MEJORAMIENTO DE DIFERENTES SEDES EDUCATIVAS DEL MUNICIPIO DE EL PITAL HUILA, CONFORME A LA FICHA TECNICA, EN CUMPLIMIENTO DEL PLAN DE DESARROLLO "UNIDOS SI PODEMOS 2024-2027"</v>
      </c>
      <c r="C13" s="846"/>
      <c r="D13" s="846"/>
      <c r="E13" s="846"/>
      <c r="F13" s="846"/>
      <c r="G13" s="846"/>
      <c r="H13" s="846"/>
      <c r="I13" s="846"/>
      <c r="J13" s="846"/>
      <c r="K13" s="846"/>
      <c r="L13" s="846"/>
      <c r="M13" s="846"/>
    </row>
    <row r="14" spans="2:13" x14ac:dyDescent="0.3">
      <c r="B14" s="841"/>
      <c r="C14" s="841"/>
      <c r="D14" s="841"/>
      <c r="E14" s="841"/>
      <c r="F14" s="841"/>
      <c r="G14" s="841"/>
      <c r="H14" s="841"/>
      <c r="I14" s="841"/>
      <c r="J14" s="841"/>
      <c r="K14" s="841"/>
      <c r="L14" s="841"/>
      <c r="M14" s="841"/>
    </row>
    <row r="15" spans="2:13" x14ac:dyDescent="0.3">
      <c r="B15" s="842" t="s">
        <v>126</v>
      </c>
      <c r="C15" s="842"/>
      <c r="D15" s="842"/>
      <c r="E15" s="842"/>
      <c r="F15" s="842"/>
      <c r="G15" s="842"/>
      <c r="H15" s="842"/>
      <c r="I15" s="842"/>
      <c r="J15" s="842"/>
      <c r="K15" s="842"/>
      <c r="L15" s="842"/>
      <c r="M15" s="842"/>
    </row>
    <row r="16" spans="2:13" x14ac:dyDescent="0.3">
      <c r="B16" s="843"/>
      <c r="C16" s="843"/>
      <c r="D16" s="843"/>
      <c r="E16" s="843"/>
      <c r="F16" s="843"/>
      <c r="G16" s="843"/>
      <c r="H16" s="843"/>
      <c r="I16" s="843"/>
      <c r="J16" s="843"/>
      <c r="K16" s="843"/>
      <c r="L16" s="843"/>
      <c r="M16" s="843"/>
    </row>
    <row r="17" spans="2:13" x14ac:dyDescent="0.3">
      <c r="B17" s="12"/>
      <c r="C17" s="11" t="s">
        <v>127</v>
      </c>
      <c r="D17" s="12"/>
      <c r="E17" s="844" t="s">
        <v>128</v>
      </c>
      <c r="F17" s="844"/>
      <c r="G17" s="844"/>
      <c r="H17" s="13"/>
      <c r="I17" s="841" t="s">
        <v>129</v>
      </c>
      <c r="J17" s="841" t="s">
        <v>130</v>
      </c>
      <c r="K17" s="849" t="s">
        <v>131</v>
      </c>
      <c r="L17" s="850" t="s">
        <v>12</v>
      </c>
      <c r="M17" s="844" t="s">
        <v>132</v>
      </c>
    </row>
    <row r="18" spans="2:13" x14ac:dyDescent="0.3">
      <c r="B18" s="841" t="s">
        <v>133</v>
      </c>
      <c r="C18" s="847" t="s">
        <v>48</v>
      </c>
      <c r="D18" s="841" t="s">
        <v>23</v>
      </c>
      <c r="E18" s="13" t="s">
        <v>134</v>
      </c>
      <c r="F18" s="13" t="s">
        <v>135</v>
      </c>
      <c r="G18" s="13" t="s">
        <v>136</v>
      </c>
      <c r="H18" s="13" t="s">
        <v>47</v>
      </c>
      <c r="I18" s="845"/>
      <c r="J18" s="845"/>
      <c r="K18" s="849"/>
      <c r="L18" s="850"/>
      <c r="M18" s="844"/>
    </row>
    <row r="19" spans="2:13" x14ac:dyDescent="0.3">
      <c r="B19" s="841"/>
      <c r="C19" s="847"/>
      <c r="D19" s="841"/>
      <c r="E19" s="13" t="s">
        <v>137</v>
      </c>
      <c r="F19" s="13" t="s">
        <v>137</v>
      </c>
      <c r="G19" s="13" t="s">
        <v>137</v>
      </c>
      <c r="H19" s="13" t="s">
        <v>83</v>
      </c>
      <c r="I19" s="845"/>
      <c r="J19" s="845"/>
      <c r="K19" s="13" t="s">
        <v>138</v>
      </c>
      <c r="L19" s="25"/>
      <c r="M19" s="13" t="s">
        <v>139</v>
      </c>
    </row>
    <row r="20" spans="2:13" x14ac:dyDescent="0.3">
      <c r="B20" s="337" t="str">
        <f>'PRESUPUESTO OFICIAL (Entidad)'!B12</f>
        <v>A</v>
      </c>
      <c r="C20" s="855" t="str">
        <f>'PRESUPUESTO OFICIAL (Entidad)'!C12</f>
        <v>CONSTRUCCIÓN DE COMEDOR - COCINA EN LA INSTITUCIÓN EDUCATIVA PROMOCION SOCIAL SEDE CHIMBAYACO</v>
      </c>
      <c r="D20" s="855"/>
      <c r="E20" s="855"/>
      <c r="F20" s="855"/>
      <c r="G20" s="855"/>
      <c r="H20" s="855"/>
      <c r="I20" s="855"/>
      <c r="J20" s="855"/>
      <c r="K20" s="855"/>
      <c r="L20" s="855"/>
      <c r="M20" s="855"/>
    </row>
    <row r="21" spans="2:13" x14ac:dyDescent="0.3">
      <c r="B21" s="39" t="str">
        <f>'PRESUPUESTO OFICIAL (Entidad)'!B13</f>
        <v>A1</v>
      </c>
      <c r="C21" s="47" t="str">
        <f>'PRESUPUESTO OFICIAL (Entidad)'!C13</f>
        <v>PRELIMINARES Y DEMOLICIONES - DESMONTE DE ELEMENTOS</v>
      </c>
      <c r="D21" s="39"/>
      <c r="E21" s="40"/>
      <c r="F21" s="40"/>
      <c r="G21" s="40"/>
      <c r="H21" s="40"/>
      <c r="I21" s="41"/>
      <c r="J21" s="41"/>
      <c r="K21" s="40"/>
      <c r="L21" s="42"/>
      <c r="M21" s="40"/>
    </row>
    <row r="22" spans="2:13" x14ac:dyDescent="0.3">
      <c r="B22" s="43" t="str">
        <f>'PRESUPUESTO OFICIAL (Entidad)'!B14</f>
        <v>A1,1</v>
      </c>
      <c r="C22" s="48" t="str">
        <f>'PRESUPUESTO OFICIAL (Entidad)'!C14</f>
        <v>Localización y Replanteo manual.</v>
      </c>
      <c r="D22" s="43" t="str">
        <f>'PRESUPUESTO OFICIAL (Entidad)'!D14</f>
        <v>M2</v>
      </c>
      <c r="E22" s="44"/>
      <c r="F22" s="44"/>
      <c r="G22" s="44"/>
      <c r="H22" s="44"/>
      <c r="I22" s="45"/>
      <c r="J22" s="45"/>
      <c r="K22" s="55">
        <f>ROUND(K23,2)</f>
        <v>65.83</v>
      </c>
      <c r="L22" s="46"/>
      <c r="M22" s="44"/>
    </row>
    <row r="23" spans="2:13" x14ac:dyDescent="0.3">
      <c r="B23" s="27"/>
      <c r="C23" s="522" t="s">
        <v>284</v>
      </c>
      <c r="D23" s="27"/>
      <c r="E23" s="514">
        <f>0.7+4.3+0.7+3.65+0.7</f>
        <v>10.049999999999999</v>
      </c>
      <c r="F23" s="514">
        <v>6.55</v>
      </c>
      <c r="G23" s="514"/>
      <c r="H23" s="514"/>
      <c r="I23" s="513"/>
      <c r="J23" s="513"/>
      <c r="K23" s="514">
        <f>E23*F23</f>
        <v>65.827499999999986</v>
      </c>
      <c r="L23" s="516"/>
      <c r="M23" s="514"/>
    </row>
    <row r="24" spans="2:13" x14ac:dyDescent="0.3">
      <c r="B24" s="43" t="str">
        <f>'PRESUPUESTO OFICIAL (Entidad)'!B15</f>
        <v>A1,2</v>
      </c>
      <c r="C24" s="48" t="str">
        <f>'PRESUPUESTO OFICIAL (Entidad)'!C15</f>
        <v>Demolición mecánica de concreto ciclópeo</v>
      </c>
      <c r="D24" s="43" t="str">
        <f>'PRESUPUESTO OFICIAL (Entidad)'!D15</f>
        <v>M3</v>
      </c>
      <c r="E24" s="44"/>
      <c r="F24" s="44"/>
      <c r="G24" s="44"/>
      <c r="H24" s="44"/>
      <c r="I24" s="45"/>
      <c r="J24" s="45"/>
      <c r="K24" s="55">
        <f>ROUND(K25,2)</f>
        <v>3.53</v>
      </c>
      <c r="L24" s="46"/>
      <c r="M24" s="44"/>
    </row>
    <row r="25" spans="2:13" x14ac:dyDescent="0.3">
      <c r="B25" s="12"/>
      <c r="C25" s="522" t="s">
        <v>284</v>
      </c>
      <c r="D25" s="12"/>
      <c r="E25" s="514">
        <f>6.8+6.8+7.9+7.9</f>
        <v>29.4</v>
      </c>
      <c r="F25" s="514">
        <v>0.3</v>
      </c>
      <c r="G25" s="514">
        <v>0.4</v>
      </c>
      <c r="H25" s="13"/>
      <c r="I25" s="513"/>
      <c r="J25" s="513"/>
      <c r="K25" s="514">
        <f>E25*F25*G25</f>
        <v>3.5279999999999996</v>
      </c>
      <c r="L25" s="25"/>
      <c r="M25" s="13"/>
    </row>
    <row r="26" spans="2:13" x14ac:dyDescent="0.3">
      <c r="B26" s="39" t="str">
        <f>'PRESUPUESTO OFICIAL (Entidad)'!B16</f>
        <v>A2</v>
      </c>
      <c r="C26" s="47" t="str">
        <f>'PRESUPUESTO OFICIAL (Entidad)'!C16</f>
        <v>MOVIMIENTO DE TIERRA</v>
      </c>
      <c r="D26" s="39"/>
      <c r="E26" s="40"/>
      <c r="F26" s="40"/>
      <c r="G26" s="40"/>
      <c r="H26" s="40"/>
      <c r="I26" s="41"/>
      <c r="J26" s="41"/>
      <c r="K26" s="40"/>
      <c r="L26" s="42"/>
      <c r="M26" s="40"/>
    </row>
    <row r="27" spans="2:13" x14ac:dyDescent="0.3">
      <c r="B27" s="43" t="str">
        <f>'PRESUPUESTO OFICIAL (Entidad)'!B17</f>
        <v>A2,1</v>
      </c>
      <c r="C27" s="48" t="str">
        <f>'PRESUPUESTO OFICIAL (Entidad)'!C17</f>
        <v xml:space="preserve">Excavacion manual. Incluye retiro del material. </v>
      </c>
      <c r="D27" s="43" t="str">
        <f>'PRESUPUESTO OFICIAL (Entidad)'!D17</f>
        <v>M3</v>
      </c>
      <c r="E27" s="44"/>
      <c r="F27" s="44"/>
      <c r="G27" s="44"/>
      <c r="H27" s="44"/>
      <c r="I27" s="45"/>
      <c r="J27" s="45"/>
      <c r="K27" s="55">
        <f>ROUND(SUM(K28:K43),2)</f>
        <v>15.61</v>
      </c>
      <c r="L27" s="46"/>
      <c r="M27" s="44"/>
    </row>
    <row r="28" spans="2:13" x14ac:dyDescent="0.3">
      <c r="B28" s="12"/>
      <c r="C28" s="61" t="s">
        <v>285</v>
      </c>
      <c r="D28" s="27" t="s">
        <v>9</v>
      </c>
      <c r="E28" s="30">
        <v>0.7</v>
      </c>
      <c r="F28" s="514">
        <v>0.7</v>
      </c>
      <c r="G28" s="514">
        <f>0.3+0.3</f>
        <v>0.6</v>
      </c>
      <c r="H28" s="514">
        <v>5</v>
      </c>
      <c r="I28" s="513"/>
      <c r="J28" s="513"/>
      <c r="K28" s="514">
        <f>E28*F28*G28*H28</f>
        <v>1.4699999999999998</v>
      </c>
      <c r="L28" s="25"/>
      <c r="M28" s="13"/>
    </row>
    <row r="29" spans="2:13" x14ac:dyDescent="0.3">
      <c r="B29" s="12"/>
      <c r="C29" s="61" t="s">
        <v>286</v>
      </c>
      <c r="D29" s="27" t="s">
        <v>9</v>
      </c>
      <c r="E29" s="30">
        <v>1</v>
      </c>
      <c r="F29" s="514">
        <v>1</v>
      </c>
      <c r="G29" s="514">
        <f>0.3+0.3</f>
        <v>0.6</v>
      </c>
      <c r="H29" s="514">
        <v>1</v>
      </c>
      <c r="I29" s="513"/>
      <c r="J29" s="513"/>
      <c r="K29" s="514">
        <f>E29*F29*G29*H29</f>
        <v>0.6</v>
      </c>
      <c r="L29" s="25"/>
      <c r="M29" s="13"/>
    </row>
    <row r="30" spans="2:13" x14ac:dyDescent="0.3">
      <c r="B30" s="27"/>
      <c r="C30" s="61" t="s">
        <v>272</v>
      </c>
      <c r="D30" s="27" t="s">
        <v>9</v>
      </c>
      <c r="E30" s="30">
        <v>4.3</v>
      </c>
      <c r="F30" s="30">
        <v>0.4</v>
      </c>
      <c r="G30" s="30">
        <f>0.45+0.3</f>
        <v>0.75</v>
      </c>
      <c r="H30" s="30">
        <v>1</v>
      </c>
      <c r="I30" s="328"/>
      <c r="J30" s="328"/>
      <c r="K30" s="514">
        <f>E30*F30*G30*H30</f>
        <v>1.29</v>
      </c>
      <c r="L30" s="516"/>
      <c r="M30" s="514"/>
    </row>
    <row r="31" spans="2:13" x14ac:dyDescent="0.3">
      <c r="B31" s="27"/>
      <c r="C31" s="61" t="s">
        <v>273</v>
      </c>
      <c r="D31" s="27" t="s">
        <v>9</v>
      </c>
      <c r="E31" s="514">
        <v>3.65</v>
      </c>
      <c r="F31" s="514">
        <v>0.4</v>
      </c>
      <c r="G31" s="514">
        <v>0.75</v>
      </c>
      <c r="H31" s="514">
        <v>1</v>
      </c>
      <c r="I31" s="513"/>
      <c r="J31" s="513"/>
      <c r="K31" s="514">
        <f t="shared" ref="K31:K43" si="0">E31*F31*G31*H31</f>
        <v>1.095</v>
      </c>
      <c r="L31" s="516"/>
      <c r="M31" s="514"/>
    </row>
    <row r="32" spans="2:13" x14ac:dyDescent="0.3">
      <c r="B32" s="27"/>
      <c r="C32" s="61" t="s">
        <v>274</v>
      </c>
      <c r="D32" s="27" t="s">
        <v>9</v>
      </c>
      <c r="E32" s="30">
        <v>4.3</v>
      </c>
      <c r="F32" s="30">
        <v>0.4</v>
      </c>
      <c r="G32" s="30">
        <v>0.75</v>
      </c>
      <c r="H32" s="30">
        <v>1</v>
      </c>
      <c r="I32" s="513"/>
      <c r="J32" s="513"/>
      <c r="K32" s="514">
        <f t="shared" si="0"/>
        <v>1.29</v>
      </c>
      <c r="L32" s="516"/>
      <c r="M32" s="514"/>
    </row>
    <row r="33" spans="2:13" x14ac:dyDescent="0.3">
      <c r="B33" s="27"/>
      <c r="C33" s="61" t="s">
        <v>275</v>
      </c>
      <c r="D33" s="27" t="s">
        <v>9</v>
      </c>
      <c r="E33" s="514">
        <v>3.5</v>
      </c>
      <c r="F33" s="514">
        <v>0.4</v>
      </c>
      <c r="G33" s="514">
        <v>0.75</v>
      </c>
      <c r="H33" s="514">
        <v>1</v>
      </c>
      <c r="I33" s="513"/>
      <c r="J33" s="513"/>
      <c r="K33" s="514">
        <f t="shared" si="0"/>
        <v>1.05</v>
      </c>
      <c r="L33" s="516"/>
      <c r="M33" s="514"/>
    </row>
    <row r="34" spans="2:13" x14ac:dyDescent="0.3">
      <c r="B34" s="27"/>
      <c r="C34" s="61" t="s">
        <v>276</v>
      </c>
      <c r="D34" s="27" t="s">
        <v>9</v>
      </c>
      <c r="E34" s="514">
        <v>5</v>
      </c>
      <c r="F34" s="30">
        <v>0.4</v>
      </c>
      <c r="G34" s="514">
        <v>0.75</v>
      </c>
      <c r="H34" s="30">
        <v>1</v>
      </c>
      <c r="I34" s="513"/>
      <c r="J34" s="513"/>
      <c r="K34" s="514">
        <f t="shared" si="0"/>
        <v>1.5</v>
      </c>
      <c r="L34" s="516"/>
      <c r="M34" s="514"/>
    </row>
    <row r="35" spans="2:13" x14ac:dyDescent="0.3">
      <c r="B35" s="27"/>
      <c r="C35" s="61" t="s">
        <v>277</v>
      </c>
      <c r="D35" s="27" t="s">
        <v>9</v>
      </c>
      <c r="E35" s="514">
        <v>5</v>
      </c>
      <c r="F35" s="514">
        <v>0.4</v>
      </c>
      <c r="G35" s="514">
        <v>0.3</v>
      </c>
      <c r="H35" s="514">
        <v>1</v>
      </c>
      <c r="I35" s="513"/>
      <c r="J35" s="513"/>
      <c r="K35" s="514">
        <f t="shared" si="0"/>
        <v>0.6</v>
      </c>
      <c r="L35" s="516"/>
      <c r="M35" s="514"/>
    </row>
    <row r="36" spans="2:13" x14ac:dyDescent="0.3">
      <c r="B36" s="27"/>
      <c r="C36" s="61" t="s">
        <v>278</v>
      </c>
      <c r="D36" s="27" t="s">
        <v>9</v>
      </c>
      <c r="E36" s="514">
        <v>4.8499999999999996</v>
      </c>
      <c r="F36" s="30">
        <v>0.4</v>
      </c>
      <c r="G36" s="514">
        <v>0.75</v>
      </c>
      <c r="H36" s="30">
        <v>1</v>
      </c>
      <c r="I36" s="513"/>
      <c r="J36" s="513"/>
      <c r="K36" s="514">
        <f t="shared" si="0"/>
        <v>1.4550000000000001</v>
      </c>
      <c r="L36" s="516"/>
      <c r="M36" s="514"/>
    </row>
    <row r="37" spans="2:13" x14ac:dyDescent="0.3">
      <c r="B37" s="27"/>
      <c r="C37" s="61" t="s">
        <v>279</v>
      </c>
      <c r="D37" s="27" t="s">
        <v>9</v>
      </c>
      <c r="E37" s="514">
        <v>4.05</v>
      </c>
      <c r="F37" s="514">
        <v>0.4</v>
      </c>
      <c r="G37" s="514">
        <v>0.3</v>
      </c>
      <c r="H37" s="514">
        <v>1</v>
      </c>
      <c r="I37" s="513"/>
      <c r="J37" s="513"/>
      <c r="K37" s="514">
        <f t="shared" si="0"/>
        <v>0.48599999999999999</v>
      </c>
      <c r="L37" s="516"/>
      <c r="M37" s="514"/>
    </row>
    <row r="38" spans="2:13" x14ac:dyDescent="0.3">
      <c r="B38" s="27"/>
      <c r="C38" s="61" t="s">
        <v>280</v>
      </c>
      <c r="D38" s="27" t="s">
        <v>9</v>
      </c>
      <c r="E38" s="514">
        <v>1.4</v>
      </c>
      <c r="F38" s="30">
        <v>0.4</v>
      </c>
      <c r="G38" s="514">
        <v>0.3</v>
      </c>
      <c r="H38" s="30">
        <v>1</v>
      </c>
      <c r="I38" s="513"/>
      <c r="J38" s="513"/>
      <c r="K38" s="514">
        <f t="shared" si="0"/>
        <v>0.16799999999999998</v>
      </c>
      <c r="L38" s="516"/>
      <c r="M38" s="514"/>
    </row>
    <row r="39" spans="2:13" x14ac:dyDescent="0.3">
      <c r="B39" s="27"/>
      <c r="C39" s="61" t="s">
        <v>823</v>
      </c>
      <c r="D39" s="27" t="s">
        <v>9</v>
      </c>
      <c r="E39" s="58">
        <v>6</v>
      </c>
      <c r="F39" s="58">
        <v>0.15</v>
      </c>
      <c r="G39" s="58">
        <v>0.6</v>
      </c>
      <c r="H39" s="58">
        <v>1</v>
      </c>
      <c r="I39" s="513"/>
      <c r="J39" s="513"/>
      <c r="K39" s="514">
        <f t="shared" si="0"/>
        <v>0.53999999999999992</v>
      </c>
      <c r="L39" s="516"/>
      <c r="M39" s="514"/>
    </row>
    <row r="40" spans="2:13" x14ac:dyDescent="0.3">
      <c r="B40" s="27"/>
      <c r="C40" s="61" t="s">
        <v>1115</v>
      </c>
      <c r="D40" s="27" t="s">
        <v>9</v>
      </c>
      <c r="E40" s="58">
        <v>6</v>
      </c>
      <c r="F40" s="58">
        <v>1</v>
      </c>
      <c r="G40" s="58">
        <v>0.3</v>
      </c>
      <c r="H40" s="58">
        <v>1</v>
      </c>
      <c r="I40" s="513"/>
      <c r="J40" s="513"/>
      <c r="K40" s="514">
        <f>E40*F40*G40*H40</f>
        <v>1.7999999999999998</v>
      </c>
      <c r="L40" s="516"/>
      <c r="M40" s="514"/>
    </row>
    <row r="41" spans="2:13" x14ac:dyDescent="0.3">
      <c r="B41" s="27"/>
      <c r="C41" s="61" t="s">
        <v>1114</v>
      </c>
      <c r="D41" s="27" t="s">
        <v>9</v>
      </c>
      <c r="E41" s="58">
        <v>6</v>
      </c>
      <c r="F41" s="58">
        <v>0.17</v>
      </c>
      <c r="G41" s="58">
        <v>0.6</v>
      </c>
      <c r="H41" s="58">
        <v>1</v>
      </c>
      <c r="I41" s="513"/>
      <c r="J41" s="513"/>
      <c r="K41" s="514">
        <f t="shared" si="0"/>
        <v>0.61199999999999999</v>
      </c>
      <c r="L41" s="516"/>
      <c r="M41" s="514"/>
    </row>
    <row r="42" spans="2:13" x14ac:dyDescent="0.3">
      <c r="B42" s="27"/>
      <c r="C42" s="61" t="s">
        <v>282</v>
      </c>
      <c r="D42" s="27" t="s">
        <v>9</v>
      </c>
      <c r="E42" s="58">
        <v>6</v>
      </c>
      <c r="F42" s="58">
        <v>0.6</v>
      </c>
      <c r="G42" s="58">
        <v>0.4</v>
      </c>
      <c r="H42" s="58">
        <v>1</v>
      </c>
      <c r="I42" s="513"/>
      <c r="J42" s="513"/>
      <c r="K42" s="514">
        <f t="shared" si="0"/>
        <v>1.44</v>
      </c>
      <c r="L42" s="516"/>
      <c r="M42" s="514"/>
    </row>
    <row r="43" spans="2:13" x14ac:dyDescent="0.3">
      <c r="B43" s="27"/>
      <c r="C43" s="61" t="s">
        <v>283</v>
      </c>
      <c r="D43" s="27" t="s">
        <v>9</v>
      </c>
      <c r="E43" s="58">
        <v>0.6</v>
      </c>
      <c r="F43" s="58">
        <v>0.6</v>
      </c>
      <c r="G43" s="58">
        <v>0.6</v>
      </c>
      <c r="H43" s="58">
        <v>1</v>
      </c>
      <c r="I43" s="513"/>
      <c r="J43" s="513"/>
      <c r="K43" s="514">
        <f t="shared" si="0"/>
        <v>0.216</v>
      </c>
      <c r="L43" s="516"/>
      <c r="M43" s="514"/>
    </row>
    <row r="44" spans="2:13" x14ac:dyDescent="0.3">
      <c r="B44" s="43" t="str">
        <f>'PRESUPUESTO OFICIAL (Entidad)'!B18</f>
        <v>A2,2</v>
      </c>
      <c r="C44" s="48" t="str">
        <f>'PRESUPUESTO OFICIAL (Entidad)'!C18</f>
        <v>Relleno en recebo compactado mecánicamente.</v>
      </c>
      <c r="D44" s="43" t="str">
        <f>'PRESUPUESTO OFICIAL (Entidad)'!D18</f>
        <v>M3</v>
      </c>
      <c r="E44" s="44"/>
      <c r="F44" s="44"/>
      <c r="G44" s="44"/>
      <c r="H44" s="44"/>
      <c r="I44" s="45"/>
      <c r="J44" s="45"/>
      <c r="K44" s="55">
        <f>ROUND(SUM(K45:K50),2)</f>
        <v>15.09</v>
      </c>
      <c r="L44" s="46"/>
      <c r="M44" s="44"/>
    </row>
    <row r="45" spans="2:13" x14ac:dyDescent="0.3">
      <c r="B45" s="12"/>
      <c r="C45" s="522" t="s">
        <v>284</v>
      </c>
      <c r="D45" s="27" t="s">
        <v>9</v>
      </c>
      <c r="E45" s="514">
        <v>9.65</v>
      </c>
      <c r="F45" s="514">
        <v>6</v>
      </c>
      <c r="G45" s="514">
        <v>0.37</v>
      </c>
      <c r="H45" s="514"/>
      <c r="I45" s="514">
        <f>SUM(K30:K38)</f>
        <v>8.9339999999999993</v>
      </c>
      <c r="J45" s="513"/>
      <c r="K45" s="30">
        <f>(E45*F45*G45)-I45</f>
        <v>12.489000000000003</v>
      </c>
      <c r="L45" s="25"/>
      <c r="M45" s="13"/>
    </row>
    <row r="46" spans="2:13" x14ac:dyDescent="0.3">
      <c r="B46" s="27"/>
      <c r="C46" s="328" t="s">
        <v>270</v>
      </c>
      <c r="D46" s="27" t="s">
        <v>9</v>
      </c>
      <c r="E46" s="514">
        <f>0.7-0.3</f>
        <v>0.39999999999999997</v>
      </c>
      <c r="F46" s="514">
        <f>0.7-0.3</f>
        <v>0.39999999999999997</v>
      </c>
      <c r="G46" s="514">
        <v>0.3</v>
      </c>
      <c r="H46" s="514">
        <v>5</v>
      </c>
      <c r="I46" s="513"/>
      <c r="J46" s="513"/>
      <c r="K46" s="514">
        <f>E46*F46*G46*H46</f>
        <v>0.23999999999999996</v>
      </c>
      <c r="L46" s="516"/>
      <c r="M46" s="514"/>
    </row>
    <row r="47" spans="2:13" x14ac:dyDescent="0.3">
      <c r="B47" s="27"/>
      <c r="C47" s="328" t="s">
        <v>271</v>
      </c>
      <c r="D47" s="27" t="s">
        <v>9</v>
      </c>
      <c r="E47" s="514">
        <f>1-0.3</f>
        <v>0.7</v>
      </c>
      <c r="F47" s="514">
        <f>1-0.3</f>
        <v>0.7</v>
      </c>
      <c r="G47" s="514">
        <v>0.3</v>
      </c>
      <c r="H47" s="514">
        <v>1</v>
      </c>
      <c r="I47" s="513"/>
      <c r="J47" s="513"/>
      <c r="K47" s="514">
        <f>E47*F47*G47*H47</f>
        <v>0.14699999999999996</v>
      </c>
      <c r="L47" s="516"/>
      <c r="M47" s="514"/>
    </row>
    <row r="48" spans="2:13" x14ac:dyDescent="0.3">
      <c r="B48" s="27"/>
      <c r="C48" s="61" t="s">
        <v>823</v>
      </c>
      <c r="D48" s="27" t="s">
        <v>9</v>
      </c>
      <c r="E48" s="58">
        <f>E39</f>
        <v>6</v>
      </c>
      <c r="F48" s="58">
        <v>0.08</v>
      </c>
      <c r="G48" s="58">
        <v>0.52</v>
      </c>
      <c r="H48" s="58">
        <v>1</v>
      </c>
      <c r="I48" s="513"/>
      <c r="J48" s="513"/>
      <c r="K48" s="514">
        <f t="shared" ref="K48:K50" si="1">E48*F48*G48*H48</f>
        <v>0.24959999999999999</v>
      </c>
      <c r="L48" s="516"/>
      <c r="M48" s="514"/>
    </row>
    <row r="49" spans="1:16" x14ac:dyDescent="0.3">
      <c r="B49" s="27"/>
      <c r="C49" s="61" t="s">
        <v>1115</v>
      </c>
      <c r="D49" s="27" t="s">
        <v>9</v>
      </c>
      <c r="E49" s="58">
        <v>6</v>
      </c>
      <c r="F49" s="58">
        <v>1</v>
      </c>
      <c r="G49" s="58">
        <v>0.2</v>
      </c>
      <c r="H49" s="58">
        <v>1</v>
      </c>
      <c r="I49" s="513"/>
      <c r="J49" s="513"/>
      <c r="K49" s="514">
        <f t="shared" si="1"/>
        <v>1.2000000000000002</v>
      </c>
      <c r="L49" s="516"/>
      <c r="M49" s="514"/>
    </row>
    <row r="50" spans="1:16" x14ac:dyDescent="0.3">
      <c r="B50" s="27"/>
      <c r="C50" s="61" t="s">
        <v>281</v>
      </c>
      <c r="D50" s="27" t="s">
        <v>9</v>
      </c>
      <c r="E50" s="58">
        <f>SUM(E30+E31+E32+E33+E34+E36)</f>
        <v>25.6</v>
      </c>
      <c r="F50" s="58">
        <v>0.1</v>
      </c>
      <c r="G50" s="58">
        <v>0.3</v>
      </c>
      <c r="H50" s="58">
        <v>1</v>
      </c>
      <c r="I50" s="513"/>
      <c r="J50" s="513"/>
      <c r="K50" s="514">
        <f t="shared" si="1"/>
        <v>0.76800000000000013</v>
      </c>
      <c r="L50" s="516"/>
      <c r="M50" s="514"/>
    </row>
    <row r="51" spans="1:16" x14ac:dyDescent="0.3">
      <c r="A51" s="1" t="s">
        <v>654</v>
      </c>
      <c r="B51" s="39" t="str">
        <f>'PRESUPUESTO OFICIAL (Entidad)'!B19</f>
        <v>A3</v>
      </c>
      <c r="C51" s="47" t="str">
        <f>'PRESUPUESTO OFICIAL (Entidad)'!C19</f>
        <v>CIMIENTOS</v>
      </c>
      <c r="D51" s="39"/>
      <c r="E51" s="40"/>
      <c r="F51" s="40"/>
      <c r="G51" s="40"/>
      <c r="H51" s="40"/>
      <c r="I51" s="41"/>
      <c r="J51" s="41"/>
      <c r="K51" s="40"/>
      <c r="L51" s="42"/>
      <c r="M51" s="40"/>
    </row>
    <row r="52" spans="1:16" ht="31.2" x14ac:dyDescent="0.3">
      <c r="B52" s="43" t="str">
        <f>'PRESUPUESTO OFICIAL (Entidad)'!B20</f>
        <v>A3,1</v>
      </c>
      <c r="C52" s="48" t="str">
        <f>'PRESUPUESTO OFICIAL (Entidad)'!C20</f>
        <v>Concreto Ciclópeo (40% en piedra media zonga y 60% concreto 2500 PSI de 0,30*0,40 m).</v>
      </c>
      <c r="D52" s="43" t="str">
        <f>'PRESUPUESTO OFICIAL (Entidad)'!D20</f>
        <v>M3</v>
      </c>
      <c r="E52" s="44"/>
      <c r="F52" s="44"/>
      <c r="G52" s="44"/>
      <c r="H52" s="44"/>
      <c r="I52" s="45"/>
      <c r="J52" s="45"/>
      <c r="K52" s="55">
        <f>ROUND(K53,2)</f>
        <v>3.07</v>
      </c>
      <c r="L52" s="46"/>
      <c r="M52" s="44"/>
    </row>
    <row r="53" spans="1:16" x14ac:dyDescent="0.3">
      <c r="B53" s="27"/>
      <c r="C53" s="522" t="s">
        <v>287</v>
      </c>
      <c r="D53" s="27" t="s">
        <v>9</v>
      </c>
      <c r="E53" s="58">
        <f>SUM(E30+E31+E32+E33+E34+E36)</f>
        <v>25.6</v>
      </c>
      <c r="F53" s="514">
        <v>0.4</v>
      </c>
      <c r="G53" s="514">
        <v>0.3</v>
      </c>
      <c r="H53" s="514">
        <v>1</v>
      </c>
      <c r="I53" s="513"/>
      <c r="J53" s="513"/>
      <c r="K53" s="514">
        <f>E53*F53*G53*H53</f>
        <v>3.0720000000000005</v>
      </c>
      <c r="L53" s="516"/>
      <c r="M53" s="514"/>
      <c r="P53" s="1">
        <f>4.3+3.65+4.3+3.5+5+5+4.85+4.05+1.4</f>
        <v>36.049999999999997</v>
      </c>
    </row>
    <row r="54" spans="1:16" x14ac:dyDescent="0.3">
      <c r="B54" s="43" t="str">
        <f>'PRESUPUESTO OFICIAL (Entidad)'!B21</f>
        <v>A3,2</v>
      </c>
      <c r="C54" s="48" t="str">
        <f>'PRESUPUESTO OFICIAL (Entidad)'!C21</f>
        <v>Cimentación tipo zapatas en concreto de 3000 P.S.I (0,70*0,70*0,30mts).</v>
      </c>
      <c r="D54" s="43" t="str">
        <f>'PRESUPUESTO OFICIAL (Entidad)'!D21</f>
        <v>M3</v>
      </c>
      <c r="E54" s="44"/>
      <c r="F54" s="44"/>
      <c r="G54" s="44"/>
      <c r="H54" s="44"/>
      <c r="I54" s="45"/>
      <c r="J54" s="45"/>
      <c r="K54" s="55">
        <f>ROUND(K55,2)</f>
        <v>0.74</v>
      </c>
      <c r="L54" s="46"/>
      <c r="M54" s="44"/>
    </row>
    <row r="55" spans="1:16" x14ac:dyDescent="0.3">
      <c r="B55" s="27"/>
      <c r="C55" s="522" t="s">
        <v>290</v>
      </c>
      <c r="D55" s="27" t="s">
        <v>9</v>
      </c>
      <c r="E55" s="514">
        <v>0.7</v>
      </c>
      <c r="F55" s="514">
        <v>0.7</v>
      </c>
      <c r="G55" s="514">
        <v>0.3</v>
      </c>
      <c r="H55" s="514">
        <v>5</v>
      </c>
      <c r="I55" s="513"/>
      <c r="J55" s="513"/>
      <c r="K55" s="514">
        <f>E55*F55*G55*H55</f>
        <v>0.73499999999999988</v>
      </c>
      <c r="L55" s="516"/>
      <c r="M55" s="514"/>
    </row>
    <row r="56" spans="1:16" x14ac:dyDescent="0.3">
      <c r="B56" s="43" t="str">
        <f>'PRESUPUESTO OFICIAL (Entidad)'!B22</f>
        <v>A3,3</v>
      </c>
      <c r="C56" s="48" t="str">
        <f>'PRESUPUESTO OFICIAL (Entidad)'!C22</f>
        <v>Cimentación tipo zapatas en concreto de 3000 P.S.I (1,00*1,00*0,30mts).</v>
      </c>
      <c r="D56" s="43" t="str">
        <f>'PRESUPUESTO OFICIAL (Entidad)'!D22</f>
        <v>M3</v>
      </c>
      <c r="E56" s="44"/>
      <c r="F56" s="44"/>
      <c r="G56" s="44"/>
      <c r="H56" s="44"/>
      <c r="I56" s="45"/>
      <c r="J56" s="45"/>
      <c r="K56" s="55">
        <f>ROUND(K57,2)</f>
        <v>0.3</v>
      </c>
      <c r="L56" s="46"/>
      <c r="M56" s="44"/>
    </row>
    <row r="57" spans="1:16" x14ac:dyDescent="0.3">
      <c r="B57" s="27"/>
      <c r="C57" s="522" t="s">
        <v>291</v>
      </c>
      <c r="D57" s="27" t="s">
        <v>9</v>
      </c>
      <c r="E57" s="514">
        <v>1</v>
      </c>
      <c r="F57" s="514">
        <v>1</v>
      </c>
      <c r="G57" s="514">
        <v>0.3</v>
      </c>
      <c r="H57" s="514">
        <v>1</v>
      </c>
      <c r="I57" s="513"/>
      <c r="J57" s="513"/>
      <c r="K57" s="514">
        <f>E57*F57*G57*H57</f>
        <v>0.3</v>
      </c>
      <c r="L57" s="516"/>
      <c r="M57" s="514"/>
    </row>
    <row r="58" spans="1:16" ht="31.2" x14ac:dyDescent="0.3">
      <c r="B58" s="43" t="str">
        <f>'PRESUPUESTO OFICIAL (Entidad)'!B23</f>
        <v>A3,4</v>
      </c>
      <c r="C58" s="48" t="str">
        <f>'PRESUPUESTO OFICIAL (Entidad)'!C23</f>
        <v>Viga de cimentación en concreto de 3000 PSI (0,30*0,30mts). Incluye acero de refuerzo de 60000 PSI (4Ø5/8" refuerzo y E=Ø3/8" c./d. 0,10 mts).</v>
      </c>
      <c r="D58" s="43" t="str">
        <f>'PRESUPUESTO OFICIAL (Entidad)'!D23</f>
        <v>ML</v>
      </c>
      <c r="E58" s="44"/>
      <c r="F58" s="44"/>
      <c r="G58" s="44"/>
      <c r="H58" s="44"/>
      <c r="I58" s="45"/>
      <c r="J58" s="45"/>
      <c r="K58" s="55">
        <f>ROUND(SUM(K59:K67),2)</f>
        <v>39.15</v>
      </c>
      <c r="L58" s="46"/>
      <c r="M58" s="44"/>
    </row>
    <row r="59" spans="1:16" ht="16.5" customHeight="1" x14ac:dyDescent="0.3">
      <c r="B59" s="12"/>
      <c r="C59" s="61" t="s">
        <v>272</v>
      </c>
      <c r="D59" s="27" t="s">
        <v>19</v>
      </c>
      <c r="E59" s="514">
        <v>4.7</v>
      </c>
      <c r="F59" s="13"/>
      <c r="G59" s="13"/>
      <c r="H59" s="13"/>
      <c r="I59" s="513"/>
      <c r="J59" s="513"/>
      <c r="K59" s="514">
        <f>E59</f>
        <v>4.7</v>
      </c>
      <c r="L59" s="25"/>
      <c r="M59" s="13"/>
    </row>
    <row r="60" spans="1:16" ht="16.5" customHeight="1" x14ac:dyDescent="0.3">
      <c r="B60" s="12"/>
      <c r="C60" s="61" t="s">
        <v>273</v>
      </c>
      <c r="D60" s="27" t="s">
        <v>19</v>
      </c>
      <c r="E60" s="514">
        <v>4.05</v>
      </c>
      <c r="F60" s="13"/>
      <c r="G60" s="13"/>
      <c r="H60" s="13"/>
      <c r="I60" s="513"/>
      <c r="J60" s="513"/>
      <c r="K60" s="514">
        <f t="shared" ref="K60:K67" si="2">E60</f>
        <v>4.05</v>
      </c>
      <c r="L60" s="25"/>
      <c r="M60" s="13"/>
    </row>
    <row r="61" spans="1:16" ht="16.5" customHeight="1" x14ac:dyDescent="0.3">
      <c r="B61" s="12"/>
      <c r="C61" s="61" t="s">
        <v>274</v>
      </c>
      <c r="D61" s="27" t="s">
        <v>19</v>
      </c>
      <c r="E61" s="514">
        <v>4.7</v>
      </c>
      <c r="F61" s="13"/>
      <c r="G61" s="13"/>
      <c r="H61" s="13"/>
      <c r="I61" s="513"/>
      <c r="J61" s="513"/>
      <c r="K61" s="514">
        <f t="shared" si="2"/>
        <v>4.7</v>
      </c>
      <c r="L61" s="25"/>
      <c r="M61" s="13"/>
    </row>
    <row r="62" spans="1:16" ht="16.5" customHeight="1" x14ac:dyDescent="0.3">
      <c r="B62" s="12"/>
      <c r="C62" s="61" t="s">
        <v>275</v>
      </c>
      <c r="D62" s="27" t="s">
        <v>19</v>
      </c>
      <c r="E62" s="514">
        <v>4.05</v>
      </c>
      <c r="F62" s="13"/>
      <c r="G62" s="13"/>
      <c r="H62" s="13"/>
      <c r="I62" s="513"/>
      <c r="J62" s="513"/>
      <c r="K62" s="514">
        <f t="shared" si="2"/>
        <v>4.05</v>
      </c>
      <c r="L62" s="25"/>
      <c r="M62" s="13"/>
    </row>
    <row r="63" spans="1:16" ht="16.5" customHeight="1" x14ac:dyDescent="0.3">
      <c r="B63" s="12"/>
      <c r="C63" s="61" t="s">
        <v>276</v>
      </c>
      <c r="D63" s="27" t="s">
        <v>19</v>
      </c>
      <c r="E63" s="514">
        <v>5.4</v>
      </c>
      <c r="F63" s="13"/>
      <c r="G63" s="13"/>
      <c r="H63" s="13"/>
      <c r="I63" s="513"/>
      <c r="J63" s="513"/>
      <c r="K63" s="514">
        <f t="shared" si="2"/>
        <v>5.4</v>
      </c>
      <c r="L63" s="25"/>
      <c r="M63" s="13"/>
    </row>
    <row r="64" spans="1:16" ht="16.5" customHeight="1" x14ac:dyDescent="0.3">
      <c r="B64" s="12"/>
      <c r="C64" s="61" t="s">
        <v>277</v>
      </c>
      <c r="D64" s="27" t="s">
        <v>19</v>
      </c>
      <c r="E64" s="514">
        <v>5.4</v>
      </c>
      <c r="F64" s="13"/>
      <c r="G64" s="13"/>
      <c r="H64" s="13"/>
      <c r="I64" s="513"/>
      <c r="J64" s="513"/>
      <c r="K64" s="514">
        <f t="shared" si="2"/>
        <v>5.4</v>
      </c>
      <c r="L64" s="25"/>
      <c r="M64" s="13"/>
    </row>
    <row r="65" spans="2:13" ht="16.5" customHeight="1" x14ac:dyDescent="0.3">
      <c r="B65" s="12"/>
      <c r="C65" s="61" t="s">
        <v>278</v>
      </c>
      <c r="D65" s="27" t="s">
        <v>19</v>
      </c>
      <c r="E65" s="514">
        <v>5.4</v>
      </c>
      <c r="F65" s="13"/>
      <c r="G65" s="13"/>
      <c r="H65" s="13"/>
      <c r="I65" s="513"/>
      <c r="J65" s="513"/>
      <c r="K65" s="514">
        <f t="shared" si="2"/>
        <v>5.4</v>
      </c>
      <c r="L65" s="25"/>
      <c r="M65" s="13"/>
    </row>
    <row r="66" spans="2:13" ht="16.5" customHeight="1" x14ac:dyDescent="0.3">
      <c r="B66" s="12"/>
      <c r="C66" s="61" t="s">
        <v>279</v>
      </c>
      <c r="D66" s="27" t="s">
        <v>19</v>
      </c>
      <c r="E66" s="514">
        <f>E37</f>
        <v>4.05</v>
      </c>
      <c r="F66" s="13"/>
      <c r="G66" s="13"/>
      <c r="H66" s="13"/>
      <c r="I66" s="513"/>
      <c r="J66" s="513"/>
      <c r="K66" s="514">
        <f t="shared" si="2"/>
        <v>4.05</v>
      </c>
      <c r="L66" s="25"/>
      <c r="M66" s="13"/>
    </row>
    <row r="67" spans="2:13" ht="16.5" customHeight="1" x14ac:dyDescent="0.3">
      <c r="B67" s="12"/>
      <c r="C67" s="61" t="s">
        <v>280</v>
      </c>
      <c r="D67" s="27" t="s">
        <v>19</v>
      </c>
      <c r="E67" s="514">
        <f>E38</f>
        <v>1.4</v>
      </c>
      <c r="F67" s="13"/>
      <c r="G67" s="13"/>
      <c r="H67" s="13"/>
      <c r="I67" s="513"/>
      <c r="J67" s="513"/>
      <c r="K67" s="514">
        <f t="shared" si="2"/>
        <v>1.4</v>
      </c>
      <c r="L67" s="25"/>
      <c r="M67" s="13"/>
    </row>
    <row r="68" spans="2:13" x14ac:dyDescent="0.3">
      <c r="B68" s="43" t="str">
        <f>'PRESUPUESTO OFICIAL (Entidad)'!B24</f>
        <v>A3,5</v>
      </c>
      <c r="C68" s="48" t="str">
        <f>'PRESUPUESTO OFICIAL (Entidad)'!C24</f>
        <v>Cimentación tipo solado de limpieza concreto 1700 psi e=0,05 m.</v>
      </c>
      <c r="D68" s="43" t="str">
        <f>'PRESUPUESTO OFICIAL (Entidad)'!D24</f>
        <v>M2</v>
      </c>
      <c r="E68" s="44"/>
      <c r="F68" s="44"/>
      <c r="G68" s="44"/>
      <c r="H68" s="44"/>
      <c r="I68" s="45"/>
      <c r="J68" s="45"/>
      <c r="K68" s="55">
        <f>ROUND(SUM(K69:K70),2)</f>
        <v>3.45</v>
      </c>
      <c r="L68" s="46"/>
      <c r="M68" s="44"/>
    </row>
    <row r="69" spans="2:13" x14ac:dyDescent="0.3">
      <c r="B69" s="27"/>
      <c r="C69" s="522" t="s">
        <v>290</v>
      </c>
      <c r="D69" s="27" t="s">
        <v>8</v>
      </c>
      <c r="E69" s="514">
        <v>0.7</v>
      </c>
      <c r="F69" s="514">
        <v>0.7</v>
      </c>
      <c r="G69" s="514"/>
      <c r="H69" s="514">
        <v>5</v>
      </c>
      <c r="I69" s="513"/>
      <c r="J69" s="513"/>
      <c r="K69" s="514">
        <f>E69*F69*H69</f>
        <v>2.4499999999999997</v>
      </c>
      <c r="L69" s="516"/>
      <c r="M69" s="514"/>
    </row>
    <row r="70" spans="2:13" x14ac:dyDescent="0.3">
      <c r="B70" s="27"/>
      <c r="C70" s="522" t="s">
        <v>291</v>
      </c>
      <c r="D70" s="27" t="s">
        <v>8</v>
      </c>
      <c r="E70" s="514">
        <v>1</v>
      </c>
      <c r="F70" s="514">
        <v>1</v>
      </c>
      <c r="G70" s="514"/>
      <c r="H70" s="514"/>
      <c r="I70" s="513"/>
      <c r="J70" s="513"/>
      <c r="K70" s="514">
        <f>E70*F70</f>
        <v>1</v>
      </c>
      <c r="L70" s="516"/>
      <c r="M70" s="514"/>
    </row>
    <row r="71" spans="2:13" x14ac:dyDescent="0.3">
      <c r="B71" s="43" t="str">
        <f>'PRESUPUESTO OFICIAL (Entidad)'!B25</f>
        <v>A3,6</v>
      </c>
      <c r="C71" s="48" t="str">
        <f>'PRESUPUESTO OFICIAL (Entidad)'!C25</f>
        <v>Acero de refuerzo 600000 PSI, para zapata (incluye amarre y figurado).</v>
      </c>
      <c r="D71" s="43" t="str">
        <f>'PRESUPUESTO OFICIAL (Entidad)'!D25</f>
        <v>KG</v>
      </c>
      <c r="E71" s="44"/>
      <c r="F71" s="44"/>
      <c r="G71" s="44"/>
      <c r="H71" s="44"/>
      <c r="I71" s="45"/>
      <c r="J71" s="45"/>
      <c r="K71" s="55">
        <f>ROUND(SUM(K72:K73),2)</f>
        <v>86.74</v>
      </c>
      <c r="L71" s="46"/>
      <c r="M71" s="44"/>
    </row>
    <row r="72" spans="2:13" x14ac:dyDescent="0.3">
      <c r="B72" s="12"/>
      <c r="C72" s="522" t="s">
        <v>290</v>
      </c>
      <c r="D72" s="27" t="s">
        <v>111</v>
      </c>
      <c r="E72" s="514">
        <v>1</v>
      </c>
      <c r="F72" s="514"/>
      <c r="G72" s="514"/>
      <c r="H72" s="514">
        <v>5</v>
      </c>
      <c r="I72" s="27">
        <v>5</v>
      </c>
      <c r="J72" s="27"/>
      <c r="K72" s="514">
        <f>E72*H72*L72*1.56</f>
        <v>62.400000000000006</v>
      </c>
      <c r="L72" s="516">
        <v>8</v>
      </c>
      <c r="M72" s="13"/>
    </row>
    <row r="73" spans="2:13" x14ac:dyDescent="0.3">
      <c r="B73" s="12"/>
      <c r="C73" s="522" t="s">
        <v>291</v>
      </c>
      <c r="D73" s="27" t="s">
        <v>111</v>
      </c>
      <c r="E73" s="514">
        <v>1.3</v>
      </c>
      <c r="F73" s="514"/>
      <c r="G73" s="514"/>
      <c r="H73" s="514">
        <v>1</v>
      </c>
      <c r="I73" s="27">
        <v>5</v>
      </c>
      <c r="J73" s="27"/>
      <c r="K73" s="514">
        <f>E73*H73*L73*1.56</f>
        <v>24.336000000000002</v>
      </c>
      <c r="L73" s="516">
        <v>12</v>
      </c>
      <c r="M73" s="13"/>
    </row>
    <row r="74" spans="2:13" x14ac:dyDescent="0.3">
      <c r="B74" s="39" t="str">
        <f>'PRESUPUESTO OFICIAL (Entidad)'!B26</f>
        <v>A4</v>
      </c>
      <c r="C74" s="47" t="str">
        <f>'PRESUPUESTO OFICIAL (Entidad)'!C26</f>
        <v>MAMPOSTERIA</v>
      </c>
      <c r="D74" s="39"/>
      <c r="E74" s="40"/>
      <c r="F74" s="40"/>
      <c r="G74" s="40"/>
      <c r="H74" s="40"/>
      <c r="I74" s="41"/>
      <c r="J74" s="41"/>
      <c r="K74" s="40"/>
      <c r="L74" s="42"/>
      <c r="M74" s="40"/>
    </row>
    <row r="75" spans="2:13" ht="31.2" x14ac:dyDescent="0.3">
      <c r="B75" s="43" t="str">
        <f>'PRESUPUESTO OFICIAL (Entidad)'!B27</f>
        <v>A4,1</v>
      </c>
      <c r="C75" s="48" t="str">
        <f>'PRESUPUESTO OFICIAL (Entidad)'!C27</f>
        <v>Construccion de Muro en Bloque de arcilla #5 (12x20x30cm) Incluye mortero de pega y bloque.</v>
      </c>
      <c r="D75" s="43" t="str">
        <f>'PRESUPUESTO OFICIAL (Entidad)'!D27</f>
        <v>M2</v>
      </c>
      <c r="E75" s="44"/>
      <c r="F75" s="44"/>
      <c r="G75" s="44"/>
      <c r="H75" s="44"/>
      <c r="I75" s="45"/>
      <c r="J75" s="45"/>
      <c r="K75" s="55">
        <f>ROUND(SUM(K76:K88),2)</f>
        <v>82.89</v>
      </c>
      <c r="L75" s="46"/>
      <c r="M75" s="44"/>
    </row>
    <row r="76" spans="2:13" x14ac:dyDescent="0.3">
      <c r="B76" s="12"/>
      <c r="C76" s="61" t="s">
        <v>292</v>
      </c>
      <c r="D76" s="27" t="s">
        <v>8</v>
      </c>
      <c r="E76" s="514">
        <v>4.7</v>
      </c>
      <c r="F76" s="514"/>
      <c r="G76" s="514">
        <v>2.5499999999999998</v>
      </c>
      <c r="H76" s="514"/>
      <c r="I76" s="27">
        <f>4.7*1.3</f>
        <v>6.11</v>
      </c>
      <c r="J76" s="27"/>
      <c r="K76" s="514">
        <f>E76*G76-I76</f>
        <v>5.8749999999999991</v>
      </c>
      <c r="L76" s="516"/>
      <c r="M76" s="514"/>
    </row>
    <row r="77" spans="2:13" x14ac:dyDescent="0.3">
      <c r="B77" s="12"/>
      <c r="C77" s="61" t="s">
        <v>293</v>
      </c>
      <c r="D77" s="27" t="s">
        <v>8</v>
      </c>
      <c r="E77" s="514">
        <f>0.55+1+0.3</f>
        <v>1.85</v>
      </c>
      <c r="F77" s="514"/>
      <c r="G77" s="514">
        <v>2.5499999999999998</v>
      </c>
      <c r="H77" s="514"/>
      <c r="I77" s="27"/>
      <c r="J77" s="27"/>
      <c r="K77" s="514">
        <f t="shared" ref="K77:K86" si="3">E77*G77-I77</f>
        <v>4.7175000000000002</v>
      </c>
      <c r="L77" s="516"/>
      <c r="M77" s="514"/>
    </row>
    <row r="78" spans="2:13" x14ac:dyDescent="0.3">
      <c r="B78" s="12"/>
      <c r="C78" s="61" t="s">
        <v>294</v>
      </c>
      <c r="D78" s="27" t="s">
        <v>8</v>
      </c>
      <c r="E78" s="514">
        <v>2.0499999999999998</v>
      </c>
      <c r="F78" s="514"/>
      <c r="G78" s="514">
        <v>2.5499999999999998</v>
      </c>
      <c r="H78" s="514"/>
      <c r="I78" s="27">
        <f>1*1.2</f>
        <v>1.2</v>
      </c>
      <c r="J78" s="27"/>
      <c r="K78" s="514">
        <f>E78*G78-I78</f>
        <v>4.027499999999999</v>
      </c>
      <c r="L78" s="516"/>
      <c r="M78" s="514"/>
    </row>
    <row r="79" spans="2:13" x14ac:dyDescent="0.3">
      <c r="B79" s="12"/>
      <c r="C79" s="61" t="s">
        <v>327</v>
      </c>
      <c r="D79" s="27" t="s">
        <v>8</v>
      </c>
      <c r="E79" s="514">
        <v>5.4</v>
      </c>
      <c r="F79" s="514"/>
      <c r="G79" s="514">
        <v>2.5499999999999998</v>
      </c>
      <c r="H79" s="514"/>
      <c r="I79" s="27">
        <f>((0.2*2.55)*1)+(2.44*1)</f>
        <v>2.95</v>
      </c>
      <c r="J79" s="27"/>
      <c r="K79" s="514">
        <f>(E79*G79)-I79</f>
        <v>10.82</v>
      </c>
      <c r="L79" s="516"/>
      <c r="M79" s="514"/>
    </row>
    <row r="80" spans="2:13" x14ac:dyDescent="0.3">
      <c r="B80" s="12"/>
      <c r="C80" s="61" t="s">
        <v>295</v>
      </c>
      <c r="D80" s="27" t="s">
        <v>8</v>
      </c>
      <c r="E80" s="514">
        <v>1.55</v>
      </c>
      <c r="F80" s="514"/>
      <c r="G80" s="514">
        <v>2.5499999999999998</v>
      </c>
      <c r="H80" s="514"/>
      <c r="I80" s="27"/>
      <c r="J80" s="27"/>
      <c r="K80" s="514">
        <f t="shared" si="3"/>
        <v>3.9524999999999997</v>
      </c>
      <c r="L80" s="516"/>
      <c r="M80" s="514"/>
    </row>
    <row r="81" spans="2:13" x14ac:dyDescent="0.3">
      <c r="B81" s="12"/>
      <c r="C81" s="61" t="s">
        <v>1053</v>
      </c>
      <c r="D81" s="27" t="s">
        <v>8</v>
      </c>
      <c r="E81" s="514">
        <f>3+0.3</f>
        <v>3.3</v>
      </c>
      <c r="F81" s="514"/>
      <c r="G81" s="514">
        <v>0.9</v>
      </c>
      <c r="H81" s="514"/>
      <c r="I81" s="27"/>
      <c r="J81" s="27"/>
      <c r="K81" s="514">
        <f>E81*G81-I81</f>
        <v>2.9699999999999998</v>
      </c>
      <c r="L81" s="516"/>
      <c r="M81" s="514"/>
    </row>
    <row r="82" spans="2:13" x14ac:dyDescent="0.3">
      <c r="B82" s="12"/>
      <c r="C82" s="61" t="s">
        <v>1049</v>
      </c>
      <c r="D82" s="27" t="s">
        <v>8</v>
      </c>
      <c r="E82" s="514">
        <v>6.02</v>
      </c>
      <c r="F82" s="514"/>
      <c r="G82" s="514">
        <v>2.5499999999999998</v>
      </c>
      <c r="H82" s="514"/>
      <c r="I82" s="514">
        <f>(1.7*1)+(1.7*1)+(0.2*2.55)</f>
        <v>3.91</v>
      </c>
      <c r="J82" s="27"/>
      <c r="K82" s="514">
        <f t="shared" si="3"/>
        <v>11.440999999999997</v>
      </c>
      <c r="L82" s="516"/>
      <c r="M82" s="514"/>
    </row>
    <row r="83" spans="2:13" x14ac:dyDescent="0.3">
      <c r="B83" s="12"/>
      <c r="C83" s="61" t="s">
        <v>297</v>
      </c>
      <c r="D83" s="27" t="s">
        <v>8</v>
      </c>
      <c r="E83" s="514">
        <v>4.7</v>
      </c>
      <c r="F83" s="514"/>
      <c r="G83" s="514">
        <v>2.5499999999999998</v>
      </c>
      <c r="H83" s="514"/>
      <c r="I83" s="27"/>
      <c r="J83" s="27"/>
      <c r="K83" s="514">
        <f t="shared" si="3"/>
        <v>11.984999999999999</v>
      </c>
      <c r="L83" s="516"/>
      <c r="M83" s="514"/>
    </row>
    <row r="84" spans="2:13" x14ac:dyDescent="0.3">
      <c r="B84" s="12"/>
      <c r="C84" s="61" t="s">
        <v>298</v>
      </c>
      <c r="D84" s="27" t="s">
        <v>8</v>
      </c>
      <c r="E84" s="514">
        <v>4.05</v>
      </c>
      <c r="F84" s="514"/>
      <c r="G84" s="514">
        <v>2.5499999999999998</v>
      </c>
      <c r="H84" s="514"/>
      <c r="I84" s="27"/>
      <c r="J84" s="27"/>
      <c r="K84" s="514">
        <f t="shared" si="3"/>
        <v>10.327499999999999</v>
      </c>
      <c r="L84" s="516"/>
      <c r="M84" s="514"/>
    </row>
    <row r="85" spans="2:13" x14ac:dyDescent="0.3">
      <c r="B85" s="12"/>
      <c r="C85" s="61" t="s">
        <v>1050</v>
      </c>
      <c r="D85" s="27" t="s">
        <v>8</v>
      </c>
      <c r="E85" s="514">
        <v>2.6</v>
      </c>
      <c r="F85" s="514"/>
      <c r="G85" s="514">
        <v>0.8</v>
      </c>
      <c r="H85" s="514"/>
      <c r="I85" s="27"/>
      <c r="J85" s="27"/>
      <c r="K85" s="514">
        <f t="shared" si="3"/>
        <v>2.08</v>
      </c>
      <c r="L85" s="516"/>
      <c r="M85" s="514"/>
    </row>
    <row r="86" spans="2:13" x14ac:dyDescent="0.3">
      <c r="B86" s="12"/>
      <c r="C86" s="61" t="s">
        <v>1051</v>
      </c>
      <c r="D86" s="27" t="s">
        <v>8</v>
      </c>
      <c r="E86" s="514">
        <v>2.6</v>
      </c>
      <c r="F86" s="514"/>
      <c r="G86" s="514">
        <v>0.8</v>
      </c>
      <c r="H86" s="514"/>
      <c r="I86" s="27"/>
      <c r="J86" s="27"/>
      <c r="K86" s="514">
        <f t="shared" si="3"/>
        <v>2.08</v>
      </c>
      <c r="L86" s="516"/>
      <c r="M86" s="514"/>
    </row>
    <row r="87" spans="2:13" x14ac:dyDescent="0.3">
      <c r="B87" s="12"/>
      <c r="C87" s="61" t="s">
        <v>1052</v>
      </c>
      <c r="D87" s="27" t="s">
        <v>8</v>
      </c>
      <c r="E87" s="514">
        <f>SUM(E85:E86)</f>
        <v>5.2</v>
      </c>
      <c r="F87" s="514"/>
      <c r="G87" s="514">
        <v>0.63</v>
      </c>
      <c r="H87" s="514"/>
      <c r="I87" s="27"/>
      <c r="J87" s="27"/>
      <c r="K87" s="514">
        <f t="shared" ref="K87" si="4">E87*G87-I87</f>
        <v>3.2760000000000002</v>
      </c>
      <c r="L87" s="516"/>
      <c r="M87" s="514"/>
    </row>
    <row r="88" spans="2:13" x14ac:dyDescent="0.3">
      <c r="B88" s="12"/>
      <c r="C88" s="61" t="s">
        <v>1058</v>
      </c>
      <c r="D88" s="27" t="s">
        <v>8</v>
      </c>
      <c r="E88" s="514">
        <f>2.42+2.25</f>
        <v>4.67</v>
      </c>
      <c r="F88" s="514"/>
      <c r="G88" s="514"/>
      <c r="H88" s="514"/>
      <c r="I88" s="27">
        <v>2</v>
      </c>
      <c r="J88" s="27"/>
      <c r="K88" s="514">
        <f>E88*I88</f>
        <v>9.34</v>
      </c>
      <c r="L88" s="516"/>
      <c r="M88" s="514"/>
    </row>
    <row r="89" spans="2:13" ht="31.2" x14ac:dyDescent="0.3">
      <c r="B89" s="43" t="str">
        <f>'PRESUPUESTO OFICIAL (Entidad)'!B28</f>
        <v>A4,2</v>
      </c>
      <c r="C89" s="48" t="str">
        <f>'PRESUPUESTO OFICIAL (Entidad)'!C28</f>
        <v>Construccion de Mesón en concreto 3000 psi, a=0,60, e=0.10 enchapado, inc. Acero (1Ø1/2"c.015 ambos sentidos).</v>
      </c>
      <c r="D89" s="43" t="str">
        <f>'PRESUPUESTO OFICIAL (Entidad)'!D28</f>
        <v>ML</v>
      </c>
      <c r="E89" s="44"/>
      <c r="F89" s="44"/>
      <c r="G89" s="44"/>
      <c r="H89" s="44"/>
      <c r="I89" s="45"/>
      <c r="J89" s="45"/>
      <c r="K89" s="55">
        <f>ROUND(SUM(K90:K91),2)</f>
        <v>7.85</v>
      </c>
      <c r="L89" s="46"/>
      <c r="M89" s="44"/>
    </row>
    <row r="90" spans="2:13" x14ac:dyDescent="0.3">
      <c r="B90" s="27"/>
      <c r="C90" s="61" t="s">
        <v>300</v>
      </c>
      <c r="D90" s="27" t="s">
        <v>19</v>
      </c>
      <c r="E90" s="514">
        <f>3.25+1.6</f>
        <v>4.8499999999999996</v>
      </c>
      <c r="F90" s="514"/>
      <c r="G90" s="514"/>
      <c r="H90" s="514"/>
      <c r="I90" s="513"/>
      <c r="J90" s="513"/>
      <c r="K90" s="514">
        <f>E90</f>
        <v>4.8499999999999996</v>
      </c>
      <c r="L90" s="516"/>
      <c r="M90" s="514"/>
    </row>
    <row r="91" spans="2:13" x14ac:dyDescent="0.3">
      <c r="B91" s="27"/>
      <c r="C91" s="61" t="s">
        <v>301</v>
      </c>
      <c r="D91" s="27" t="s">
        <v>19</v>
      </c>
      <c r="E91" s="514">
        <v>3</v>
      </c>
      <c r="F91" s="514"/>
      <c r="G91" s="514"/>
      <c r="H91" s="514"/>
      <c r="I91" s="513"/>
      <c r="J91" s="513"/>
      <c r="K91" s="514">
        <f>E91</f>
        <v>3</v>
      </c>
      <c r="L91" s="516"/>
      <c r="M91" s="514"/>
    </row>
    <row r="92" spans="2:13" ht="31.2" x14ac:dyDescent="0.3">
      <c r="B92" s="43" t="str">
        <f>'PRESUPUESTO OFICIAL (Entidad)'!B29</f>
        <v>A4,3</v>
      </c>
      <c r="C92" s="48" t="str">
        <f>'PRESUPUESTO OFICIAL (Entidad)'!C29</f>
        <v>Construccion de Alfajía en Concreto 3000 PSI, E= 0.15X0.25 MTS – Incluye: Acero de refuerzo de 60000 PSI (2Ø3/8" refuerzo y E=Ø1/4" c. 0,35 m).</v>
      </c>
      <c r="D92" s="43" t="str">
        <f>'PRESUPUESTO OFICIAL (Entidad)'!D29</f>
        <v>ML</v>
      </c>
      <c r="E92" s="51"/>
      <c r="F92" s="51"/>
      <c r="G92" s="51"/>
      <c r="H92" s="51"/>
      <c r="I92" s="45"/>
      <c r="J92" s="45"/>
      <c r="K92" s="55">
        <f>ROUND(SUM(K93:K94),2)</f>
        <v>5.9</v>
      </c>
      <c r="L92" s="60"/>
      <c r="M92" s="51"/>
    </row>
    <row r="93" spans="2:13" x14ac:dyDescent="0.3">
      <c r="B93" s="27"/>
      <c r="C93" s="61" t="s">
        <v>352</v>
      </c>
      <c r="D93" s="27" t="s">
        <v>19</v>
      </c>
      <c r="E93" s="514">
        <v>4.7</v>
      </c>
      <c r="F93" s="514"/>
      <c r="G93" s="514"/>
      <c r="H93" s="514"/>
      <c r="I93" s="513"/>
      <c r="J93" s="513"/>
      <c r="K93" s="514">
        <f>E93</f>
        <v>4.7</v>
      </c>
      <c r="L93" s="516"/>
      <c r="M93" s="514"/>
    </row>
    <row r="94" spans="2:13" x14ac:dyDescent="0.3">
      <c r="B94" s="27"/>
      <c r="C94" s="61" t="s">
        <v>353</v>
      </c>
      <c r="D94" s="27" t="s">
        <v>19</v>
      </c>
      <c r="E94" s="514">
        <v>1.2</v>
      </c>
      <c r="F94" s="514"/>
      <c r="G94" s="514"/>
      <c r="H94" s="514"/>
      <c r="I94" s="513"/>
      <c r="J94" s="513"/>
      <c r="K94" s="514">
        <f>E94</f>
        <v>1.2</v>
      </c>
      <c r="L94" s="516"/>
      <c r="M94" s="514"/>
    </row>
    <row r="95" spans="2:13" x14ac:dyDescent="0.3">
      <c r="B95" s="39" t="str">
        <f>'PRESUPUESTO OFICIAL (Entidad)'!B30</f>
        <v>A5</v>
      </c>
      <c r="C95" s="47" t="str">
        <f>'PRESUPUESTO OFICIAL (Entidad)'!C30</f>
        <v>ESTRUCTURA</v>
      </c>
      <c r="D95" s="39"/>
      <c r="E95" s="40"/>
      <c r="F95" s="40"/>
      <c r="G95" s="40"/>
      <c r="H95" s="40"/>
      <c r="I95" s="41"/>
      <c r="J95" s="41"/>
      <c r="K95" s="40"/>
      <c r="L95" s="42"/>
      <c r="M95" s="40"/>
    </row>
    <row r="96" spans="2:13" ht="31.2" x14ac:dyDescent="0.3">
      <c r="B96" s="43" t="str">
        <f>'PRESUPUESTO OFICIAL (Entidad)'!B31</f>
        <v>A5,1</v>
      </c>
      <c r="C96" s="48" t="str">
        <f>'PRESUPUESTO OFICIAL (Entidad)'!C31</f>
        <v>Viga aérea en concreto de 3000 PSI. (0,30*0,30mts).  Incluye acero de refuerzo   fy= 60000 PSI. (4Ø5/8" refuerzo y E=Ø3/8" c./d. 0,10 mts).</v>
      </c>
      <c r="D96" s="43" t="str">
        <f>'PRESUPUESTO OFICIAL (Entidad)'!D31</f>
        <v>ML</v>
      </c>
      <c r="E96" s="44"/>
      <c r="F96" s="44"/>
      <c r="G96" s="44"/>
      <c r="H96" s="44"/>
      <c r="I96" s="45"/>
      <c r="J96" s="45"/>
      <c r="K96" s="55">
        <f>ROUND(SUM(K97:K103),2)</f>
        <v>33.299999999999997</v>
      </c>
      <c r="L96" s="46"/>
      <c r="M96" s="44"/>
    </row>
    <row r="97" spans="2:13" x14ac:dyDescent="0.3">
      <c r="B97" s="12"/>
      <c r="C97" s="61" t="s">
        <v>1054</v>
      </c>
      <c r="D97" s="27" t="s">
        <v>19</v>
      </c>
      <c r="E97" s="514">
        <v>4.7</v>
      </c>
      <c r="F97" s="514"/>
      <c r="G97" s="514"/>
      <c r="H97" s="514"/>
      <c r="I97" s="513"/>
      <c r="J97" s="513"/>
      <c r="K97" s="514">
        <f>E97</f>
        <v>4.7</v>
      </c>
      <c r="L97" s="25"/>
      <c r="M97" s="13"/>
    </row>
    <row r="98" spans="2:13" x14ac:dyDescent="0.3">
      <c r="B98" s="12"/>
      <c r="C98" s="61" t="s">
        <v>1055</v>
      </c>
      <c r="D98" s="27" t="s">
        <v>19</v>
      </c>
      <c r="E98" s="514">
        <v>4.05</v>
      </c>
      <c r="F98" s="514"/>
      <c r="G98" s="514"/>
      <c r="H98" s="514"/>
      <c r="I98" s="513"/>
      <c r="J98" s="513"/>
      <c r="K98" s="514">
        <f t="shared" ref="K98:K100" si="5">E98</f>
        <v>4.05</v>
      </c>
      <c r="L98" s="25"/>
      <c r="M98" s="13"/>
    </row>
    <row r="99" spans="2:13" x14ac:dyDescent="0.3">
      <c r="B99" s="12"/>
      <c r="C99" s="61" t="s">
        <v>302</v>
      </c>
      <c r="D99" s="27" t="s">
        <v>19</v>
      </c>
      <c r="E99" s="514">
        <v>4.7</v>
      </c>
      <c r="F99" s="514"/>
      <c r="G99" s="514"/>
      <c r="H99" s="514"/>
      <c r="I99" s="513"/>
      <c r="J99" s="513"/>
      <c r="K99" s="514">
        <f t="shared" si="5"/>
        <v>4.7</v>
      </c>
      <c r="L99" s="25"/>
      <c r="M99" s="13"/>
    </row>
    <row r="100" spans="2:13" x14ac:dyDescent="0.3">
      <c r="B100" s="12"/>
      <c r="C100" s="61" t="s">
        <v>1056</v>
      </c>
      <c r="D100" s="27" t="s">
        <v>19</v>
      </c>
      <c r="E100" s="514">
        <v>4.05</v>
      </c>
      <c r="F100" s="514"/>
      <c r="G100" s="514"/>
      <c r="H100" s="514"/>
      <c r="I100" s="513"/>
      <c r="J100" s="513"/>
      <c r="K100" s="514">
        <f t="shared" si="5"/>
        <v>4.05</v>
      </c>
      <c r="L100" s="25"/>
      <c r="M100" s="13"/>
    </row>
    <row r="101" spans="2:13" x14ac:dyDescent="0.3">
      <c r="B101" s="12"/>
      <c r="C101" s="61" t="s">
        <v>303</v>
      </c>
      <c r="D101" s="27" t="s">
        <v>19</v>
      </c>
      <c r="E101" s="514">
        <v>5.2</v>
      </c>
      <c r="F101" s="514"/>
      <c r="G101" s="514"/>
      <c r="H101" s="514"/>
      <c r="I101" s="513"/>
      <c r="J101" s="513"/>
      <c r="K101" s="514">
        <f t="shared" ref="K101:K103" si="6">E101</f>
        <v>5.2</v>
      </c>
      <c r="L101" s="25"/>
      <c r="M101" s="13"/>
    </row>
    <row r="102" spans="2:13" x14ac:dyDescent="0.3">
      <c r="B102" s="12"/>
      <c r="C102" s="61" t="s">
        <v>304</v>
      </c>
      <c r="D102" s="27" t="s">
        <v>19</v>
      </c>
      <c r="E102" s="514">
        <v>5.4</v>
      </c>
      <c r="F102" s="514"/>
      <c r="G102" s="514"/>
      <c r="H102" s="514"/>
      <c r="I102" s="513"/>
      <c r="J102" s="513"/>
      <c r="K102" s="514">
        <f t="shared" si="6"/>
        <v>5.4</v>
      </c>
      <c r="L102" s="25"/>
      <c r="M102" s="13"/>
    </row>
    <row r="103" spans="2:13" x14ac:dyDescent="0.3">
      <c r="B103" s="12"/>
      <c r="C103" s="61" t="s">
        <v>305</v>
      </c>
      <c r="D103" s="27" t="s">
        <v>19</v>
      </c>
      <c r="E103" s="514">
        <v>5.2</v>
      </c>
      <c r="F103" s="514"/>
      <c r="G103" s="514"/>
      <c r="H103" s="514"/>
      <c r="I103" s="513"/>
      <c r="J103" s="513"/>
      <c r="K103" s="514">
        <f t="shared" si="6"/>
        <v>5.2</v>
      </c>
      <c r="L103" s="25"/>
      <c r="M103" s="13"/>
    </row>
    <row r="104" spans="2:13" ht="31.2" x14ac:dyDescent="0.3">
      <c r="B104" s="43" t="str">
        <f>'PRESUPUESTO OFICIAL (Entidad)'!B32</f>
        <v>A5,2</v>
      </c>
      <c r="C104" s="48" t="str">
        <f>'PRESUPUESTO OFICIAL (Entidad)'!C32</f>
        <v>Columna en concreto de 3000 PSI (0.30x0.30mts).  Incluye acero de refuerzo de 60000 PSI (6Ø5/8",  refuerzo y E=Ø3/8" c./d. 0,10 mts Y 0,15 mts).</v>
      </c>
      <c r="D104" s="43" t="str">
        <f>'PRESUPUESTO OFICIAL (Entidad)'!D32</f>
        <v>ML</v>
      </c>
      <c r="E104" s="44"/>
      <c r="F104" s="44"/>
      <c r="G104" s="44"/>
      <c r="H104" s="44"/>
      <c r="I104" s="45"/>
      <c r="J104" s="45"/>
      <c r="K104" s="55">
        <f>ROUND(SUM(K105:K110),2)</f>
        <v>22.56</v>
      </c>
      <c r="L104" s="46"/>
      <c r="M104" s="44"/>
    </row>
    <row r="105" spans="2:13" x14ac:dyDescent="0.3">
      <c r="B105" s="12"/>
      <c r="C105" s="61" t="s">
        <v>306</v>
      </c>
      <c r="D105" s="27" t="s">
        <v>19</v>
      </c>
      <c r="E105" s="514">
        <f>2.55+0.3+0.3</f>
        <v>3.1499999999999995</v>
      </c>
      <c r="F105" s="13"/>
      <c r="G105" s="13"/>
      <c r="H105" s="13"/>
      <c r="I105" s="513"/>
      <c r="J105" s="513"/>
      <c r="K105" s="514">
        <f>E105</f>
        <v>3.1499999999999995</v>
      </c>
      <c r="L105" s="25"/>
      <c r="M105" s="13"/>
    </row>
    <row r="106" spans="2:13" x14ac:dyDescent="0.3">
      <c r="B106" s="12"/>
      <c r="C106" s="61" t="s">
        <v>307</v>
      </c>
      <c r="D106" s="27" t="s">
        <v>19</v>
      </c>
      <c r="E106" s="514">
        <f>2.55+0.3+0.3+0.83</f>
        <v>3.9799999999999995</v>
      </c>
      <c r="F106" s="13"/>
      <c r="G106" s="13"/>
      <c r="H106" s="13"/>
      <c r="I106" s="513"/>
      <c r="J106" s="513"/>
      <c r="K106" s="514">
        <f t="shared" ref="K106:K110" si="7">E106</f>
        <v>3.9799999999999995</v>
      </c>
      <c r="L106" s="25"/>
      <c r="M106" s="13"/>
    </row>
    <row r="107" spans="2:13" x14ac:dyDescent="0.3">
      <c r="B107" s="12"/>
      <c r="C107" s="61" t="s">
        <v>308</v>
      </c>
      <c r="D107" s="27" t="s">
        <v>19</v>
      </c>
      <c r="E107" s="514">
        <f>2.55+0.3+0.3+1</f>
        <v>4.1499999999999995</v>
      </c>
      <c r="F107" s="13"/>
      <c r="G107" s="13"/>
      <c r="H107" s="13"/>
      <c r="I107" s="513"/>
      <c r="J107" s="513"/>
      <c r="K107" s="514">
        <f t="shared" si="7"/>
        <v>4.1499999999999995</v>
      </c>
      <c r="L107" s="25"/>
      <c r="M107" s="13"/>
    </row>
    <row r="108" spans="2:13" x14ac:dyDescent="0.3">
      <c r="B108" s="12"/>
      <c r="C108" s="61" t="s">
        <v>309</v>
      </c>
      <c r="D108" s="27" t="s">
        <v>19</v>
      </c>
      <c r="E108" s="514">
        <v>3.15</v>
      </c>
      <c r="F108" s="13"/>
      <c r="G108" s="13"/>
      <c r="H108" s="13"/>
      <c r="I108" s="513"/>
      <c r="J108" s="513"/>
      <c r="K108" s="514">
        <f t="shared" si="7"/>
        <v>3.15</v>
      </c>
      <c r="L108" s="25"/>
      <c r="M108" s="13"/>
    </row>
    <row r="109" spans="2:13" x14ac:dyDescent="0.3">
      <c r="B109" s="12"/>
      <c r="C109" s="61" t="s">
        <v>310</v>
      </c>
      <c r="D109" s="27" t="s">
        <v>19</v>
      </c>
      <c r="E109" s="514">
        <f>2.55+0.3+0.3+0.83</f>
        <v>3.9799999999999995</v>
      </c>
      <c r="F109" s="13"/>
      <c r="G109" s="13"/>
      <c r="H109" s="13"/>
      <c r="I109" s="513"/>
      <c r="J109" s="513"/>
      <c r="K109" s="514">
        <f t="shared" si="7"/>
        <v>3.9799999999999995</v>
      </c>
      <c r="L109" s="25"/>
      <c r="M109" s="13"/>
    </row>
    <row r="110" spans="2:13" x14ac:dyDescent="0.3">
      <c r="B110" s="12"/>
      <c r="C110" s="61" t="s">
        <v>311</v>
      </c>
      <c r="D110" s="27" t="s">
        <v>19</v>
      </c>
      <c r="E110" s="514">
        <f t="shared" ref="E110" si="8">2.55+0.3+0.3+1</f>
        <v>4.1499999999999995</v>
      </c>
      <c r="F110" s="13"/>
      <c r="G110" s="13"/>
      <c r="H110" s="13"/>
      <c r="I110" s="513"/>
      <c r="J110" s="513"/>
      <c r="K110" s="514">
        <f t="shared" si="7"/>
        <v>4.1499999999999995</v>
      </c>
      <c r="L110" s="25"/>
      <c r="M110" s="13"/>
    </row>
    <row r="111" spans="2:13" ht="31.2" x14ac:dyDescent="0.3">
      <c r="B111" s="43" t="str">
        <f>'PRESUPUESTO OFICIAL (Entidad)'!B33</f>
        <v>A5,3</v>
      </c>
      <c r="C111" s="48" t="str">
        <f>'PRESUPUESTO OFICIAL (Entidad)'!C33</f>
        <v>Columna de confinamiento (0,20x0,15mts) en concreto de 3000 PSI. Incluye refuerzo  de 6000 PSI ( 4Ø 1/2" refuerzo y E=Ø 1/4" c./d. 0,10 mts).</v>
      </c>
      <c r="D111" s="43" t="str">
        <f>'PRESUPUESTO OFICIAL (Entidad)'!D33</f>
        <v>ML</v>
      </c>
      <c r="E111" s="44"/>
      <c r="F111" s="44"/>
      <c r="G111" s="44"/>
      <c r="H111" s="44"/>
      <c r="I111" s="45"/>
      <c r="J111" s="45"/>
      <c r="K111" s="55">
        <f>ROUND(SUM(K112),2)</f>
        <v>12.6</v>
      </c>
      <c r="L111" s="46"/>
      <c r="M111" s="44"/>
    </row>
    <row r="112" spans="2:13" x14ac:dyDescent="0.3">
      <c r="B112" s="27"/>
      <c r="C112" s="61" t="s">
        <v>312</v>
      </c>
      <c r="D112" s="27" t="s">
        <v>19</v>
      </c>
      <c r="E112" s="514">
        <f>2.55+0.3+0.3</f>
        <v>3.1499999999999995</v>
      </c>
      <c r="F112" s="514"/>
      <c r="G112" s="514"/>
      <c r="H112" s="514">
        <v>4</v>
      </c>
      <c r="I112" s="513"/>
      <c r="J112" s="513"/>
      <c r="K112" s="514">
        <f>E112*H112</f>
        <v>12.599999999999998</v>
      </c>
      <c r="L112" s="516"/>
      <c r="M112" s="514"/>
    </row>
    <row r="113" spans="2:13" ht="31.2" x14ac:dyDescent="0.3">
      <c r="B113" s="43" t="str">
        <f>'PRESUPUESTO OFICIAL (Entidad)'!B34</f>
        <v>A5,4</v>
      </c>
      <c r="C113" s="48" t="str">
        <f>'PRESUPUESTO OFICIAL (Entidad)'!C34</f>
        <v>Viga cinta en concreto 3000 PSI ( 0.10x0.20mts). Incluye acero (2Ø3/8" refuerzo y E=Ø1/4" c/d. 0,10mts).</v>
      </c>
      <c r="D113" s="43" t="str">
        <f>'PRESUPUESTO OFICIAL (Entidad)'!D34</f>
        <v>ML</v>
      </c>
      <c r="E113" s="44"/>
      <c r="F113" s="44"/>
      <c r="G113" s="44"/>
      <c r="H113" s="44"/>
      <c r="I113" s="45"/>
      <c r="J113" s="45"/>
      <c r="K113" s="55">
        <f>ROUND(SUM(K114:K115),2)</f>
        <v>32.799999999999997</v>
      </c>
      <c r="L113" s="46"/>
      <c r="M113" s="44"/>
    </row>
    <row r="114" spans="2:13" x14ac:dyDescent="0.3">
      <c r="B114" s="12"/>
      <c r="C114" s="61" t="s">
        <v>1057</v>
      </c>
      <c r="D114" s="27" t="s">
        <v>19</v>
      </c>
      <c r="E114" s="514">
        <v>6</v>
      </c>
      <c r="F114" s="514"/>
      <c r="G114" s="514"/>
      <c r="H114" s="514">
        <v>2</v>
      </c>
      <c r="I114" s="513"/>
      <c r="J114" s="513"/>
      <c r="K114" s="514">
        <f>E114*H114</f>
        <v>12</v>
      </c>
      <c r="L114" s="516"/>
      <c r="M114" s="13"/>
    </row>
    <row r="115" spans="2:13" x14ac:dyDescent="0.3">
      <c r="B115" s="12"/>
      <c r="C115" s="61" t="s">
        <v>1059</v>
      </c>
      <c r="D115" s="27" t="s">
        <v>19</v>
      </c>
      <c r="E115" s="514">
        <v>10.4</v>
      </c>
      <c r="F115" s="514"/>
      <c r="G115" s="514"/>
      <c r="H115" s="514">
        <v>2</v>
      </c>
      <c r="I115" s="513"/>
      <c r="J115" s="513"/>
      <c r="K115" s="514">
        <f>E115*H115</f>
        <v>20.8</v>
      </c>
      <c r="L115" s="516"/>
      <c r="M115" s="13"/>
    </row>
    <row r="116" spans="2:13" x14ac:dyDescent="0.3">
      <c r="B116" s="43" t="str">
        <f>'PRESUPUESTO OFICIAL (Entidad)'!B35</f>
        <v>A5,5</v>
      </c>
      <c r="C116" s="48" t="str">
        <f>'PRESUPUESTO OFICIAL (Entidad)'!C35</f>
        <v>Construccion de Placa aerea en concreto armado de 3000 psi e = 10 cm.</v>
      </c>
      <c r="D116" s="43" t="str">
        <f>'PRESUPUESTO OFICIAL (Entidad)'!D35</f>
        <v>M2</v>
      </c>
      <c r="E116" s="51"/>
      <c r="F116" s="51"/>
      <c r="G116" s="51"/>
      <c r="H116" s="51"/>
      <c r="I116" s="45"/>
      <c r="J116" s="45"/>
      <c r="K116" s="55">
        <f>ROUND(SUM(K117),2)</f>
        <v>1.44</v>
      </c>
      <c r="L116" s="60"/>
      <c r="M116" s="44"/>
    </row>
    <row r="117" spans="2:13" x14ac:dyDescent="0.3">
      <c r="B117" s="12"/>
      <c r="C117" s="61" t="s">
        <v>355</v>
      </c>
      <c r="D117" s="27" t="s">
        <v>8</v>
      </c>
      <c r="E117" s="514">
        <v>1.2</v>
      </c>
      <c r="F117" s="514">
        <v>1.2</v>
      </c>
      <c r="G117" s="514"/>
      <c r="H117" s="514">
        <v>1</v>
      </c>
      <c r="I117" s="513"/>
      <c r="J117" s="513"/>
      <c r="K117" s="514">
        <f>E117*F117*H117</f>
        <v>1.44</v>
      </c>
      <c r="L117" s="516"/>
      <c r="M117" s="13"/>
    </row>
    <row r="118" spans="2:13" x14ac:dyDescent="0.3">
      <c r="B118" s="39" t="str">
        <f>'PRESUPUESTO OFICIAL (Entidad)'!B36</f>
        <v>A6</v>
      </c>
      <c r="C118" s="47" t="str">
        <f>'PRESUPUESTO OFICIAL (Entidad)'!C36</f>
        <v>INSTALACIONES ELÉCTRICAS</v>
      </c>
      <c r="D118" s="39"/>
      <c r="E118" s="40"/>
      <c r="F118" s="40"/>
      <c r="G118" s="40"/>
      <c r="H118" s="40"/>
      <c r="I118" s="41"/>
      <c r="J118" s="41"/>
      <c r="K118" s="40"/>
      <c r="L118" s="42"/>
      <c r="M118" s="40"/>
    </row>
    <row r="119" spans="2:13" x14ac:dyDescent="0.3">
      <c r="B119" s="43" t="str">
        <f>'PRESUPUESTO OFICIAL (Entidad)'!B37</f>
        <v>A6,1</v>
      </c>
      <c r="C119" s="48" t="str">
        <f>'PRESUPUESTO OFICIAL (Entidad)'!C37</f>
        <v>Suministro e instalación de Tablero monofásico 4 circuitos.</v>
      </c>
      <c r="D119" s="43" t="str">
        <f>'PRESUPUESTO OFICIAL (Entidad)'!D37</f>
        <v>UND</v>
      </c>
      <c r="E119" s="44"/>
      <c r="F119" s="44"/>
      <c r="G119" s="44"/>
      <c r="H119" s="44"/>
      <c r="I119" s="45"/>
      <c r="J119" s="45"/>
      <c r="K119" s="55">
        <f>ROUND(SUM(K120),2)</f>
        <v>1</v>
      </c>
      <c r="L119" s="46"/>
      <c r="M119" s="44"/>
    </row>
    <row r="120" spans="2:13" x14ac:dyDescent="0.3">
      <c r="B120" s="27"/>
      <c r="C120" s="61" t="s">
        <v>313</v>
      </c>
      <c r="D120" s="27" t="s">
        <v>21</v>
      </c>
      <c r="E120" s="514"/>
      <c r="F120" s="514"/>
      <c r="G120" s="514"/>
      <c r="H120" s="514">
        <v>1</v>
      </c>
      <c r="I120" s="513"/>
      <c r="J120" s="513"/>
      <c r="K120" s="514">
        <f>H120</f>
        <v>1</v>
      </c>
      <c r="L120" s="516"/>
      <c r="M120" s="514"/>
    </row>
    <row r="121" spans="2:13" x14ac:dyDescent="0.3">
      <c r="B121" s="43" t="str">
        <f>'PRESUPUESTO OFICIAL (Entidad)'!B38</f>
        <v>A6,2</v>
      </c>
      <c r="C121" s="48" t="str">
        <f>'PRESUPUESTO OFICIAL (Entidad)'!C38</f>
        <v>Suministro e instalación de Salida toma corriente doble 110 v.</v>
      </c>
      <c r="D121" s="43" t="str">
        <f>'PRESUPUESTO OFICIAL (Entidad)'!D38</f>
        <v>UND</v>
      </c>
      <c r="E121" s="44"/>
      <c r="F121" s="44"/>
      <c r="G121" s="44"/>
      <c r="H121" s="44"/>
      <c r="I121" s="45"/>
      <c r="J121" s="45"/>
      <c r="K121" s="55">
        <f>ROUND(SUM(K122),2)</f>
        <v>3</v>
      </c>
      <c r="L121" s="46"/>
      <c r="M121" s="44"/>
    </row>
    <row r="122" spans="2:13" x14ac:dyDescent="0.3">
      <c r="B122" s="27"/>
      <c r="C122" s="61" t="s">
        <v>314</v>
      </c>
      <c r="D122" s="27" t="s">
        <v>21</v>
      </c>
      <c r="E122" s="514"/>
      <c r="F122" s="514"/>
      <c r="G122" s="514"/>
      <c r="H122" s="514">
        <v>3</v>
      </c>
      <c r="I122" s="513"/>
      <c r="J122" s="513"/>
      <c r="K122" s="514">
        <f>H122</f>
        <v>3</v>
      </c>
      <c r="L122" s="516"/>
      <c r="M122" s="514"/>
    </row>
    <row r="123" spans="2:13" x14ac:dyDescent="0.3">
      <c r="B123" s="43" t="str">
        <f>'PRESUPUESTO OFICIAL (Entidad)'!B39</f>
        <v>A6,3</v>
      </c>
      <c r="C123" s="48" t="str">
        <f>'PRESUPUESTO OFICIAL (Entidad)'!C39</f>
        <v>Suministro e instalación de Salida Interruptor Sencillo 110 v.</v>
      </c>
      <c r="D123" s="43" t="str">
        <f>'PRESUPUESTO OFICIAL (Entidad)'!D39</f>
        <v>UND</v>
      </c>
      <c r="E123" s="44"/>
      <c r="F123" s="44"/>
      <c r="G123" s="44"/>
      <c r="H123" s="44"/>
      <c r="I123" s="45"/>
      <c r="J123" s="45"/>
      <c r="K123" s="55">
        <f>ROUND(SUM(K124),2)</f>
        <v>1</v>
      </c>
      <c r="L123" s="46"/>
      <c r="M123" s="44"/>
    </row>
    <row r="124" spans="2:13" ht="16.5" customHeight="1" x14ac:dyDescent="0.3">
      <c r="B124" s="27"/>
      <c r="C124" s="61" t="s">
        <v>315</v>
      </c>
      <c r="D124" s="27" t="s">
        <v>21</v>
      </c>
      <c r="E124" s="514"/>
      <c r="F124" s="514"/>
      <c r="G124" s="514"/>
      <c r="H124" s="514">
        <v>1</v>
      </c>
      <c r="I124" s="513"/>
      <c r="J124" s="513"/>
      <c r="K124" s="514">
        <f>H124</f>
        <v>1</v>
      </c>
      <c r="L124" s="516"/>
      <c r="M124" s="514"/>
    </row>
    <row r="125" spans="2:13" ht="27.75" customHeight="1" x14ac:dyDescent="0.3">
      <c r="B125" s="43" t="str">
        <f>'PRESUPUESTO OFICIAL (Entidad)'!B40</f>
        <v>A6,4</v>
      </c>
      <c r="C125" s="48" t="str">
        <f>'PRESUPUESTO OFICIAL (Entidad)'!C40</f>
        <v xml:space="preserve">Suministro e instalación de Salida Interruptor Doble 110 v. </v>
      </c>
      <c r="D125" s="43" t="str">
        <f>'PRESUPUESTO OFICIAL (Entidad)'!D40</f>
        <v>UND</v>
      </c>
      <c r="E125" s="44"/>
      <c r="F125" s="44"/>
      <c r="G125" s="44"/>
      <c r="H125" s="44"/>
      <c r="I125" s="45"/>
      <c r="J125" s="45"/>
      <c r="K125" s="55">
        <f>ROUND(SUM(K126),2)</f>
        <v>1</v>
      </c>
      <c r="L125" s="46"/>
      <c r="M125" s="44"/>
    </row>
    <row r="126" spans="2:13" ht="16.5" customHeight="1" x14ac:dyDescent="0.3">
      <c r="B126" s="27"/>
      <c r="C126" s="61" t="s">
        <v>315</v>
      </c>
      <c r="D126" s="27" t="s">
        <v>21</v>
      </c>
      <c r="E126" s="514"/>
      <c r="F126" s="514"/>
      <c r="G126" s="514"/>
      <c r="H126" s="514">
        <v>1</v>
      </c>
      <c r="I126" s="513"/>
      <c r="J126" s="513"/>
      <c r="K126" s="514">
        <f>H126</f>
        <v>1</v>
      </c>
      <c r="L126" s="516"/>
      <c r="M126" s="514"/>
    </row>
    <row r="127" spans="2:13" ht="28.5" customHeight="1" x14ac:dyDescent="0.3">
      <c r="B127" s="43" t="str">
        <f>'PRESUPUESTO OFICIAL (Entidad)'!B41</f>
        <v>A6,5</v>
      </c>
      <c r="C127" s="48" t="str">
        <f>'PRESUPUESTO OFICIAL (Entidad)'!C41</f>
        <v>Suministro e instalación de Salida lampara fluorescente electrónica 2 X 48 w, incluye lampara.</v>
      </c>
      <c r="D127" s="43" t="str">
        <f>'PRESUPUESTO OFICIAL (Entidad)'!D41</f>
        <v>UND</v>
      </c>
      <c r="E127" s="44"/>
      <c r="F127" s="44"/>
      <c r="G127" s="44"/>
      <c r="H127" s="44"/>
      <c r="I127" s="45"/>
      <c r="J127" s="45"/>
      <c r="K127" s="55">
        <f>ROUND(SUM(K128),2)</f>
        <v>3</v>
      </c>
      <c r="L127" s="46"/>
      <c r="M127" s="44"/>
    </row>
    <row r="128" spans="2:13" x14ac:dyDescent="0.3">
      <c r="B128" s="27"/>
      <c r="C128" s="61" t="s">
        <v>316</v>
      </c>
      <c r="D128" s="27" t="s">
        <v>21</v>
      </c>
      <c r="E128" s="514"/>
      <c r="F128" s="514"/>
      <c r="G128" s="514"/>
      <c r="H128" s="514">
        <v>3</v>
      </c>
      <c r="I128" s="513"/>
      <c r="J128" s="513"/>
      <c r="K128" s="514">
        <f>H128</f>
        <v>3</v>
      </c>
      <c r="L128" s="516"/>
      <c r="M128" s="514"/>
    </row>
    <row r="129" spans="2:13" ht="31.2" x14ac:dyDescent="0.3">
      <c r="B129" s="43" t="str">
        <f>'PRESUPUESTO OFICIAL (Entidad)'!B42</f>
        <v>A6,6</v>
      </c>
      <c r="C129" s="48" t="str">
        <f>'PRESUPUESTO OFICIAL (Entidad)'!C42</f>
        <v>Suministro e instalación de Puesta a tierra de tablero de distribicion, polo a tierra, varilla C. W. 2,40 ml.</v>
      </c>
      <c r="D129" s="43" t="str">
        <f>'PRESUPUESTO OFICIAL (Entidad)'!D42</f>
        <v>UND</v>
      </c>
      <c r="E129" s="44"/>
      <c r="F129" s="44"/>
      <c r="G129" s="44"/>
      <c r="H129" s="44"/>
      <c r="I129" s="45"/>
      <c r="J129" s="45"/>
      <c r="K129" s="55">
        <f>ROUND(SUM(K130),2)</f>
        <v>1</v>
      </c>
      <c r="L129" s="46"/>
      <c r="M129" s="44"/>
    </row>
    <row r="130" spans="2:13" x14ac:dyDescent="0.3">
      <c r="B130" s="27"/>
      <c r="C130" s="61" t="s">
        <v>318</v>
      </c>
      <c r="D130" s="27" t="s">
        <v>21</v>
      </c>
      <c r="E130" s="514"/>
      <c r="F130" s="514"/>
      <c r="G130" s="514"/>
      <c r="H130" s="514">
        <v>1</v>
      </c>
      <c r="I130" s="513"/>
      <c r="J130" s="513"/>
      <c r="K130" s="514">
        <f>H130</f>
        <v>1</v>
      </c>
      <c r="L130" s="516"/>
      <c r="M130" s="514"/>
    </row>
    <row r="131" spans="2:13" ht="31.2" x14ac:dyDescent="0.3">
      <c r="B131" s="43" t="str">
        <f>'PRESUPUESTO OFICIAL (Entidad)'!B43</f>
        <v>A6,7</v>
      </c>
      <c r="C131" s="48" t="str">
        <f>'PRESUPUESTO OFICIAL (Entidad)'!C43</f>
        <v>Suministro e instalación de Red electrica en tuberia pvc de 1/2", incluye 1 linea No 10 + 1 neutro No 10 + 1 Linea No 14  para toma corrientes.</v>
      </c>
      <c r="D131" s="43" t="str">
        <f>'PRESUPUESTO OFICIAL (Entidad)'!D43</f>
        <v>ML</v>
      </c>
      <c r="E131" s="44"/>
      <c r="F131" s="44"/>
      <c r="G131" s="44"/>
      <c r="H131" s="44"/>
      <c r="I131" s="45"/>
      <c r="J131" s="45"/>
      <c r="K131" s="55">
        <f>ROUND(SUM(K132),2)</f>
        <v>15.95</v>
      </c>
      <c r="L131" s="46"/>
      <c r="M131" s="44"/>
    </row>
    <row r="132" spans="2:13" x14ac:dyDescent="0.3">
      <c r="B132" s="27"/>
      <c r="C132" s="61" t="s">
        <v>317</v>
      </c>
      <c r="D132" s="27" t="s">
        <v>19</v>
      </c>
      <c r="E132" s="29">
        <f>0.84+4.33+1.86+2.42+1.5+1.5+1.5+2</f>
        <v>15.95</v>
      </c>
      <c r="F132" s="328"/>
      <c r="G132" s="328"/>
      <c r="H132" s="514"/>
      <c r="I132" s="513"/>
      <c r="J132" s="513"/>
      <c r="K132" s="514">
        <f>E132</f>
        <v>15.95</v>
      </c>
      <c r="L132" s="516"/>
      <c r="M132" s="514"/>
    </row>
    <row r="133" spans="2:13" ht="31.2" x14ac:dyDescent="0.3">
      <c r="B133" s="43" t="str">
        <f>'PRESUPUESTO OFICIAL (Entidad)'!B44</f>
        <v>A6,8</v>
      </c>
      <c r="C133" s="48" t="str">
        <f>'PRESUPUESTO OFICIAL (Entidad)'!C44</f>
        <v>Suministro e instalación de Red electrica en tuberia pvc de 1/2", incluye  1 N° 12 + neutro N° 12 para luminarias.</v>
      </c>
      <c r="D133" s="43" t="str">
        <f>'PRESUPUESTO OFICIAL (Entidad)'!D44</f>
        <v>ML</v>
      </c>
      <c r="E133" s="44"/>
      <c r="F133" s="44"/>
      <c r="G133" s="44"/>
      <c r="H133" s="44"/>
      <c r="I133" s="45"/>
      <c r="J133" s="45"/>
      <c r="K133" s="55">
        <f>ROUND(SUM(K134),2)</f>
        <v>16.510000000000002</v>
      </c>
      <c r="L133" s="46"/>
      <c r="M133" s="44"/>
    </row>
    <row r="134" spans="2:13" x14ac:dyDescent="0.3">
      <c r="B134" s="27"/>
      <c r="C134" s="61" t="s">
        <v>317</v>
      </c>
      <c r="D134" s="27" t="s">
        <v>19</v>
      </c>
      <c r="E134" s="514">
        <f>1.96+0.51+0.53+4.7+1.27+2.54+1.5+1.5+2</f>
        <v>16.510000000000002</v>
      </c>
      <c r="F134" s="514"/>
      <c r="G134" s="514"/>
      <c r="H134" s="514"/>
      <c r="I134" s="513"/>
      <c r="J134" s="513"/>
      <c r="K134" s="514">
        <f>E134</f>
        <v>16.510000000000002</v>
      </c>
      <c r="L134" s="516"/>
      <c r="M134" s="514"/>
    </row>
    <row r="135" spans="2:13" x14ac:dyDescent="0.3">
      <c r="B135" s="43" t="str">
        <f>'PRESUPUESTO OFICIAL (Entidad)'!B45</f>
        <v>A6,9</v>
      </c>
      <c r="C135" s="48" t="str">
        <f>'PRESUPUESTO OFICIAL (Entidad)'!C45</f>
        <v>Suministro e instalación de Cable concentrico monofasico.</v>
      </c>
      <c r="D135" s="43" t="str">
        <f>'PRESUPUESTO OFICIAL (Entidad)'!D45</f>
        <v>ML</v>
      </c>
      <c r="E135" s="44"/>
      <c r="F135" s="44"/>
      <c r="G135" s="44"/>
      <c r="H135" s="44"/>
      <c r="I135" s="45"/>
      <c r="J135" s="45"/>
      <c r="K135" s="55">
        <f>ROUND(SUM(K136),2)</f>
        <v>6</v>
      </c>
      <c r="L135" s="46"/>
      <c r="M135" s="44"/>
    </row>
    <row r="136" spans="2:13" x14ac:dyDescent="0.3">
      <c r="B136" s="27"/>
      <c r="C136" s="61" t="s">
        <v>732</v>
      </c>
      <c r="D136" s="27" t="s">
        <v>19</v>
      </c>
      <c r="E136" s="514">
        <v>6</v>
      </c>
      <c r="F136" s="514"/>
      <c r="G136" s="514"/>
      <c r="H136" s="514"/>
      <c r="I136" s="513"/>
      <c r="J136" s="513"/>
      <c r="K136" s="514">
        <f>E136</f>
        <v>6</v>
      </c>
      <c r="L136" s="516"/>
      <c r="M136" s="514"/>
    </row>
    <row r="137" spans="2:13" x14ac:dyDescent="0.3">
      <c r="B137" s="39" t="str">
        <f>'PRESUPUESTO OFICIAL (Entidad)'!B46</f>
        <v>A7</v>
      </c>
      <c r="C137" s="47" t="str">
        <f>'PRESUPUESTO OFICIAL (Entidad)'!C46</f>
        <v>INSTALACIONES HIDRAULICAS Y SANITARIAS</v>
      </c>
      <c r="D137" s="39"/>
      <c r="E137" s="40"/>
      <c r="F137" s="40"/>
      <c r="G137" s="40"/>
      <c r="H137" s="40"/>
      <c r="I137" s="41"/>
      <c r="J137" s="41"/>
      <c r="K137" s="40"/>
      <c r="L137" s="42"/>
      <c r="M137" s="40"/>
    </row>
    <row r="138" spans="2:13" x14ac:dyDescent="0.3">
      <c r="B138" s="43" t="str">
        <f>'PRESUPUESTO OFICIAL (Entidad)'!B47</f>
        <v>A7,1</v>
      </c>
      <c r="C138" s="48" t="str">
        <f>'PRESUPUESTO OFICIAL (Entidad)'!C47</f>
        <v>Suministro e instalacion de Punto de desague en pvc 2", incluye tuberia.</v>
      </c>
      <c r="D138" s="43" t="str">
        <f>'PRESUPUESTO OFICIAL (Entidad)'!D47</f>
        <v>UND</v>
      </c>
      <c r="E138" s="44"/>
      <c r="F138" s="44"/>
      <c r="G138" s="44"/>
      <c r="H138" s="44"/>
      <c r="I138" s="45"/>
      <c r="J138" s="45"/>
      <c r="K138" s="55">
        <f>ROUND(SUM(K139),2)</f>
        <v>1</v>
      </c>
      <c r="L138" s="46"/>
      <c r="M138" s="44"/>
    </row>
    <row r="139" spans="2:13" x14ac:dyDescent="0.3">
      <c r="B139" s="12"/>
      <c r="C139" s="61" t="s">
        <v>746</v>
      </c>
      <c r="D139" s="27" t="s">
        <v>21</v>
      </c>
      <c r="E139" s="514"/>
      <c r="F139" s="514"/>
      <c r="G139" s="514"/>
      <c r="H139" s="514">
        <v>1</v>
      </c>
      <c r="I139" s="513"/>
      <c r="J139" s="513"/>
      <c r="K139" s="514">
        <f>H139</f>
        <v>1</v>
      </c>
      <c r="L139" s="25"/>
      <c r="M139" s="13"/>
    </row>
    <row r="140" spans="2:13" x14ac:dyDescent="0.3">
      <c r="B140" s="43" t="str">
        <f>'PRESUPUESTO OFICIAL (Entidad)'!B48</f>
        <v>A7,2</v>
      </c>
      <c r="C140" s="48" t="str">
        <f>'PRESUPUESTO OFICIAL (Entidad)'!C48</f>
        <v>Suministro e instalacion de Punto de desague en pvc 3", incluye tuberia.</v>
      </c>
      <c r="D140" s="43" t="str">
        <f>'PRESUPUESTO OFICIAL (Entidad)'!D48</f>
        <v>UND</v>
      </c>
      <c r="E140" s="51"/>
      <c r="F140" s="51"/>
      <c r="G140" s="51"/>
      <c r="H140" s="51"/>
      <c r="I140" s="45"/>
      <c r="J140" s="45"/>
      <c r="K140" s="55">
        <f>ROUND(SUM(K141),2)</f>
        <v>2</v>
      </c>
      <c r="L140" s="46"/>
      <c r="M140" s="44"/>
    </row>
    <row r="141" spans="2:13" x14ac:dyDescent="0.3">
      <c r="B141" s="12"/>
      <c r="C141" s="61" t="s">
        <v>745</v>
      </c>
      <c r="D141" s="27" t="s">
        <v>21</v>
      </c>
      <c r="E141" s="514"/>
      <c r="F141" s="514"/>
      <c r="G141" s="514"/>
      <c r="H141" s="514">
        <v>2</v>
      </c>
      <c r="I141" s="513"/>
      <c r="J141" s="513"/>
      <c r="K141" s="514">
        <f>H141</f>
        <v>2</v>
      </c>
      <c r="L141" s="25"/>
      <c r="M141" s="13"/>
    </row>
    <row r="142" spans="2:13" x14ac:dyDescent="0.3">
      <c r="B142" s="43" t="str">
        <f>'PRESUPUESTO OFICIAL (Entidad)'!B49</f>
        <v>A7,3</v>
      </c>
      <c r="C142" s="48" t="str">
        <f>'PRESUPUESTO OFICIAL (Entidad)'!C49</f>
        <v>Suministro e instalacion de Punto de desague en pvc 4", incluye tuberia.</v>
      </c>
      <c r="D142" s="43" t="str">
        <f>'PRESUPUESTO OFICIAL (Entidad)'!D49</f>
        <v>UND</v>
      </c>
      <c r="E142" s="51"/>
      <c r="F142" s="51"/>
      <c r="G142" s="51"/>
      <c r="H142" s="51"/>
      <c r="I142" s="45"/>
      <c r="J142" s="45"/>
      <c r="K142" s="55">
        <f>ROUND(SUM(K143),2)</f>
        <v>1</v>
      </c>
      <c r="L142" s="46"/>
      <c r="M142" s="44"/>
    </row>
    <row r="143" spans="2:13" x14ac:dyDescent="0.3">
      <c r="B143" s="12"/>
      <c r="C143" s="61" t="s">
        <v>326</v>
      </c>
      <c r="D143" s="27" t="s">
        <v>21</v>
      </c>
      <c r="E143" s="514"/>
      <c r="F143" s="514"/>
      <c r="G143" s="514"/>
      <c r="H143" s="514">
        <v>1</v>
      </c>
      <c r="I143" s="513"/>
      <c r="J143" s="513"/>
      <c r="K143" s="514">
        <f>H143</f>
        <v>1</v>
      </c>
      <c r="L143" s="25"/>
      <c r="M143" s="13"/>
    </row>
    <row r="144" spans="2:13" x14ac:dyDescent="0.3">
      <c r="B144" s="43" t="str">
        <f>'PRESUPUESTO OFICIAL (Entidad)'!B50</f>
        <v>A7,4</v>
      </c>
      <c r="C144" s="48" t="str">
        <f>'PRESUPUESTO OFICIAL (Entidad)'!C50</f>
        <v>Caja de inspeccion de 60x60 cm, ladrillo.</v>
      </c>
      <c r="D144" s="43" t="str">
        <f>'PRESUPUESTO OFICIAL (Entidad)'!D50</f>
        <v>UND</v>
      </c>
      <c r="E144" s="51"/>
      <c r="F144" s="51"/>
      <c r="G144" s="51"/>
      <c r="H144" s="51"/>
      <c r="I144" s="45"/>
      <c r="J144" s="45"/>
      <c r="K144" s="55">
        <f>ROUND(SUM(K145),2)</f>
        <v>1</v>
      </c>
      <c r="L144" s="46"/>
      <c r="M144" s="44"/>
    </row>
    <row r="145" spans="2:13" x14ac:dyDescent="0.3">
      <c r="B145" s="12"/>
      <c r="C145" s="61" t="s">
        <v>322</v>
      </c>
      <c r="D145" s="27" t="s">
        <v>21</v>
      </c>
      <c r="E145" s="514"/>
      <c r="F145" s="514"/>
      <c r="G145" s="514"/>
      <c r="H145" s="514">
        <v>1</v>
      </c>
      <c r="I145" s="513"/>
      <c r="J145" s="513"/>
      <c r="K145" s="514">
        <f>H145</f>
        <v>1</v>
      </c>
      <c r="L145" s="25"/>
      <c r="M145" s="13"/>
    </row>
    <row r="146" spans="2:13" x14ac:dyDescent="0.3">
      <c r="B146" s="43" t="str">
        <f>'PRESUPUESTO OFICIAL (Entidad)'!B51</f>
        <v>A7,5</v>
      </c>
      <c r="C146" s="48" t="str">
        <f>'PRESUPUESTO OFICIAL (Entidad)'!C51</f>
        <v>Suministro e instalacion de Punto agua fria de ½" PVC, incluye tuberia.</v>
      </c>
      <c r="D146" s="43" t="str">
        <f>'PRESUPUESTO OFICIAL (Entidad)'!D51</f>
        <v>UND</v>
      </c>
      <c r="E146" s="51"/>
      <c r="F146" s="51"/>
      <c r="G146" s="51"/>
      <c r="H146" s="51"/>
      <c r="I146" s="45"/>
      <c r="J146" s="45"/>
      <c r="K146" s="55">
        <f>ROUND(SUM(K147),2)</f>
        <v>1</v>
      </c>
      <c r="L146" s="46"/>
      <c r="M146" s="44"/>
    </row>
    <row r="147" spans="2:13" x14ac:dyDescent="0.3">
      <c r="B147" s="12"/>
      <c r="C147" s="61" t="s">
        <v>321</v>
      </c>
      <c r="D147" s="27" t="s">
        <v>21</v>
      </c>
      <c r="E147" s="514"/>
      <c r="F147" s="514"/>
      <c r="G147" s="514"/>
      <c r="H147" s="514">
        <v>1</v>
      </c>
      <c r="I147" s="513"/>
      <c r="J147" s="513"/>
      <c r="K147" s="514">
        <f>H147</f>
        <v>1</v>
      </c>
      <c r="L147" s="25"/>
      <c r="M147" s="13"/>
    </row>
    <row r="148" spans="2:13" x14ac:dyDescent="0.3">
      <c r="B148" s="43" t="str">
        <f>'PRESUPUESTO OFICIAL (Entidad)'!B52</f>
        <v>A7,6</v>
      </c>
      <c r="C148" s="48" t="str">
        <f>'PRESUPUESTO OFICIAL (Entidad)'!C52</f>
        <v>Suministro e instalacion de Registro de paso  directo  ½" (bola).</v>
      </c>
      <c r="D148" s="43" t="str">
        <f>'PRESUPUESTO OFICIAL (Entidad)'!D52</f>
        <v>UND</v>
      </c>
      <c r="E148" s="51"/>
      <c r="F148" s="51"/>
      <c r="G148" s="51"/>
      <c r="H148" s="51"/>
      <c r="I148" s="45"/>
      <c r="J148" s="45"/>
      <c r="K148" s="55">
        <f>ROUND(SUM(K149),2)</f>
        <v>2</v>
      </c>
      <c r="L148" s="46"/>
      <c r="M148" s="44"/>
    </row>
    <row r="149" spans="2:13" x14ac:dyDescent="0.3">
      <c r="B149" s="12"/>
      <c r="C149" s="61" t="s">
        <v>319</v>
      </c>
      <c r="D149" s="27" t="s">
        <v>21</v>
      </c>
      <c r="E149" s="514"/>
      <c r="F149" s="514"/>
      <c r="G149" s="514"/>
      <c r="H149" s="514">
        <v>2</v>
      </c>
      <c r="I149" s="513"/>
      <c r="J149" s="513"/>
      <c r="K149" s="514">
        <f>H149</f>
        <v>2</v>
      </c>
      <c r="L149" s="25"/>
      <c r="M149" s="13"/>
    </row>
    <row r="150" spans="2:13" x14ac:dyDescent="0.3">
      <c r="B150" s="43" t="str">
        <f>'PRESUPUESTO OFICIAL (Entidad)'!B53</f>
        <v>A7,7</v>
      </c>
      <c r="C150" s="48" t="str">
        <f>'PRESUPUESTO OFICIAL (Entidad)'!C53</f>
        <v>Suministro e instalacion de Acometida general de ½".</v>
      </c>
      <c r="D150" s="43" t="str">
        <f>'PRESUPUESTO OFICIAL (Entidad)'!D53</f>
        <v>UND</v>
      </c>
      <c r="E150" s="51"/>
      <c r="F150" s="51"/>
      <c r="G150" s="51"/>
      <c r="H150" s="51"/>
      <c r="I150" s="45"/>
      <c r="J150" s="45"/>
      <c r="K150" s="55">
        <f>ROUND(SUM(K151),2)</f>
        <v>1</v>
      </c>
      <c r="L150" s="46"/>
      <c r="M150" s="44"/>
    </row>
    <row r="151" spans="2:13" x14ac:dyDescent="0.3">
      <c r="B151" s="12"/>
      <c r="C151" s="61" t="s">
        <v>320</v>
      </c>
      <c r="D151" s="27" t="s">
        <v>21</v>
      </c>
      <c r="E151" s="514"/>
      <c r="F151" s="514"/>
      <c r="G151" s="514"/>
      <c r="H151" s="514">
        <v>1</v>
      </c>
      <c r="I151" s="513"/>
      <c r="J151" s="513"/>
      <c r="K151" s="514">
        <f>H151</f>
        <v>1</v>
      </c>
      <c r="L151" s="25"/>
      <c r="M151" s="13"/>
    </row>
    <row r="152" spans="2:13" x14ac:dyDescent="0.3">
      <c r="B152" s="43" t="str">
        <f>'PRESUPUESTO OFICIAL (Entidad)'!B54</f>
        <v>A7,8</v>
      </c>
      <c r="C152" s="48" t="str">
        <f>'PRESUPUESTO OFICIAL (Entidad)'!C54</f>
        <v>Suministro e instalacion de salida llave terminal de  ½".</v>
      </c>
      <c r="D152" s="43" t="str">
        <f>'PRESUPUESTO OFICIAL (Entidad)'!D54</f>
        <v>UND</v>
      </c>
      <c r="E152" s="51"/>
      <c r="F152" s="51"/>
      <c r="G152" s="51"/>
      <c r="H152" s="51"/>
      <c r="I152" s="45"/>
      <c r="J152" s="45"/>
      <c r="K152" s="55">
        <f>ROUND(SUM(K153),2)</f>
        <v>1</v>
      </c>
      <c r="L152" s="46"/>
      <c r="M152" s="44"/>
    </row>
    <row r="153" spans="2:13" x14ac:dyDescent="0.3">
      <c r="B153" s="12"/>
      <c r="C153" s="61" t="s">
        <v>323</v>
      </c>
      <c r="D153" s="27" t="s">
        <v>21</v>
      </c>
      <c r="E153" s="514"/>
      <c r="F153" s="514"/>
      <c r="G153" s="514"/>
      <c r="H153" s="514">
        <v>1</v>
      </c>
      <c r="I153" s="513"/>
      <c r="J153" s="513"/>
      <c r="K153" s="514">
        <f>H153</f>
        <v>1</v>
      </c>
      <c r="L153" s="25"/>
      <c r="M153" s="13"/>
    </row>
    <row r="154" spans="2:13" x14ac:dyDescent="0.3">
      <c r="B154" s="43" t="str">
        <f>'PRESUPUESTO OFICIAL (Entidad)'!B55</f>
        <v>A7,9</v>
      </c>
      <c r="C154" s="48" t="str">
        <f>'PRESUPUESTO OFICIAL (Entidad)'!C55</f>
        <v>Suministro e instalación de lavaplatos 60X40 .</v>
      </c>
      <c r="D154" s="43" t="str">
        <f>'PRESUPUESTO OFICIAL (Entidad)'!D55</f>
        <v>UND</v>
      </c>
      <c r="E154" s="51"/>
      <c r="F154" s="51"/>
      <c r="G154" s="51"/>
      <c r="H154" s="51"/>
      <c r="I154" s="45"/>
      <c r="J154" s="45"/>
      <c r="K154" s="55">
        <f>ROUND(SUM(K155),2)</f>
        <v>1</v>
      </c>
      <c r="L154" s="46"/>
      <c r="M154" s="44"/>
    </row>
    <row r="155" spans="2:13" x14ac:dyDescent="0.3">
      <c r="B155" s="12"/>
      <c r="C155" s="61" t="s">
        <v>324</v>
      </c>
      <c r="D155" s="27" t="s">
        <v>21</v>
      </c>
      <c r="E155" s="514"/>
      <c r="F155" s="514"/>
      <c r="G155" s="514"/>
      <c r="H155" s="514">
        <v>1</v>
      </c>
      <c r="I155" s="513"/>
      <c r="J155" s="513"/>
      <c r="K155" s="514">
        <f>H155</f>
        <v>1</v>
      </c>
      <c r="L155" s="25"/>
      <c r="M155" s="13"/>
    </row>
    <row r="156" spans="2:13" x14ac:dyDescent="0.3">
      <c r="B156" s="43" t="str">
        <f>'PRESUPUESTO OFICIAL (Entidad)'!B56</f>
        <v>A7,10</v>
      </c>
      <c r="C156" s="48" t="str">
        <f>'PRESUPUESTO OFICIAL (Entidad)'!C56</f>
        <v>Suministro e instalación de tanque 500 litros, incluye griferia y accesorios.</v>
      </c>
      <c r="D156" s="43" t="str">
        <f>'PRESUPUESTO OFICIAL (Entidad)'!D56</f>
        <v>UND</v>
      </c>
      <c r="E156" s="51"/>
      <c r="F156" s="51"/>
      <c r="G156" s="51"/>
      <c r="H156" s="51"/>
      <c r="I156" s="45"/>
      <c r="J156" s="45"/>
      <c r="K156" s="55">
        <f>ROUND(SUM(K157),2)</f>
        <v>1</v>
      </c>
      <c r="L156" s="46"/>
      <c r="M156" s="44"/>
    </row>
    <row r="157" spans="2:13" ht="15" customHeight="1" x14ac:dyDescent="0.3">
      <c r="B157" s="12"/>
      <c r="C157" s="61" t="s">
        <v>325</v>
      </c>
      <c r="D157" s="27" t="s">
        <v>21</v>
      </c>
      <c r="E157" s="514"/>
      <c r="F157" s="514"/>
      <c r="G157" s="514"/>
      <c r="H157" s="514">
        <v>1</v>
      </c>
      <c r="I157" s="513"/>
      <c r="J157" s="513"/>
      <c r="K157" s="514">
        <f>H157</f>
        <v>1</v>
      </c>
      <c r="L157" s="25"/>
      <c r="M157" s="13"/>
    </row>
    <row r="158" spans="2:13" x14ac:dyDescent="0.3">
      <c r="B158" s="39" t="str">
        <f>'PRESUPUESTO OFICIAL (Entidad)'!B57</f>
        <v>A8</v>
      </c>
      <c r="C158" s="47" t="str">
        <f>'PRESUPUESTO OFICIAL (Entidad)'!C57</f>
        <v>PAÑETES</v>
      </c>
      <c r="D158" s="39"/>
      <c r="E158" s="40"/>
      <c r="F158" s="40"/>
      <c r="G158" s="40"/>
      <c r="H158" s="40"/>
      <c r="I158" s="41"/>
      <c r="J158" s="41"/>
      <c r="K158" s="40"/>
      <c r="L158" s="42"/>
      <c r="M158" s="40"/>
    </row>
    <row r="159" spans="2:13" ht="31.2" x14ac:dyDescent="0.3">
      <c r="B159" s="43" t="str">
        <f>'PRESUPUESTO OFICIAL (Entidad)'!B58</f>
        <v>A8,1</v>
      </c>
      <c r="C159" s="48" t="str">
        <f>'PRESUPUESTO OFICIAL (Entidad)'!C58</f>
        <v>Suministro y aplicación de Pañete muros  1:4 Incluye Filos, carteras y Dilataciones.</v>
      </c>
      <c r="D159" s="43" t="str">
        <f>'PRESUPUESTO OFICIAL (Entidad)'!D58</f>
        <v>M2</v>
      </c>
      <c r="E159" s="44"/>
      <c r="F159" s="44"/>
      <c r="G159" s="44"/>
      <c r="H159" s="44"/>
      <c r="I159" s="45"/>
      <c r="J159" s="45"/>
      <c r="K159" s="55">
        <f>ROUND(SUM(K160:K168),2)+10</f>
        <v>183.18</v>
      </c>
      <c r="L159" s="46"/>
      <c r="M159" s="44"/>
    </row>
    <row r="160" spans="2:13" x14ac:dyDescent="0.3">
      <c r="B160" s="12"/>
      <c r="C160" s="61" t="s">
        <v>1060</v>
      </c>
      <c r="D160" s="27" t="s">
        <v>8</v>
      </c>
      <c r="E160" s="514">
        <v>9.65</v>
      </c>
      <c r="F160" s="29"/>
      <c r="G160" s="514">
        <f>2.42+0.3</f>
        <v>2.7199999999999998</v>
      </c>
      <c r="H160" s="514">
        <v>2</v>
      </c>
      <c r="I160" s="27">
        <f>(I76+I78)*2</f>
        <v>14.620000000000001</v>
      </c>
      <c r="J160" s="513"/>
      <c r="K160" s="514">
        <f>E160*G160*H160-I160</f>
        <v>37.875999999999991</v>
      </c>
      <c r="L160" s="516"/>
      <c r="M160" s="514"/>
    </row>
    <row r="161" spans="2:13" x14ac:dyDescent="0.3">
      <c r="B161" s="12"/>
      <c r="C161" s="61" t="s">
        <v>1061</v>
      </c>
      <c r="D161" s="27" t="s">
        <v>8</v>
      </c>
      <c r="E161" s="514">
        <v>9.65</v>
      </c>
      <c r="F161" s="29"/>
      <c r="G161" s="514">
        <f>2.42+0.3</f>
        <v>2.7199999999999998</v>
      </c>
      <c r="H161" s="514"/>
      <c r="I161" s="514"/>
      <c r="J161" s="513"/>
      <c r="K161" s="514">
        <f>E161*G161</f>
        <v>26.247999999999998</v>
      </c>
      <c r="L161" s="516"/>
      <c r="M161" s="514"/>
    </row>
    <row r="162" spans="2:13" x14ac:dyDescent="0.3">
      <c r="B162" s="12"/>
      <c r="C162" s="61" t="s">
        <v>327</v>
      </c>
      <c r="D162" s="27" t="s">
        <v>8</v>
      </c>
      <c r="E162" s="514">
        <v>6</v>
      </c>
      <c r="F162" s="29"/>
      <c r="G162" s="514">
        <f>2.42+0.3</f>
        <v>2.7199999999999998</v>
      </c>
      <c r="H162" s="514">
        <v>2</v>
      </c>
      <c r="I162" s="514">
        <f>(2.44*1)*2</f>
        <v>4.88</v>
      </c>
      <c r="J162" s="513"/>
      <c r="K162" s="514">
        <f t="shared" ref="K162" si="9">E162*G162*H162-I162</f>
        <v>27.76</v>
      </c>
      <c r="L162" s="516"/>
      <c r="M162" s="514"/>
    </row>
    <row r="163" spans="2:13" x14ac:dyDescent="0.3">
      <c r="B163" s="12"/>
      <c r="C163" s="61" t="s">
        <v>1049</v>
      </c>
      <c r="D163" s="27" t="s">
        <v>8</v>
      </c>
      <c r="E163" s="514">
        <v>6.32</v>
      </c>
      <c r="F163" s="29"/>
      <c r="G163" s="514">
        <f>2.42+0.3</f>
        <v>2.7199999999999998</v>
      </c>
      <c r="H163" s="514">
        <v>2</v>
      </c>
      <c r="I163" s="514">
        <f>((1.7*1)+(1.7*1))*2</f>
        <v>6.8</v>
      </c>
      <c r="J163" s="513"/>
      <c r="K163" s="514">
        <f>E163*G163*H163</f>
        <v>34.380800000000001</v>
      </c>
      <c r="L163" s="516"/>
      <c r="M163" s="514"/>
    </row>
    <row r="164" spans="2:13" x14ac:dyDescent="0.3">
      <c r="B164" s="12"/>
      <c r="C164" s="61" t="s">
        <v>295</v>
      </c>
      <c r="D164" s="27" t="s">
        <v>8</v>
      </c>
      <c r="E164" s="514">
        <v>1.8</v>
      </c>
      <c r="F164" s="29"/>
      <c r="G164" s="514">
        <f>2.42+0.3</f>
        <v>2.7199999999999998</v>
      </c>
      <c r="H164" s="514">
        <v>2</v>
      </c>
      <c r="I164" s="513"/>
      <c r="J164" s="513"/>
      <c r="K164" s="514">
        <f>E164*G164*H164</f>
        <v>9.7919999999999998</v>
      </c>
      <c r="L164" s="516"/>
      <c r="M164" s="514"/>
    </row>
    <row r="165" spans="2:13" x14ac:dyDescent="0.3">
      <c r="B165" s="12"/>
      <c r="C165" s="61" t="s">
        <v>1062</v>
      </c>
      <c r="D165" s="27" t="s">
        <v>8</v>
      </c>
      <c r="E165" s="514">
        <v>6</v>
      </c>
      <c r="F165" s="29"/>
      <c r="G165" s="514">
        <v>1</v>
      </c>
      <c r="H165" s="514">
        <v>2</v>
      </c>
      <c r="I165" s="513"/>
      <c r="J165" s="513"/>
      <c r="K165" s="514">
        <f t="shared" ref="K165:K168" si="10">E165*G165*H165</f>
        <v>12</v>
      </c>
      <c r="L165" s="516"/>
      <c r="M165" s="514"/>
    </row>
    <row r="166" spans="2:13" x14ac:dyDescent="0.3">
      <c r="B166" s="12"/>
      <c r="C166" s="61" t="s">
        <v>1052</v>
      </c>
      <c r="D166" s="27" t="s">
        <v>8</v>
      </c>
      <c r="E166" s="514">
        <v>6</v>
      </c>
      <c r="F166" s="29"/>
      <c r="G166" s="514">
        <v>0.83</v>
      </c>
      <c r="H166" s="514">
        <v>2</v>
      </c>
      <c r="I166" s="513"/>
      <c r="J166" s="513"/>
      <c r="K166" s="514">
        <f>E166*G166*H166</f>
        <v>9.9599999999999991</v>
      </c>
      <c r="L166" s="516"/>
      <c r="M166" s="514"/>
    </row>
    <row r="167" spans="2:13" x14ac:dyDescent="0.3">
      <c r="B167" s="12"/>
      <c r="C167" s="61" t="s">
        <v>1058</v>
      </c>
      <c r="D167" s="27" t="s">
        <v>8</v>
      </c>
      <c r="E167" s="514">
        <v>5.18</v>
      </c>
      <c r="F167" s="29"/>
      <c r="G167" s="514"/>
      <c r="H167" s="514">
        <v>2</v>
      </c>
      <c r="I167" s="513"/>
      <c r="J167" s="513"/>
      <c r="K167" s="514">
        <f>E167*H167</f>
        <v>10.36</v>
      </c>
      <c r="L167" s="516"/>
      <c r="M167" s="514"/>
    </row>
    <row r="168" spans="2:13" x14ac:dyDescent="0.3">
      <c r="B168" s="12"/>
      <c r="C168" s="61" t="s">
        <v>299</v>
      </c>
      <c r="D168" s="27" t="s">
        <v>8</v>
      </c>
      <c r="E168" s="514">
        <v>3</v>
      </c>
      <c r="F168" s="514"/>
      <c r="G168" s="514">
        <v>0.8</v>
      </c>
      <c r="H168" s="514">
        <v>2</v>
      </c>
      <c r="I168" s="513"/>
      <c r="J168" s="513"/>
      <c r="K168" s="514">
        <f t="shared" si="10"/>
        <v>4.8000000000000007</v>
      </c>
      <c r="L168" s="516"/>
      <c r="M168" s="514"/>
    </row>
    <row r="169" spans="2:13" x14ac:dyDescent="0.3">
      <c r="B169" s="39" t="str">
        <f>'PRESUPUESTO OFICIAL (Entidad)'!B59</f>
        <v>A9</v>
      </c>
      <c r="C169" s="47" t="str">
        <f>'PRESUPUESTO OFICIAL (Entidad)'!C59</f>
        <v>CUBIERTA  Y   ESTRUCTURA DE CUBIERTA</v>
      </c>
      <c r="D169" s="39"/>
      <c r="E169" s="40"/>
      <c r="F169" s="40"/>
      <c r="G169" s="40"/>
      <c r="H169" s="40"/>
      <c r="I169" s="41"/>
      <c r="J169" s="41"/>
      <c r="K169" s="40"/>
      <c r="L169" s="42"/>
      <c r="M169" s="40"/>
    </row>
    <row r="170" spans="2:13" ht="31.2" x14ac:dyDescent="0.3">
      <c r="B170" s="43" t="str">
        <f>'PRESUPUESTO OFICIAL (Entidad)'!B60</f>
        <v>A9,1</v>
      </c>
      <c r="C170" s="48" t="str">
        <f>'PRESUPUESTO OFICIAL (Entidad)'!C60</f>
        <v xml:space="preserve">Suministro e instalación de cubierta en teja master 1000 Arquitectónica color, CAL 28. Incluye tornillos autoperforantes. </v>
      </c>
      <c r="D170" s="43" t="str">
        <f>'PRESUPUESTO OFICIAL (Entidad)'!D60</f>
        <v>M2</v>
      </c>
      <c r="E170" s="44"/>
      <c r="F170" s="44"/>
      <c r="G170" s="44"/>
      <c r="H170" s="44"/>
      <c r="I170" s="45"/>
      <c r="J170" s="45"/>
      <c r="K170" s="55">
        <f>ROUND(SUM(K171),2)</f>
        <v>69.08</v>
      </c>
      <c r="L170" s="46"/>
      <c r="M170" s="44"/>
    </row>
    <row r="171" spans="2:13" x14ac:dyDescent="0.3">
      <c r="B171" s="27"/>
      <c r="C171" s="522" t="s">
        <v>328</v>
      </c>
      <c r="D171" s="27" t="s">
        <v>8</v>
      </c>
      <c r="E171" s="514">
        <v>6.28</v>
      </c>
      <c r="F171" s="514">
        <v>11</v>
      </c>
      <c r="G171" s="514"/>
      <c r="H171" s="514"/>
      <c r="I171" s="513"/>
      <c r="J171" s="513"/>
      <c r="K171" s="514">
        <f>E171*F171</f>
        <v>69.08</v>
      </c>
      <c r="L171" s="516"/>
      <c r="M171" s="514"/>
    </row>
    <row r="172" spans="2:13" ht="31.2" x14ac:dyDescent="0.3">
      <c r="B172" s="43" t="str">
        <f>'PRESUPUESTO OFICIAL (Entidad)'!B61</f>
        <v>A9,2</v>
      </c>
      <c r="C172" s="48" t="str">
        <f>'PRESUPUESTO OFICIAL (Entidad)'!C61</f>
        <v>Suministro e instalación de Correa en perfil metálico de 3"X1 1/2", cal.18. Incluye pintura.</v>
      </c>
      <c r="D172" s="43" t="str">
        <f>'PRESUPUESTO OFICIAL (Entidad)'!D61</f>
        <v>ML</v>
      </c>
      <c r="E172" s="44"/>
      <c r="F172" s="44"/>
      <c r="G172" s="44"/>
      <c r="H172" s="44"/>
      <c r="I172" s="45"/>
      <c r="J172" s="45"/>
      <c r="K172" s="55">
        <f>ROUND(SUM(K173),2)</f>
        <v>66</v>
      </c>
      <c r="L172" s="46"/>
      <c r="M172" s="44"/>
    </row>
    <row r="173" spans="2:13" x14ac:dyDescent="0.3">
      <c r="B173" s="27"/>
      <c r="C173" s="522" t="s">
        <v>329</v>
      </c>
      <c r="D173" s="27" t="s">
        <v>19</v>
      </c>
      <c r="E173" s="514"/>
      <c r="F173" s="514">
        <v>6</v>
      </c>
      <c r="G173" s="514"/>
      <c r="H173" s="514">
        <v>11</v>
      </c>
      <c r="I173" s="513"/>
      <c r="J173" s="513"/>
      <c r="K173" s="514">
        <f>F173*H173</f>
        <v>66</v>
      </c>
      <c r="L173" s="516"/>
      <c r="M173" s="514"/>
    </row>
    <row r="174" spans="2:13" ht="31.2" x14ac:dyDescent="0.3">
      <c r="B174" s="43" t="str">
        <f>'PRESUPUESTO OFICIAL (Entidad)'!B62</f>
        <v>A9,3</v>
      </c>
      <c r="C174" s="48" t="str">
        <f>'PRESUPUESTO OFICIAL (Entidad)'!C62</f>
        <v>Suministro e instalación de Bajante ALL PVC 4". Incluye accesorios y mano de obra.</v>
      </c>
      <c r="D174" s="43" t="str">
        <f>'PRESUPUESTO OFICIAL (Entidad)'!D62</f>
        <v>ML</v>
      </c>
      <c r="E174" s="44"/>
      <c r="F174" s="44"/>
      <c r="G174" s="44"/>
      <c r="H174" s="44"/>
      <c r="I174" s="45"/>
      <c r="J174" s="45"/>
      <c r="K174" s="55">
        <f>ROUND(SUM(K175),2)</f>
        <v>6</v>
      </c>
      <c r="L174" s="46"/>
      <c r="M174" s="44"/>
    </row>
    <row r="175" spans="2:13" x14ac:dyDescent="0.3">
      <c r="B175" s="12"/>
      <c r="C175" s="522" t="s">
        <v>330</v>
      </c>
      <c r="D175" s="12" t="s">
        <v>19</v>
      </c>
      <c r="E175" s="13"/>
      <c r="F175" s="13"/>
      <c r="G175" s="514">
        <v>6</v>
      </c>
      <c r="H175" s="514"/>
      <c r="I175" s="513"/>
      <c r="J175" s="513"/>
      <c r="K175" s="514">
        <f>G175</f>
        <v>6</v>
      </c>
      <c r="L175" s="25"/>
      <c r="M175" s="13"/>
    </row>
    <row r="176" spans="2:13" ht="46.8" x14ac:dyDescent="0.3">
      <c r="B176" s="43" t="str">
        <f>'PRESUPUESTO OFICIAL (Entidad)'!B63</f>
        <v>A9,4</v>
      </c>
      <c r="C176" s="465" t="str">
        <f>'PRESUPUESTO OFICIAL (Entidad)'!C63</f>
        <v>Suministro e instalación de Cercha Metálica tubo rectangular .04x.08 mts. 18 superior y tubo rectangular .04x.10 mts cal. 18 inferior, celosía en Tubo rectangular .04x.08 cal. 18".  Incluye pintura.</v>
      </c>
      <c r="D176" s="465" t="str">
        <f>'PRESUPUESTO OFICIAL (Entidad)'!D63</f>
        <v>ML</v>
      </c>
      <c r="E176" s="44"/>
      <c r="F176" s="44"/>
      <c r="G176" s="51"/>
      <c r="H176" s="51"/>
      <c r="I176" s="45"/>
      <c r="J176" s="45"/>
      <c r="K176" s="55">
        <f>ROUND(SUM(K177),2)</f>
        <v>10.35</v>
      </c>
      <c r="L176" s="46"/>
      <c r="M176" s="44"/>
    </row>
    <row r="177" spans="2:13" x14ac:dyDescent="0.3">
      <c r="B177" s="27"/>
      <c r="C177" s="522" t="s">
        <v>1068</v>
      </c>
      <c r="D177" s="27" t="s">
        <v>19</v>
      </c>
      <c r="E177" s="514">
        <v>10.35</v>
      </c>
      <c r="F177" s="514"/>
      <c r="G177" s="514"/>
      <c r="H177" s="514"/>
      <c r="I177" s="513"/>
      <c r="J177" s="513"/>
      <c r="K177" s="514">
        <f>E177</f>
        <v>10.35</v>
      </c>
      <c r="L177" s="516"/>
      <c r="M177" s="514"/>
    </row>
    <row r="178" spans="2:13" x14ac:dyDescent="0.3">
      <c r="B178" s="39" t="str">
        <f>'PRESUPUESTO OFICIAL (Entidad)'!B64</f>
        <v>A10</v>
      </c>
      <c r="C178" s="47" t="str">
        <f>'PRESUPUESTO OFICIAL (Entidad)'!C64</f>
        <v>PISOS Y ENCHAPES</v>
      </c>
      <c r="D178" s="39"/>
      <c r="E178" s="40"/>
      <c r="F178" s="40"/>
      <c r="G178" s="40"/>
      <c r="H178" s="40"/>
      <c r="I178" s="41"/>
      <c r="J178" s="41"/>
      <c r="K178" s="40"/>
      <c r="L178" s="42"/>
      <c r="M178" s="40"/>
    </row>
    <row r="179" spans="2:13" x14ac:dyDescent="0.3">
      <c r="B179" s="43" t="str">
        <f>'PRESUPUESTO OFICIAL (Entidad)'!B65</f>
        <v>A10,1</v>
      </c>
      <c r="C179" s="48" t="str">
        <f>'PRESUPUESTO OFICIAL (Entidad)'!C65</f>
        <v>Alistado de piso en mortero e= 0,05m.</v>
      </c>
      <c r="D179" s="43" t="str">
        <f>'PRESUPUESTO OFICIAL (Entidad)'!D65</f>
        <v>M2</v>
      </c>
      <c r="E179" s="44"/>
      <c r="F179" s="44"/>
      <c r="G179" s="44"/>
      <c r="H179" s="44"/>
      <c r="I179" s="45"/>
      <c r="J179" s="45"/>
      <c r="K179" s="55">
        <f>ROUND(SUM(K180:K181),2)</f>
        <v>52.44</v>
      </c>
      <c r="L179" s="46"/>
      <c r="M179" s="44"/>
    </row>
    <row r="180" spans="2:13" x14ac:dyDescent="0.3">
      <c r="B180" s="27"/>
      <c r="C180" s="61" t="s">
        <v>300</v>
      </c>
      <c r="D180" s="27" t="s">
        <v>8</v>
      </c>
      <c r="E180" s="514">
        <v>5.7</v>
      </c>
      <c r="F180" s="514">
        <v>2.2000000000000002</v>
      </c>
      <c r="G180" s="514"/>
      <c r="H180" s="514"/>
      <c r="I180" s="513"/>
      <c r="J180" s="513"/>
      <c r="K180" s="514">
        <f>E180*F180</f>
        <v>12.540000000000001</v>
      </c>
      <c r="L180" s="516"/>
      <c r="M180" s="514"/>
    </row>
    <row r="181" spans="2:13" x14ac:dyDescent="0.3">
      <c r="B181" s="27"/>
      <c r="C181" s="61" t="s">
        <v>332</v>
      </c>
      <c r="D181" s="27" t="s">
        <v>8</v>
      </c>
      <c r="E181" s="514">
        <v>5.7</v>
      </c>
      <c r="F181" s="514">
        <v>7</v>
      </c>
      <c r="G181" s="514"/>
      <c r="H181" s="514"/>
      <c r="I181" s="513"/>
      <c r="J181" s="513"/>
      <c r="K181" s="514">
        <f>E181*F181</f>
        <v>39.9</v>
      </c>
      <c r="L181" s="516"/>
      <c r="M181" s="514"/>
    </row>
    <row r="182" spans="2:13" x14ac:dyDescent="0.3">
      <c r="B182" s="43" t="str">
        <f>'PRESUPUESTO OFICIAL (Entidad)'!B66</f>
        <v>A10,2</v>
      </c>
      <c r="C182" s="48" t="str">
        <f>'PRESUPUESTO OFICIAL (Entidad)'!C66</f>
        <v>Construccion de Placa en concreto de 3000 PSI e=0,10 m.</v>
      </c>
      <c r="D182" s="43" t="str">
        <f>'PRESUPUESTO OFICIAL (Entidad)'!D66</f>
        <v>M2</v>
      </c>
      <c r="E182" s="44"/>
      <c r="F182" s="44"/>
      <c r="G182" s="44"/>
      <c r="H182" s="44"/>
      <c r="I182" s="45"/>
      <c r="J182" s="45"/>
      <c r="K182" s="55">
        <f>ROUND(SUM(K183:K184),2)</f>
        <v>52.44</v>
      </c>
      <c r="L182" s="46"/>
      <c r="M182" s="44"/>
    </row>
    <row r="183" spans="2:13" x14ac:dyDescent="0.3">
      <c r="B183" s="12"/>
      <c r="C183" s="61" t="s">
        <v>300</v>
      </c>
      <c r="D183" s="27" t="s">
        <v>8</v>
      </c>
      <c r="E183" s="514">
        <v>5.7</v>
      </c>
      <c r="F183" s="514">
        <v>2.2000000000000002</v>
      </c>
      <c r="G183" s="514"/>
      <c r="H183" s="514"/>
      <c r="I183" s="513"/>
      <c r="J183" s="513"/>
      <c r="K183" s="514">
        <f>E183*F183</f>
        <v>12.540000000000001</v>
      </c>
      <c r="L183" s="516"/>
      <c r="M183" s="514"/>
    </row>
    <row r="184" spans="2:13" x14ac:dyDescent="0.3">
      <c r="B184" s="12"/>
      <c r="C184" s="61" t="s">
        <v>332</v>
      </c>
      <c r="D184" s="27" t="s">
        <v>8</v>
      </c>
      <c r="E184" s="514">
        <v>5.7</v>
      </c>
      <c r="F184" s="514">
        <v>7</v>
      </c>
      <c r="G184" s="514"/>
      <c r="H184" s="514"/>
      <c r="I184" s="513"/>
      <c r="J184" s="513"/>
      <c r="K184" s="514">
        <f t="shared" ref="K184" si="11">E184*F184</f>
        <v>39.9</v>
      </c>
      <c r="L184" s="516"/>
      <c r="M184" s="514"/>
    </row>
    <row r="185" spans="2:13" x14ac:dyDescent="0.3">
      <c r="B185" s="43" t="str">
        <f>'PRESUPUESTO OFICIAL (Entidad)'!B67</f>
        <v>A10,3</v>
      </c>
      <c r="C185" s="48" t="str">
        <f>'PRESUPUESTO OFICIAL (Entidad)'!C67</f>
        <v>Suministrar e instalar Piso en ceramica T-5.</v>
      </c>
      <c r="D185" s="43" t="str">
        <f>'PRESUPUESTO OFICIAL (Entidad)'!D67</f>
        <v>M2</v>
      </c>
      <c r="E185" s="44"/>
      <c r="F185" s="44"/>
      <c r="G185" s="44"/>
      <c r="H185" s="44"/>
      <c r="I185" s="45"/>
      <c r="J185" s="45"/>
      <c r="K185" s="55">
        <f>ROUND(SUM(K186:K187),2)</f>
        <v>52.44</v>
      </c>
      <c r="L185" s="46"/>
      <c r="M185" s="44"/>
    </row>
    <row r="186" spans="2:13" x14ac:dyDescent="0.3">
      <c r="B186" s="27"/>
      <c r="C186" s="61" t="s">
        <v>300</v>
      </c>
      <c r="D186" s="27" t="s">
        <v>8</v>
      </c>
      <c r="E186" s="514">
        <v>5.7</v>
      </c>
      <c r="F186" s="514">
        <v>2.2000000000000002</v>
      </c>
      <c r="G186" s="514"/>
      <c r="H186" s="514"/>
      <c r="I186" s="513"/>
      <c r="J186" s="513"/>
      <c r="K186" s="514">
        <f>E186*F186</f>
        <v>12.540000000000001</v>
      </c>
      <c r="L186" s="516"/>
      <c r="M186" s="514"/>
    </row>
    <row r="187" spans="2:13" x14ac:dyDescent="0.3">
      <c r="B187" s="27"/>
      <c r="C187" s="61" t="s">
        <v>332</v>
      </c>
      <c r="D187" s="27" t="s">
        <v>8</v>
      </c>
      <c r="E187" s="514">
        <v>5.7</v>
      </c>
      <c r="F187" s="514">
        <v>7</v>
      </c>
      <c r="G187" s="514"/>
      <c r="H187" s="514"/>
      <c r="I187" s="513"/>
      <c r="J187" s="513"/>
      <c r="K187" s="514">
        <f>E187*F187</f>
        <v>39.9</v>
      </c>
      <c r="L187" s="516"/>
      <c r="M187" s="514"/>
    </row>
    <row r="188" spans="2:13" x14ac:dyDescent="0.3">
      <c r="B188" s="43" t="str">
        <f>'PRESUPUESTO OFICIAL (Entidad)'!B68</f>
        <v>A10,4</v>
      </c>
      <c r="C188" s="48" t="str">
        <f>'PRESUPUESTO OFICIAL (Entidad)'!C68</f>
        <v>Suministro e instalacion de Guardaescoba en cerámica   T-5.</v>
      </c>
      <c r="D188" s="43" t="str">
        <f>'PRESUPUESTO OFICIAL (Entidad)'!D68</f>
        <v>ML</v>
      </c>
      <c r="E188" s="44"/>
      <c r="F188" s="44"/>
      <c r="G188" s="44"/>
      <c r="H188" s="44"/>
      <c r="I188" s="45"/>
      <c r="J188" s="45"/>
      <c r="K188" s="55">
        <f>ROUND(SUM(K189),2)</f>
        <v>39.299999999999997</v>
      </c>
      <c r="L188" s="46"/>
      <c r="M188" s="44"/>
    </row>
    <row r="189" spans="2:13" x14ac:dyDescent="0.3">
      <c r="B189" s="27"/>
      <c r="C189" s="522" t="s">
        <v>333</v>
      </c>
      <c r="D189" s="27" t="s">
        <v>19</v>
      </c>
      <c r="E189" s="514">
        <v>40.299999999999997</v>
      </c>
      <c r="F189" s="514"/>
      <c r="G189" s="514"/>
      <c r="H189" s="514">
        <v>1</v>
      </c>
      <c r="I189" s="513"/>
      <c r="J189" s="513"/>
      <c r="K189" s="514">
        <f>E189-H189</f>
        <v>39.299999999999997</v>
      </c>
      <c r="L189" s="516"/>
      <c r="M189" s="514"/>
    </row>
    <row r="190" spans="2:13" x14ac:dyDescent="0.3">
      <c r="B190" s="39" t="str">
        <f>'PRESUPUESTO OFICIAL (Entidad)'!B69</f>
        <v>A11</v>
      </c>
      <c r="C190" s="47" t="str">
        <f>'PRESUPUESTO OFICIAL (Entidad)'!C69</f>
        <v>CARPINTERÍA METÁLICA</v>
      </c>
      <c r="D190" s="39"/>
      <c r="E190" s="40"/>
      <c r="F190" s="40"/>
      <c r="G190" s="40"/>
      <c r="H190" s="40"/>
      <c r="I190" s="41"/>
      <c r="J190" s="41"/>
      <c r="K190" s="40"/>
      <c r="L190" s="42"/>
      <c r="M190" s="40"/>
    </row>
    <row r="191" spans="2:13" ht="31.2" x14ac:dyDescent="0.3">
      <c r="B191" s="43" t="str">
        <f>'PRESUPUESTO OFICIAL (Entidad)'!B70</f>
        <v>A11,1</v>
      </c>
      <c r="C191" s="48" t="str">
        <f>'PRESUPUESTO OFICIAL (Entidad)'!C70</f>
        <v xml:space="preserve">Suministro e instalación ventana en lamina C.20 con vidrio 4mm Inc. anticorrosivo + pintura y todo lo necesario para su correcto funcionamiento. </v>
      </c>
      <c r="D191" s="43" t="str">
        <f>'PRESUPUESTO OFICIAL (Entidad)'!D70</f>
        <v>M2</v>
      </c>
      <c r="E191" s="44"/>
      <c r="F191" s="44"/>
      <c r="G191" s="44"/>
      <c r="H191" s="44"/>
      <c r="I191" s="45"/>
      <c r="J191" s="45"/>
      <c r="K191" s="55">
        <f>ROUND(SUM(K192:K197),2)</f>
        <v>11.51</v>
      </c>
      <c r="L191" s="46"/>
      <c r="M191" s="44"/>
    </row>
    <row r="192" spans="2:13" x14ac:dyDescent="0.3">
      <c r="B192" s="12"/>
      <c r="C192" s="522" t="s">
        <v>334</v>
      </c>
      <c r="D192" s="27" t="s">
        <v>8</v>
      </c>
      <c r="E192" s="514"/>
      <c r="F192" s="514">
        <v>4.7</v>
      </c>
      <c r="G192" s="514">
        <v>1.3</v>
      </c>
      <c r="H192" s="514"/>
      <c r="I192" s="513"/>
      <c r="J192" s="513"/>
      <c r="K192" s="514">
        <f>F192*G192</f>
        <v>6.11</v>
      </c>
      <c r="L192" s="25"/>
      <c r="M192" s="13"/>
    </row>
    <row r="193" spans="2:13" x14ac:dyDescent="0.3">
      <c r="B193" s="12"/>
      <c r="C193" s="522" t="s">
        <v>335</v>
      </c>
      <c r="D193" s="27" t="s">
        <v>8</v>
      </c>
      <c r="E193" s="514"/>
      <c r="F193" s="514">
        <v>1.2</v>
      </c>
      <c r="G193" s="514">
        <v>1</v>
      </c>
      <c r="H193" s="514"/>
      <c r="I193" s="513"/>
      <c r="J193" s="513"/>
      <c r="K193" s="514">
        <f t="shared" ref="K193:K195" si="12">F193*G193</f>
        <v>1.2</v>
      </c>
      <c r="L193" s="25"/>
      <c r="M193" s="13"/>
    </row>
    <row r="194" spans="2:13" x14ac:dyDescent="0.3">
      <c r="B194" s="12"/>
      <c r="C194" s="522" t="s">
        <v>336</v>
      </c>
      <c r="D194" s="27" t="s">
        <v>8</v>
      </c>
      <c r="E194" s="514"/>
      <c r="F194" s="514">
        <v>1.7</v>
      </c>
      <c r="G194" s="514">
        <v>1</v>
      </c>
      <c r="H194" s="514"/>
      <c r="I194" s="513"/>
      <c r="J194" s="513"/>
      <c r="K194" s="514">
        <f t="shared" si="12"/>
        <v>1.7</v>
      </c>
      <c r="L194" s="25"/>
      <c r="M194" s="13"/>
    </row>
    <row r="195" spans="2:13" x14ac:dyDescent="0.3">
      <c r="B195" s="12"/>
      <c r="C195" s="522" t="s">
        <v>337</v>
      </c>
      <c r="D195" s="27" t="s">
        <v>8</v>
      </c>
      <c r="E195" s="514"/>
      <c r="F195" s="514">
        <v>1.7</v>
      </c>
      <c r="G195" s="514">
        <v>1</v>
      </c>
      <c r="H195" s="514"/>
      <c r="I195" s="513"/>
      <c r="J195" s="513"/>
      <c r="K195" s="514">
        <f t="shared" si="12"/>
        <v>1.7</v>
      </c>
      <c r="L195" s="25"/>
      <c r="M195" s="13"/>
    </row>
    <row r="196" spans="2:13" x14ac:dyDescent="0.3">
      <c r="B196" s="12"/>
      <c r="C196" s="522" t="s">
        <v>339</v>
      </c>
      <c r="D196" s="27" t="s">
        <v>8</v>
      </c>
      <c r="E196" s="514"/>
      <c r="F196" s="514">
        <v>0.9</v>
      </c>
      <c r="G196" s="514">
        <v>0.42</v>
      </c>
      <c r="H196" s="514"/>
      <c r="I196" s="513"/>
      <c r="J196" s="513"/>
      <c r="K196" s="514">
        <f>F196*G196</f>
        <v>0.378</v>
      </c>
      <c r="L196" s="25"/>
      <c r="M196" s="13"/>
    </row>
    <row r="197" spans="2:13" x14ac:dyDescent="0.3">
      <c r="B197" s="12"/>
      <c r="C197" s="522" t="s">
        <v>1069</v>
      </c>
      <c r="D197" s="27" t="s">
        <v>8</v>
      </c>
      <c r="E197" s="514"/>
      <c r="F197" s="514">
        <v>1</v>
      </c>
      <c r="G197" s="514">
        <v>0.42</v>
      </c>
      <c r="H197" s="514"/>
      <c r="I197" s="513"/>
      <c r="J197" s="513"/>
      <c r="K197" s="514">
        <f>F197*G197</f>
        <v>0.42</v>
      </c>
      <c r="L197" s="25"/>
      <c r="M197" s="13"/>
    </row>
    <row r="198" spans="2:13" ht="31.2" x14ac:dyDescent="0.3">
      <c r="B198" s="43" t="str">
        <f>'PRESUPUESTO OFICIAL (Entidad)'!B71</f>
        <v>A11,2</v>
      </c>
      <c r="C198" s="48" t="str">
        <f>'PRESUPUESTO OFICIAL (Entidad)'!C71</f>
        <v>Suministro e instalación de Marco y puerta metálicos lamina C. R. cal. 20, de 1,00x2.00 m. Incluye anticorrosivo y pintura.</v>
      </c>
      <c r="D198" s="43" t="str">
        <f>'PRESUPUESTO OFICIAL (Entidad)'!D71</f>
        <v>UND</v>
      </c>
      <c r="E198" s="44"/>
      <c r="F198" s="44"/>
      <c r="G198" s="44"/>
      <c r="H198" s="44"/>
      <c r="I198" s="45"/>
      <c r="J198" s="45"/>
      <c r="K198" s="55">
        <f>ROUND(SUM(K199),2)</f>
        <v>1</v>
      </c>
      <c r="L198" s="46"/>
      <c r="M198" s="44"/>
    </row>
    <row r="199" spans="2:13" x14ac:dyDescent="0.3">
      <c r="B199" s="27"/>
      <c r="C199" s="522" t="s">
        <v>338</v>
      </c>
      <c r="D199" s="27" t="s">
        <v>21</v>
      </c>
      <c r="E199" s="514"/>
      <c r="F199" s="514"/>
      <c r="G199" s="514"/>
      <c r="H199" s="514">
        <v>1</v>
      </c>
      <c r="I199" s="513"/>
      <c r="J199" s="513"/>
      <c r="K199" s="514">
        <f>H199</f>
        <v>1</v>
      </c>
      <c r="L199" s="516"/>
      <c r="M199" s="514"/>
    </row>
    <row r="200" spans="2:13" ht="31.2" x14ac:dyDescent="0.3">
      <c r="B200" s="43" t="str">
        <f>'PRESUPUESTO OFICIAL (Entidad)'!B72</f>
        <v>A11,3</v>
      </c>
      <c r="C200" s="48" t="str">
        <f>'PRESUPUESTO OFICIAL (Entidad)'!C72</f>
        <v>Suministro e instalación de Canal en lámina Galvanizada C. 20. Incluye refuerzos en angulo 1" x 1/8"+ pintura.</v>
      </c>
      <c r="D200" s="43" t="str">
        <f>'PRESUPUESTO OFICIAL (Entidad)'!D72</f>
        <v>ML</v>
      </c>
      <c r="E200" s="44"/>
      <c r="F200" s="44"/>
      <c r="G200" s="44"/>
      <c r="H200" s="44"/>
      <c r="I200" s="45"/>
      <c r="J200" s="45"/>
      <c r="K200" s="55">
        <f>ROUND(SUM(K201),2)</f>
        <v>6.4</v>
      </c>
      <c r="L200" s="46"/>
      <c r="M200" s="44"/>
    </row>
    <row r="201" spans="2:13" x14ac:dyDescent="0.3">
      <c r="B201" s="27"/>
      <c r="C201" s="522" t="s">
        <v>340</v>
      </c>
      <c r="D201" s="27" t="s">
        <v>19</v>
      </c>
      <c r="E201" s="514">
        <v>6.4</v>
      </c>
      <c r="F201" s="514"/>
      <c r="G201" s="514"/>
      <c r="H201" s="514"/>
      <c r="I201" s="513"/>
      <c r="J201" s="513"/>
      <c r="K201" s="514">
        <f>E201</f>
        <v>6.4</v>
      </c>
      <c r="L201" s="516"/>
      <c r="M201" s="514"/>
    </row>
    <row r="202" spans="2:13" s="508" customFormat="1" ht="31.2" x14ac:dyDescent="0.3">
      <c r="B202" s="43" t="str">
        <f>'PRESUPUESTO OFICIAL (Entidad)'!B73</f>
        <v>A11,4</v>
      </c>
      <c r="C202" s="465" t="str">
        <f>'PRESUPUESTO OFICIAL (Entidad)'!C73</f>
        <v>Suministro e instalación de Marco y puerta metálicos lamina C. R. cal. 20, de 0,90x2.00 m. Incluye anticorrosivo y pintura.</v>
      </c>
      <c r="D202" s="43" t="str">
        <f>'PRESUPUESTO OFICIAL (Entidad)'!D73</f>
        <v>UND</v>
      </c>
      <c r="E202" s="44"/>
      <c r="F202" s="44"/>
      <c r="G202" s="44"/>
      <c r="H202" s="44"/>
      <c r="I202" s="45"/>
      <c r="J202" s="45"/>
      <c r="K202" s="55">
        <f>ROUND(SUM(K203),2)</f>
        <v>1</v>
      </c>
      <c r="L202" s="46"/>
      <c r="M202" s="44"/>
    </row>
    <row r="203" spans="2:13" x14ac:dyDescent="0.3">
      <c r="B203" s="27"/>
      <c r="C203" s="522" t="s">
        <v>338</v>
      </c>
      <c r="D203" s="27" t="s">
        <v>21</v>
      </c>
      <c r="E203" s="514"/>
      <c r="F203" s="514"/>
      <c r="G203" s="514"/>
      <c r="H203" s="514">
        <v>1</v>
      </c>
      <c r="I203" s="513"/>
      <c r="J203" s="513"/>
      <c r="K203" s="514">
        <f>H203</f>
        <v>1</v>
      </c>
      <c r="L203" s="516"/>
      <c r="M203" s="514"/>
    </row>
    <row r="204" spans="2:13" x14ac:dyDescent="0.3">
      <c r="B204" s="39" t="str">
        <f>'PRESUPUESTO OFICIAL (Entidad)'!B74</f>
        <v>A12</v>
      </c>
      <c r="C204" s="47" t="str">
        <f>'PRESUPUESTO OFICIAL (Entidad)'!C74</f>
        <v>PINTURA GENERAL Y ACABADOS</v>
      </c>
      <c r="D204" s="39"/>
      <c r="E204" s="40"/>
      <c r="F204" s="40"/>
      <c r="G204" s="40"/>
      <c r="H204" s="40"/>
      <c r="I204" s="41"/>
      <c r="J204" s="41"/>
      <c r="K204" s="40"/>
      <c r="L204" s="42"/>
      <c r="M204" s="40"/>
    </row>
    <row r="205" spans="2:13" ht="31.2" x14ac:dyDescent="0.3">
      <c r="B205" s="43" t="str">
        <f>'PRESUPUESTO OFICIAL (Entidad)'!B75</f>
        <v>A12,1</v>
      </c>
      <c r="C205" s="48" t="str">
        <f>'PRESUPUESTO OFICIAL (Entidad)'!C75</f>
        <v>Suministro y aplicación de Estuco y pintura vinilo tipo1 tres manos sobre muros.</v>
      </c>
      <c r="D205" s="43" t="str">
        <f>'PRESUPUESTO OFICIAL (Entidad)'!D75</f>
        <v>M2</v>
      </c>
      <c r="E205" s="44"/>
      <c r="F205" s="44"/>
      <c r="G205" s="44"/>
      <c r="H205" s="44"/>
      <c r="I205" s="45"/>
      <c r="J205" s="45"/>
      <c r="K205" s="55">
        <f>ROUND(SUM(K206:K226),2)</f>
        <v>121.51</v>
      </c>
      <c r="L205" s="46"/>
      <c r="M205" s="44"/>
    </row>
    <row r="206" spans="2:13" x14ac:dyDescent="0.3">
      <c r="B206" s="12"/>
      <c r="C206" s="61" t="s">
        <v>292</v>
      </c>
      <c r="D206" s="27" t="s">
        <v>8</v>
      </c>
      <c r="E206" s="58">
        <v>4.7</v>
      </c>
      <c r="F206" s="13"/>
      <c r="G206" s="58">
        <v>2.42</v>
      </c>
      <c r="H206" s="58">
        <v>1</v>
      </c>
      <c r="I206" s="27">
        <f>4.7*1.45</f>
        <v>6.8150000000000004</v>
      </c>
      <c r="J206" s="513"/>
      <c r="K206" s="514">
        <f>E206*G206*H206-I206</f>
        <v>4.5590000000000002</v>
      </c>
      <c r="L206" s="25"/>
      <c r="M206" s="13"/>
    </row>
    <row r="207" spans="2:13" x14ac:dyDescent="0.3">
      <c r="B207" s="12"/>
      <c r="C207" s="61" t="s">
        <v>293</v>
      </c>
      <c r="D207" s="27" t="s">
        <v>8</v>
      </c>
      <c r="E207" s="58">
        <f>0.55+1+0.3</f>
        <v>1.85</v>
      </c>
      <c r="F207" s="13"/>
      <c r="G207" s="58">
        <v>2.42</v>
      </c>
      <c r="H207" s="58">
        <v>1</v>
      </c>
      <c r="I207" s="58"/>
      <c r="J207" s="513"/>
      <c r="K207" s="514">
        <f t="shared" ref="K207:K209" si="13">E207*G207*H207-I207</f>
        <v>4.4770000000000003</v>
      </c>
      <c r="L207" s="25"/>
      <c r="M207" s="13"/>
    </row>
    <row r="208" spans="2:13" x14ac:dyDescent="0.3">
      <c r="B208" s="12"/>
      <c r="C208" s="61" t="s">
        <v>294</v>
      </c>
      <c r="D208" s="27" t="s">
        <v>8</v>
      </c>
      <c r="E208" s="58">
        <v>2.0499999999999998</v>
      </c>
      <c r="F208" s="13"/>
      <c r="G208" s="58">
        <v>2.42</v>
      </c>
      <c r="H208" s="58">
        <v>1</v>
      </c>
      <c r="I208" s="58">
        <f>1.2*1</f>
        <v>1.2</v>
      </c>
      <c r="J208" s="513"/>
      <c r="K208" s="514">
        <f t="shared" si="13"/>
        <v>3.7609999999999992</v>
      </c>
      <c r="L208" s="25"/>
      <c r="M208" s="13"/>
    </row>
    <row r="209" spans="2:13" x14ac:dyDescent="0.3">
      <c r="B209" s="12"/>
      <c r="C209" s="61" t="s">
        <v>1049</v>
      </c>
      <c r="D209" s="27" t="s">
        <v>8</v>
      </c>
      <c r="E209" s="514">
        <f>0.3+0.65+0.5+1.75+0.2+0.1+0.1+0.4+1.7+0.5</f>
        <v>6.2000000000000011</v>
      </c>
      <c r="F209" s="13"/>
      <c r="G209" s="58">
        <v>2.42</v>
      </c>
      <c r="H209" s="58">
        <v>1</v>
      </c>
      <c r="I209" s="58">
        <f>1.7+1.7</f>
        <v>3.4</v>
      </c>
      <c r="J209" s="513"/>
      <c r="K209" s="514">
        <f t="shared" si="13"/>
        <v>11.604000000000001</v>
      </c>
      <c r="L209" s="25"/>
      <c r="M209" s="13"/>
    </row>
    <row r="210" spans="2:13" x14ac:dyDescent="0.3">
      <c r="B210" s="12"/>
      <c r="C210" s="61" t="s">
        <v>327</v>
      </c>
      <c r="D210" s="27" t="s">
        <v>8</v>
      </c>
      <c r="E210" s="58">
        <v>5.2</v>
      </c>
      <c r="F210" s="13"/>
      <c r="G210" s="58">
        <v>2.42</v>
      </c>
      <c r="H210" s="58">
        <v>1</v>
      </c>
      <c r="I210" s="58">
        <v>2.44</v>
      </c>
      <c r="J210" s="513"/>
      <c r="K210" s="514">
        <f>E210*G210*H210-I210</f>
        <v>10.144</v>
      </c>
      <c r="L210" s="25"/>
      <c r="M210" s="13"/>
    </row>
    <row r="211" spans="2:13" x14ac:dyDescent="0.3">
      <c r="B211" s="12"/>
      <c r="C211" s="61" t="s">
        <v>295</v>
      </c>
      <c r="D211" s="27" t="s">
        <v>8</v>
      </c>
      <c r="E211" s="58">
        <v>1.8</v>
      </c>
      <c r="F211" s="13"/>
      <c r="G211" s="58">
        <v>2.42</v>
      </c>
      <c r="H211" s="58">
        <v>2</v>
      </c>
      <c r="I211" s="58"/>
      <c r="J211" s="513"/>
      <c r="K211" s="514">
        <f t="shared" ref="K211:K212" si="14">E211*G211*H211</f>
        <v>8.7119999999999997</v>
      </c>
      <c r="L211" s="25"/>
      <c r="M211" s="13"/>
    </row>
    <row r="212" spans="2:13" x14ac:dyDescent="0.3">
      <c r="B212" s="12"/>
      <c r="C212" s="61" t="s">
        <v>296</v>
      </c>
      <c r="D212" s="27" t="s">
        <v>8</v>
      </c>
      <c r="E212" s="58">
        <v>3.3</v>
      </c>
      <c r="F212" s="13"/>
      <c r="G212" s="58">
        <v>0.8</v>
      </c>
      <c r="H212" s="58">
        <v>2</v>
      </c>
      <c r="I212" s="58"/>
      <c r="J212" s="513"/>
      <c r="K212" s="514">
        <f t="shared" si="14"/>
        <v>5.28</v>
      </c>
      <c r="L212" s="25"/>
      <c r="M212" s="13"/>
    </row>
    <row r="213" spans="2:13" x14ac:dyDescent="0.3">
      <c r="B213" s="12"/>
      <c r="C213" s="61" t="s">
        <v>297</v>
      </c>
      <c r="D213" s="27" t="s">
        <v>8</v>
      </c>
      <c r="E213" s="58">
        <v>4.7</v>
      </c>
      <c r="F213" s="13"/>
      <c r="G213" s="58">
        <v>2.42</v>
      </c>
      <c r="H213" s="58">
        <v>1</v>
      </c>
      <c r="I213" s="27"/>
      <c r="J213" s="513"/>
      <c r="K213" s="514">
        <f>E213*G213*H213-I213</f>
        <v>11.374000000000001</v>
      </c>
      <c r="L213" s="25"/>
      <c r="M213" s="13"/>
    </row>
    <row r="214" spans="2:13" x14ac:dyDescent="0.3">
      <c r="B214" s="12"/>
      <c r="C214" s="61" t="s">
        <v>298</v>
      </c>
      <c r="D214" s="27" t="s">
        <v>8</v>
      </c>
      <c r="E214" s="58">
        <v>4.05</v>
      </c>
      <c r="F214" s="13"/>
      <c r="G214" s="58">
        <v>2.42</v>
      </c>
      <c r="H214" s="58">
        <v>1</v>
      </c>
      <c r="I214" s="58"/>
      <c r="J214" s="513"/>
      <c r="K214" s="514">
        <f>E214*G214*H214</f>
        <v>9.8010000000000002</v>
      </c>
      <c r="L214" s="25"/>
      <c r="M214" s="13"/>
    </row>
    <row r="215" spans="2:13" x14ac:dyDescent="0.3">
      <c r="B215" s="12"/>
      <c r="C215" s="61" t="s">
        <v>1062</v>
      </c>
      <c r="D215" s="27" t="s">
        <v>8</v>
      </c>
      <c r="E215" s="514">
        <v>6.2</v>
      </c>
      <c r="F215" s="13"/>
      <c r="G215" s="58">
        <v>1</v>
      </c>
      <c r="H215" s="58">
        <v>1</v>
      </c>
      <c r="I215" s="58"/>
      <c r="J215" s="513"/>
      <c r="K215" s="514">
        <f t="shared" ref="K215:K216" si="15">E215*G215*H215</f>
        <v>6.2</v>
      </c>
      <c r="L215" s="25"/>
      <c r="M215" s="13"/>
    </row>
    <row r="216" spans="2:13" x14ac:dyDescent="0.3">
      <c r="B216" s="12"/>
      <c r="C216" s="61" t="s">
        <v>1052</v>
      </c>
      <c r="D216" s="27" t="s">
        <v>8</v>
      </c>
      <c r="E216" s="514">
        <v>5.8</v>
      </c>
      <c r="F216" s="13"/>
      <c r="G216" s="58">
        <v>0.83</v>
      </c>
      <c r="H216" s="58">
        <v>2</v>
      </c>
      <c r="I216" s="58"/>
      <c r="J216" s="513"/>
      <c r="K216" s="514">
        <f t="shared" si="15"/>
        <v>9.6280000000000001</v>
      </c>
      <c r="L216" s="25"/>
      <c r="M216" s="13"/>
    </row>
    <row r="217" spans="2:13" x14ac:dyDescent="0.3">
      <c r="B217" s="12"/>
      <c r="C217" s="61" t="s">
        <v>1058</v>
      </c>
      <c r="D217" s="27" t="s">
        <v>8</v>
      </c>
      <c r="E217" s="514">
        <v>5.18</v>
      </c>
      <c r="F217" s="13"/>
      <c r="G217" s="58">
        <v>1</v>
      </c>
      <c r="H217" s="58">
        <v>1</v>
      </c>
      <c r="I217" s="58">
        <v>2</v>
      </c>
      <c r="J217" s="513"/>
      <c r="K217" s="514">
        <f>E217*G217*H217*I217</f>
        <v>10.36</v>
      </c>
      <c r="L217" s="25"/>
      <c r="M217" s="13"/>
    </row>
    <row r="218" spans="2:13" x14ac:dyDescent="0.3">
      <c r="B218" s="12"/>
      <c r="C218" s="61" t="s">
        <v>342</v>
      </c>
      <c r="D218" s="27" t="s">
        <v>8</v>
      </c>
      <c r="E218" s="58">
        <f>0.3+0.3+0.3+0.3+0.6+0.6</f>
        <v>2.4</v>
      </c>
      <c r="F218" s="13"/>
      <c r="G218" s="58">
        <v>2.44</v>
      </c>
      <c r="H218" s="13"/>
      <c r="I218" s="513"/>
      <c r="J218" s="513"/>
      <c r="K218" s="514">
        <f>E218*G218</f>
        <v>5.8559999999999999</v>
      </c>
      <c r="L218" s="25"/>
      <c r="M218" s="13"/>
    </row>
    <row r="219" spans="2:13" x14ac:dyDescent="0.3">
      <c r="B219" s="12"/>
      <c r="C219" s="61" t="s">
        <v>343</v>
      </c>
      <c r="D219" s="27" t="s">
        <v>8</v>
      </c>
      <c r="E219" s="58">
        <f>0.3+0.3+0.3+0.3+0.6+0.6</f>
        <v>2.4</v>
      </c>
      <c r="F219" s="13"/>
      <c r="G219" s="58">
        <v>0.9</v>
      </c>
      <c r="H219" s="13"/>
      <c r="I219" s="513"/>
      <c r="J219" s="513"/>
      <c r="K219" s="514">
        <f t="shared" ref="K219:K226" si="16">E219*G219</f>
        <v>2.16</v>
      </c>
      <c r="L219" s="25"/>
      <c r="M219" s="13"/>
    </row>
    <row r="220" spans="2:13" x14ac:dyDescent="0.3">
      <c r="B220" s="12"/>
      <c r="C220" s="61" t="s">
        <v>344</v>
      </c>
      <c r="D220" s="27" t="s">
        <v>8</v>
      </c>
      <c r="E220" s="58">
        <v>5.4</v>
      </c>
      <c r="F220" s="13"/>
      <c r="G220" s="58">
        <v>0.45</v>
      </c>
      <c r="H220" s="13"/>
      <c r="I220" s="513"/>
      <c r="J220" s="513"/>
      <c r="K220" s="514">
        <f t="shared" si="16"/>
        <v>2.4300000000000002</v>
      </c>
      <c r="L220" s="25"/>
      <c r="M220" s="13"/>
    </row>
    <row r="221" spans="2:13" x14ac:dyDescent="0.3">
      <c r="B221" s="12"/>
      <c r="C221" s="61" t="s">
        <v>345</v>
      </c>
      <c r="D221" s="27" t="s">
        <v>8</v>
      </c>
      <c r="E221" s="58">
        <v>5.4</v>
      </c>
      <c r="F221" s="13"/>
      <c r="G221" s="58">
        <v>0.9</v>
      </c>
      <c r="H221" s="13"/>
      <c r="I221" s="513"/>
      <c r="J221" s="513"/>
      <c r="K221" s="514">
        <f t="shared" si="16"/>
        <v>4.8600000000000003</v>
      </c>
      <c r="L221" s="25"/>
      <c r="M221" s="13"/>
    </row>
    <row r="222" spans="2:13" x14ac:dyDescent="0.3">
      <c r="B222" s="12"/>
      <c r="C222" s="61" t="s">
        <v>346</v>
      </c>
      <c r="D222" s="27" t="s">
        <v>8</v>
      </c>
      <c r="E222" s="58">
        <v>5.4</v>
      </c>
      <c r="F222" s="13"/>
      <c r="G222" s="58">
        <v>0.45</v>
      </c>
      <c r="H222" s="13"/>
      <c r="I222" s="513"/>
      <c r="J222" s="513"/>
      <c r="K222" s="514">
        <f t="shared" si="16"/>
        <v>2.4300000000000002</v>
      </c>
      <c r="L222" s="25"/>
      <c r="M222" s="13"/>
    </row>
    <row r="223" spans="2:13" x14ac:dyDescent="0.3">
      <c r="B223" s="12"/>
      <c r="C223" s="61" t="s">
        <v>347</v>
      </c>
      <c r="D223" s="27" t="s">
        <v>8</v>
      </c>
      <c r="E223" s="58">
        <v>4.7</v>
      </c>
      <c r="F223" s="13"/>
      <c r="G223" s="58">
        <v>0.45</v>
      </c>
      <c r="H223" s="13"/>
      <c r="I223" s="513"/>
      <c r="J223" s="513"/>
      <c r="K223" s="514">
        <f t="shared" si="16"/>
        <v>2.1150000000000002</v>
      </c>
      <c r="L223" s="25"/>
      <c r="M223" s="13"/>
    </row>
    <row r="224" spans="2:13" x14ac:dyDescent="0.3">
      <c r="B224" s="12"/>
      <c r="C224" s="61" t="s">
        <v>348</v>
      </c>
      <c r="D224" s="27" t="s">
        <v>8</v>
      </c>
      <c r="E224" s="58">
        <v>4.05</v>
      </c>
      <c r="F224" s="13"/>
      <c r="G224" s="58">
        <v>0.45</v>
      </c>
      <c r="H224" s="13"/>
      <c r="I224" s="513"/>
      <c r="J224" s="513"/>
      <c r="K224" s="514">
        <f t="shared" si="16"/>
        <v>1.8225</v>
      </c>
      <c r="L224" s="25"/>
      <c r="M224" s="13"/>
    </row>
    <row r="225" spans="2:13" x14ac:dyDescent="0.3">
      <c r="B225" s="12"/>
      <c r="C225" s="61" t="s">
        <v>349</v>
      </c>
      <c r="D225" s="27" t="s">
        <v>8</v>
      </c>
      <c r="E225" s="58">
        <v>4.7</v>
      </c>
      <c r="F225" s="13"/>
      <c r="G225" s="58">
        <v>0.45</v>
      </c>
      <c r="H225" s="13"/>
      <c r="I225" s="513"/>
      <c r="J225" s="513"/>
      <c r="K225" s="514">
        <f t="shared" si="16"/>
        <v>2.1150000000000002</v>
      </c>
      <c r="L225" s="25"/>
      <c r="M225" s="13"/>
    </row>
    <row r="226" spans="2:13" x14ac:dyDescent="0.3">
      <c r="B226" s="12"/>
      <c r="C226" s="61" t="s">
        <v>350</v>
      </c>
      <c r="D226" s="27" t="s">
        <v>8</v>
      </c>
      <c r="E226" s="58">
        <v>4.05</v>
      </c>
      <c r="F226" s="13"/>
      <c r="G226" s="58">
        <v>0.45</v>
      </c>
      <c r="H226" s="13"/>
      <c r="I226" s="513"/>
      <c r="J226" s="513"/>
      <c r="K226" s="514">
        <f t="shared" si="16"/>
        <v>1.8225</v>
      </c>
      <c r="L226" s="25"/>
      <c r="M226" s="13"/>
    </row>
    <row r="227" spans="2:13" x14ac:dyDescent="0.3">
      <c r="B227" s="43" t="str">
        <f>'PRESUPUESTO OFICIAL (Entidad)'!B76</f>
        <v>A12,2</v>
      </c>
      <c r="C227" s="48" t="str">
        <f>'PRESUPUESTO OFICIAL (Entidad)'!C76</f>
        <v>Suministrar y aplicar Esgrafiado en Graniplast.</v>
      </c>
      <c r="D227" s="43" t="str">
        <f>'PRESUPUESTO OFICIAL (Entidad)'!D76</f>
        <v>M2</v>
      </c>
      <c r="E227" s="44"/>
      <c r="F227" s="44"/>
      <c r="G227" s="44"/>
      <c r="H227" s="44"/>
      <c r="I227" s="45"/>
      <c r="J227" s="45"/>
      <c r="K227" s="55">
        <f>ROUND(SUM(K228:K237),2)</f>
        <v>57.86</v>
      </c>
      <c r="L227" s="46"/>
      <c r="M227" s="44"/>
    </row>
    <row r="228" spans="2:13" x14ac:dyDescent="0.3">
      <c r="B228" s="12"/>
      <c r="C228" s="61" t="s">
        <v>292</v>
      </c>
      <c r="D228" s="27" t="s">
        <v>8</v>
      </c>
      <c r="E228" s="58">
        <v>4.7</v>
      </c>
      <c r="F228" s="13"/>
      <c r="G228" s="58">
        <v>2.42</v>
      </c>
      <c r="H228" s="58">
        <v>1</v>
      </c>
      <c r="I228" s="27">
        <f>4.7*1.45</f>
        <v>6.8150000000000004</v>
      </c>
      <c r="J228" s="513"/>
      <c r="K228" s="514">
        <f>E228*G228*H228-I228</f>
        <v>4.5590000000000002</v>
      </c>
      <c r="L228" s="25"/>
      <c r="M228" s="13"/>
    </row>
    <row r="229" spans="2:13" x14ac:dyDescent="0.3">
      <c r="B229" s="12"/>
      <c r="C229" s="61" t="s">
        <v>293</v>
      </c>
      <c r="D229" s="27" t="s">
        <v>8</v>
      </c>
      <c r="E229" s="58">
        <f>0.55+1+0.3</f>
        <v>1.85</v>
      </c>
      <c r="F229" s="13"/>
      <c r="G229" s="58">
        <v>2.42</v>
      </c>
      <c r="H229" s="58">
        <v>1</v>
      </c>
      <c r="I229" s="58"/>
      <c r="J229" s="513"/>
      <c r="K229" s="514">
        <f t="shared" ref="K229:K231" si="17">E229*G229*H229-I229</f>
        <v>4.4770000000000003</v>
      </c>
      <c r="L229" s="25"/>
      <c r="M229" s="13"/>
    </row>
    <row r="230" spans="2:13" x14ac:dyDescent="0.3">
      <c r="B230" s="12"/>
      <c r="C230" s="61" t="s">
        <v>294</v>
      </c>
      <c r="D230" s="27" t="s">
        <v>8</v>
      </c>
      <c r="E230" s="58">
        <v>2.0499999999999998</v>
      </c>
      <c r="F230" s="13"/>
      <c r="G230" s="58">
        <v>2.42</v>
      </c>
      <c r="H230" s="58">
        <v>1</v>
      </c>
      <c r="I230" s="58">
        <f>1.2*1</f>
        <v>1.2</v>
      </c>
      <c r="J230" s="513"/>
      <c r="K230" s="514">
        <f t="shared" si="17"/>
        <v>3.7609999999999992</v>
      </c>
      <c r="L230" s="25"/>
      <c r="M230" s="13"/>
    </row>
    <row r="231" spans="2:13" x14ac:dyDescent="0.3">
      <c r="B231" s="12"/>
      <c r="C231" s="61" t="s">
        <v>1049</v>
      </c>
      <c r="D231" s="27" t="s">
        <v>8</v>
      </c>
      <c r="E231" s="514">
        <f>0.3+0.65+0.5+1.75+0.2+0.1+0.1+0.4+1.7+0.5</f>
        <v>6.2000000000000011</v>
      </c>
      <c r="F231" s="13"/>
      <c r="G231" s="58">
        <v>2.42</v>
      </c>
      <c r="H231" s="58">
        <v>1</v>
      </c>
      <c r="I231" s="58">
        <f>1.7+1.7</f>
        <v>3.4</v>
      </c>
      <c r="J231" s="513"/>
      <c r="K231" s="514">
        <f t="shared" si="17"/>
        <v>11.604000000000001</v>
      </c>
      <c r="L231" s="25"/>
      <c r="M231" s="13"/>
    </row>
    <row r="232" spans="2:13" x14ac:dyDescent="0.3">
      <c r="B232" s="12"/>
      <c r="C232" s="61" t="s">
        <v>327</v>
      </c>
      <c r="D232" s="27" t="s">
        <v>8</v>
      </c>
      <c r="E232" s="58">
        <v>5.2</v>
      </c>
      <c r="F232" s="13"/>
      <c r="G232" s="58">
        <v>2.42</v>
      </c>
      <c r="H232" s="58">
        <v>1</v>
      </c>
      <c r="I232" s="58">
        <v>2.44</v>
      </c>
      <c r="J232" s="513"/>
      <c r="K232" s="514">
        <f>E232*G232*H232-I232</f>
        <v>10.144</v>
      </c>
      <c r="L232" s="25"/>
      <c r="M232" s="13"/>
    </row>
    <row r="233" spans="2:13" x14ac:dyDescent="0.3">
      <c r="B233" s="12"/>
      <c r="C233" s="61" t="s">
        <v>1062</v>
      </c>
      <c r="D233" s="27" t="s">
        <v>8</v>
      </c>
      <c r="E233" s="514">
        <v>6.2</v>
      </c>
      <c r="F233" s="13"/>
      <c r="G233" s="58">
        <v>1</v>
      </c>
      <c r="H233" s="58">
        <v>1</v>
      </c>
      <c r="I233" s="58"/>
      <c r="J233" s="513"/>
      <c r="K233" s="514">
        <f t="shared" ref="K233" si="18">E233*G233*H233</f>
        <v>6.2</v>
      </c>
      <c r="L233" s="25"/>
      <c r="M233" s="13"/>
    </row>
    <row r="234" spans="2:13" x14ac:dyDescent="0.3">
      <c r="B234" s="12"/>
      <c r="C234" s="61" t="s">
        <v>1058</v>
      </c>
      <c r="D234" s="27" t="s">
        <v>8</v>
      </c>
      <c r="E234" s="514">
        <v>5.18</v>
      </c>
      <c r="F234" s="13"/>
      <c r="G234" s="58">
        <v>1</v>
      </c>
      <c r="H234" s="58">
        <v>1</v>
      </c>
      <c r="I234" s="58">
        <v>1</v>
      </c>
      <c r="J234" s="513"/>
      <c r="K234" s="514">
        <f>E234*G234*H234*I234</f>
        <v>5.18</v>
      </c>
      <c r="L234" s="25"/>
      <c r="M234" s="13"/>
    </row>
    <row r="235" spans="2:13" x14ac:dyDescent="0.3">
      <c r="B235" s="12"/>
      <c r="C235" s="61" t="s">
        <v>1072</v>
      </c>
      <c r="D235" s="27" t="s">
        <v>8</v>
      </c>
      <c r="E235" s="58">
        <f>0.3*5</f>
        <v>1.5</v>
      </c>
      <c r="F235" s="13"/>
      <c r="G235" s="58">
        <v>2.44</v>
      </c>
      <c r="H235" s="58"/>
      <c r="I235" s="58"/>
      <c r="J235" s="513"/>
      <c r="K235" s="514">
        <f>E235*G235</f>
        <v>3.66</v>
      </c>
      <c r="L235" s="25"/>
      <c r="M235" s="13"/>
    </row>
    <row r="236" spans="2:13" x14ac:dyDescent="0.3">
      <c r="B236" s="12"/>
      <c r="C236" s="61" t="s">
        <v>312</v>
      </c>
      <c r="D236" s="27" t="s">
        <v>8</v>
      </c>
      <c r="E236" s="58">
        <f>0.2+0.2+0.15</f>
        <v>0.55000000000000004</v>
      </c>
      <c r="F236" s="13"/>
      <c r="G236" s="58">
        <v>2.44</v>
      </c>
      <c r="H236" s="58"/>
      <c r="I236" s="58"/>
      <c r="J236" s="513"/>
      <c r="K236" s="514">
        <f>E236*G236</f>
        <v>1.3420000000000001</v>
      </c>
      <c r="L236" s="25"/>
      <c r="M236" s="13"/>
    </row>
    <row r="237" spans="2:13" x14ac:dyDescent="0.3">
      <c r="B237" s="12"/>
      <c r="C237" s="61" t="s">
        <v>1073</v>
      </c>
      <c r="D237" s="27" t="s">
        <v>8</v>
      </c>
      <c r="E237" s="58">
        <f>16.35+6+0.7+0.07</f>
        <v>23.12</v>
      </c>
      <c r="F237" s="13"/>
      <c r="G237" s="58">
        <v>0.3</v>
      </c>
      <c r="H237" s="58"/>
      <c r="I237" s="58"/>
      <c r="J237" s="513"/>
      <c r="K237" s="514">
        <f t="shared" ref="K237" si="19">E237*G237</f>
        <v>6.9359999999999999</v>
      </c>
      <c r="L237" s="25"/>
      <c r="M237" s="13"/>
    </row>
    <row r="238" spans="2:13" x14ac:dyDescent="0.3">
      <c r="B238" s="39" t="str">
        <f>'PRESUPUESTO OFICIAL (Entidad)'!B77</f>
        <v>A13</v>
      </c>
      <c r="C238" s="47" t="str">
        <f>'PRESUPUESTO OFICIAL (Entidad)'!C77</f>
        <v>EXTERIORES Y OBRAS COMPLEMENTARIAS</v>
      </c>
      <c r="D238" s="39"/>
      <c r="E238" s="40"/>
      <c r="F238" s="40"/>
      <c r="G238" s="40"/>
      <c r="H238" s="40"/>
      <c r="I238" s="41"/>
      <c r="J238" s="41"/>
      <c r="K238" s="40"/>
      <c r="L238" s="42"/>
      <c r="M238" s="40"/>
    </row>
    <row r="239" spans="2:13" x14ac:dyDescent="0.3">
      <c r="B239" s="43" t="str">
        <f>'PRESUPUESTO OFICIAL (Entidad)'!B77</f>
        <v>A13</v>
      </c>
      <c r="C239" s="48" t="str">
        <f>'PRESUPUESTO OFICIAL (Entidad)'!C78</f>
        <v>Sardinel en concreto  2500 psi.</v>
      </c>
      <c r="D239" s="515" t="str">
        <f>'PRESUPUESTO OFICIAL (Entidad)'!D78</f>
        <v>ML</v>
      </c>
      <c r="E239" s="44"/>
      <c r="F239" s="44"/>
      <c r="G239" s="44"/>
      <c r="H239" s="44"/>
      <c r="I239" s="45"/>
      <c r="J239" s="45"/>
      <c r="K239" s="55">
        <f>ROUND(SUM(K240),2)</f>
        <v>6</v>
      </c>
      <c r="L239" s="46"/>
      <c r="M239" s="44"/>
    </row>
    <row r="240" spans="2:13" x14ac:dyDescent="0.3">
      <c r="B240" s="12"/>
      <c r="C240" s="61" t="s">
        <v>282</v>
      </c>
      <c r="D240" s="27" t="s">
        <v>19</v>
      </c>
      <c r="E240" s="514">
        <v>6</v>
      </c>
      <c r="F240" s="13"/>
      <c r="G240" s="13"/>
      <c r="H240" s="13"/>
      <c r="I240" s="513"/>
      <c r="J240" s="513"/>
      <c r="K240" s="514">
        <f>E240</f>
        <v>6</v>
      </c>
      <c r="L240" s="25"/>
      <c r="M240" s="13"/>
    </row>
    <row r="241" spans="2:13" x14ac:dyDescent="0.3">
      <c r="B241" s="43" t="str">
        <f>'PRESUPUESTO OFICIAL (Entidad)'!B79</f>
        <v>A13,2</v>
      </c>
      <c r="C241" s="48" t="str">
        <f>'PRESUPUESTO OFICIAL (Entidad)'!C79</f>
        <v>Cuneta A.LL. en concreto de 3.000 PSI Tipo U.</v>
      </c>
      <c r="D241" s="43" t="str">
        <f>'PRESUPUESTO OFICIAL (Entidad)'!D79</f>
        <v>ML</v>
      </c>
      <c r="E241" s="44"/>
      <c r="F241" s="44"/>
      <c r="G241" s="44"/>
      <c r="H241" s="44"/>
      <c r="I241" s="45"/>
      <c r="J241" s="45"/>
      <c r="K241" s="55">
        <f>ROUND(SUM(K242),2)</f>
        <v>6</v>
      </c>
      <c r="L241" s="46"/>
      <c r="M241" s="44"/>
    </row>
    <row r="242" spans="2:13" x14ac:dyDescent="0.3">
      <c r="B242" s="12"/>
      <c r="C242" s="61" t="s">
        <v>282</v>
      </c>
      <c r="D242" s="27" t="s">
        <v>19</v>
      </c>
      <c r="E242" s="514">
        <v>6</v>
      </c>
      <c r="F242" s="13"/>
      <c r="G242" s="13"/>
      <c r="H242" s="13"/>
      <c r="I242" s="513"/>
      <c r="J242" s="513"/>
      <c r="K242" s="514">
        <f>E242</f>
        <v>6</v>
      </c>
      <c r="L242" s="25"/>
      <c r="M242" s="13"/>
    </row>
    <row r="243" spans="2:13" ht="31.2" x14ac:dyDescent="0.3">
      <c r="B243" s="43" t="str">
        <f>'PRESUPUESTO OFICIAL (Entidad)'!B80</f>
        <v>A13,3</v>
      </c>
      <c r="C243" s="48" t="str">
        <f>'PRESUPUESTO OFICIAL (Entidad)'!C80</f>
        <v>Placa de piso para exteriores en concreto 2500 P.S.I., barrido y dilatado e=0.10 m.</v>
      </c>
      <c r="D243" s="43" t="str">
        <f>'PRESUPUESTO OFICIAL (Entidad)'!D80</f>
        <v>M2</v>
      </c>
      <c r="E243" s="44"/>
      <c r="F243" s="44"/>
      <c r="G243" s="44"/>
      <c r="H243" s="44"/>
      <c r="I243" s="45"/>
      <c r="J243" s="45"/>
      <c r="K243" s="55">
        <f>ROUND(SUM(K244),2)</f>
        <v>6</v>
      </c>
      <c r="L243" s="46"/>
      <c r="M243" s="44"/>
    </row>
    <row r="244" spans="2:13" x14ac:dyDescent="0.3">
      <c r="B244" s="12"/>
      <c r="C244" s="61" t="s">
        <v>341</v>
      </c>
      <c r="D244" s="27" t="s">
        <v>8</v>
      </c>
      <c r="E244" s="514">
        <v>6</v>
      </c>
      <c r="F244" s="13"/>
      <c r="G244" s="13"/>
      <c r="H244" s="13"/>
      <c r="I244" s="513"/>
      <c r="J244" s="513"/>
      <c r="K244" s="514">
        <f>E244</f>
        <v>6</v>
      </c>
      <c r="L244" s="25"/>
      <c r="M244" s="13"/>
    </row>
    <row r="245" spans="2:13" x14ac:dyDescent="0.3">
      <c r="B245" s="39" t="str">
        <f>'PRESUPUESTO OFICIAL (Entidad)'!B81</f>
        <v>A14</v>
      </c>
      <c r="C245" s="329" t="str">
        <f>'PRESUPUESTO OFICIAL (Entidad)'!C81</f>
        <v>LIMPIEZA GENERAL</v>
      </c>
      <c r="D245" s="102"/>
      <c r="E245" s="100"/>
      <c r="F245" s="100"/>
      <c r="G245" s="100"/>
      <c r="H245" s="100"/>
      <c r="I245" s="101"/>
      <c r="J245" s="101"/>
      <c r="K245" s="338"/>
      <c r="L245" s="42"/>
      <c r="M245" s="40"/>
    </row>
    <row r="246" spans="2:13" s="9" customFormat="1" x14ac:dyDescent="0.3">
      <c r="B246" s="43" t="str">
        <f>'PRESUPUESTO OFICIAL (Entidad)'!B82</f>
        <v>A14,1</v>
      </c>
      <c r="C246" s="330" t="str">
        <f>'PRESUPUESTO OFICIAL (Entidad)'!C82</f>
        <v>Aseo final de obra.</v>
      </c>
      <c r="D246" s="43" t="str">
        <f>'PRESUPUESTO OFICIAL (Entidad)'!D80</f>
        <v>M2</v>
      </c>
      <c r="E246" s="44"/>
      <c r="F246" s="44"/>
      <c r="G246" s="44"/>
      <c r="H246" s="44"/>
      <c r="I246" s="324"/>
      <c r="J246" s="324"/>
      <c r="K246" s="55">
        <f>ROUND(SUM(K247),2)</f>
        <v>66</v>
      </c>
      <c r="L246" s="46"/>
      <c r="M246" s="44"/>
    </row>
    <row r="247" spans="2:13" x14ac:dyDescent="0.3">
      <c r="B247" s="12"/>
      <c r="C247" s="61" t="s">
        <v>633</v>
      </c>
      <c r="D247" s="27" t="s">
        <v>8</v>
      </c>
      <c r="E247" s="514">
        <v>11</v>
      </c>
      <c r="F247" s="514">
        <v>6</v>
      </c>
      <c r="G247" s="514"/>
      <c r="H247" s="514"/>
      <c r="I247" s="513"/>
      <c r="J247" s="513"/>
      <c r="K247" s="514">
        <f>E247*F247</f>
        <v>66</v>
      </c>
      <c r="L247" s="25"/>
      <c r="M247" s="13"/>
    </row>
    <row r="248" spans="2:13" ht="9" customHeight="1" x14ac:dyDescent="0.3">
      <c r="B248" s="838"/>
      <c r="C248" s="838"/>
      <c r="D248" s="838"/>
      <c r="E248" s="838"/>
      <c r="F248" s="838"/>
      <c r="G248" s="838"/>
      <c r="H248" s="838"/>
      <c r="I248" s="838"/>
      <c r="J248" s="838"/>
      <c r="K248" s="838"/>
      <c r="L248" s="838"/>
      <c r="M248" s="838"/>
    </row>
    <row r="249" spans="2:13" x14ac:dyDescent="0.3">
      <c r="B249" s="16" t="str">
        <f>'PRESUPUESTO OFICIAL (Entidad)'!B84</f>
        <v>B</v>
      </c>
      <c r="C249" s="839" t="str">
        <f>'PRESUPUESTO OFICIAL (Entidad)'!C84</f>
        <v xml:space="preserve">CONSTRUCCION DE APARATO SANITARIO EN LA INSTITUCIÓN EDUCATIVA NUESTRA SEÑORA DEL SOCORRO SEDE INDEPENDENCIA </v>
      </c>
      <c r="D249" s="839"/>
      <c r="E249" s="839"/>
      <c r="F249" s="839"/>
      <c r="G249" s="839"/>
      <c r="H249" s="839"/>
      <c r="I249" s="839"/>
      <c r="J249" s="839"/>
      <c r="K249" s="839"/>
      <c r="L249" s="839"/>
      <c r="M249" s="839"/>
    </row>
    <row r="250" spans="2:13" x14ac:dyDescent="0.3">
      <c r="B250" s="325" t="str">
        <f>'PRESUPUESTO OFICIAL (Entidad)'!B85</f>
        <v>B1</v>
      </c>
      <c r="C250" s="837" t="str">
        <f>'PRESUPUESTO OFICIAL (Entidad)'!C85</f>
        <v>PRELIMINARES</v>
      </c>
      <c r="D250" s="837"/>
      <c r="E250" s="837"/>
      <c r="F250" s="837"/>
      <c r="G250" s="837"/>
      <c r="H250" s="837"/>
      <c r="I250" s="837"/>
      <c r="J250" s="837"/>
      <c r="K250" s="837"/>
      <c r="L250" s="837"/>
      <c r="M250" s="837"/>
    </row>
    <row r="251" spans="2:13" x14ac:dyDescent="0.3">
      <c r="B251" s="326" t="str">
        <f>'PRESUPUESTO OFICIAL (Entidad)'!B86</f>
        <v>B1,1</v>
      </c>
      <c r="C251" s="331" t="str">
        <f>'PRESUPUESTO OFICIAL (Entidad)'!C86</f>
        <v>Localización y Replanteo manual.</v>
      </c>
      <c r="D251" s="326" t="str">
        <f>'PRESUPUESTO OFICIAL (Entidad)'!D86</f>
        <v>M2</v>
      </c>
      <c r="E251" s="326"/>
      <c r="F251" s="326"/>
      <c r="G251" s="326"/>
      <c r="H251" s="326"/>
      <c r="I251" s="332"/>
      <c r="J251" s="332"/>
      <c r="K251" s="55">
        <f>ROUND(K252,2)</f>
        <v>24.25</v>
      </c>
      <c r="L251" s="332"/>
      <c r="M251" s="332"/>
    </row>
    <row r="252" spans="2:13" x14ac:dyDescent="0.3">
      <c r="B252" s="29"/>
      <c r="C252" s="276" t="s">
        <v>7</v>
      </c>
      <c r="D252" s="29" t="s">
        <v>8</v>
      </c>
      <c r="E252" s="29">
        <v>5.33</v>
      </c>
      <c r="F252" s="29">
        <v>4.55</v>
      </c>
      <c r="G252" s="29"/>
      <c r="H252" s="29"/>
      <c r="I252" s="328"/>
      <c r="J252" s="328"/>
      <c r="K252" s="30">
        <f>E252*F252</f>
        <v>24.2515</v>
      </c>
      <c r="L252" s="328"/>
      <c r="M252" s="328"/>
    </row>
    <row r="253" spans="2:13" x14ac:dyDescent="0.3">
      <c r="B253" s="326" t="str">
        <f>'PRESUPUESTO OFICIAL (Entidad)'!B87</f>
        <v>B1,2</v>
      </c>
      <c r="C253" s="331" t="str">
        <f>'PRESUPUESTO OFICIAL (Entidad)'!C87</f>
        <v>Descapote manual  e=20cm incluye retiro.</v>
      </c>
      <c r="D253" s="326" t="str">
        <f>'PRESUPUESTO OFICIAL (Entidad)'!D87</f>
        <v>M2</v>
      </c>
      <c r="E253" s="326"/>
      <c r="F253" s="326"/>
      <c r="G253" s="326"/>
      <c r="H253" s="326"/>
      <c r="I253" s="332"/>
      <c r="J253" s="332"/>
      <c r="K253" s="55">
        <f>ROUND(K254,2)</f>
        <v>24.25</v>
      </c>
      <c r="L253" s="332"/>
      <c r="M253" s="332"/>
    </row>
    <row r="254" spans="2:13" x14ac:dyDescent="0.3">
      <c r="B254" s="29"/>
      <c r="C254" s="276" t="s">
        <v>11</v>
      </c>
      <c r="D254" s="29" t="s">
        <v>8</v>
      </c>
      <c r="E254" s="29">
        <v>5.33</v>
      </c>
      <c r="F254" s="29">
        <v>4.55</v>
      </c>
      <c r="G254" s="29"/>
      <c r="H254" s="29"/>
      <c r="I254" s="328"/>
      <c r="J254" s="328"/>
      <c r="K254" s="30">
        <f>E254*F254</f>
        <v>24.2515</v>
      </c>
      <c r="L254" s="328"/>
      <c r="M254" s="328"/>
    </row>
    <row r="255" spans="2:13" x14ac:dyDescent="0.3">
      <c r="B255" s="325" t="str">
        <f>'PRESUPUESTO OFICIAL (Entidad)'!B88</f>
        <v>B2</v>
      </c>
      <c r="C255" s="837" t="str">
        <f>'PRESUPUESTO OFICIAL (Entidad)'!C88</f>
        <v>MOVIMIENTO DE TIERRA</v>
      </c>
      <c r="D255" s="837"/>
      <c r="E255" s="837"/>
      <c r="F255" s="837"/>
      <c r="G255" s="837"/>
      <c r="H255" s="837"/>
      <c r="I255" s="837"/>
      <c r="J255" s="837"/>
      <c r="K255" s="837"/>
      <c r="L255" s="837"/>
      <c r="M255" s="837"/>
    </row>
    <row r="256" spans="2:13" x14ac:dyDescent="0.3">
      <c r="B256" s="326" t="str">
        <f>'PRESUPUESTO OFICIAL (Entidad)'!B89</f>
        <v>B2,1</v>
      </c>
      <c r="C256" s="331" t="str">
        <f>'PRESUPUESTO OFICIAL (Entidad)'!C89</f>
        <v xml:space="preserve">Excavacion manual. Incluye retiro del material. </v>
      </c>
      <c r="D256" s="326" t="str">
        <f>'PRESUPUESTO OFICIAL (Entidad)'!D89</f>
        <v>M3</v>
      </c>
      <c r="E256" s="326"/>
      <c r="F256" s="326"/>
      <c r="G256" s="326"/>
      <c r="H256" s="326"/>
      <c r="I256" s="332"/>
      <c r="J256" s="332"/>
      <c r="K256" s="55">
        <f>ROUND(SUM(K257:K259),2)</f>
        <v>0.31</v>
      </c>
      <c r="L256" s="332"/>
      <c r="M256" s="332"/>
    </row>
    <row r="257" spans="2:13" x14ac:dyDescent="0.3">
      <c r="B257" s="29"/>
      <c r="C257" s="276" t="s">
        <v>805</v>
      </c>
      <c r="D257" s="29" t="s">
        <v>9</v>
      </c>
      <c r="E257" s="29">
        <v>3.33</v>
      </c>
      <c r="F257" s="29">
        <v>0.12</v>
      </c>
      <c r="G257" s="29">
        <v>0.2</v>
      </c>
      <c r="H257" s="29">
        <v>2</v>
      </c>
      <c r="I257" s="328"/>
      <c r="J257" s="328"/>
      <c r="K257" s="30">
        <f>E257*F257*G257*H257</f>
        <v>0.15984000000000001</v>
      </c>
      <c r="L257" s="328"/>
      <c r="M257" s="328"/>
    </row>
    <row r="258" spans="2:13" x14ac:dyDescent="0.3">
      <c r="B258" s="29"/>
      <c r="C258" s="276" t="s">
        <v>806</v>
      </c>
      <c r="D258" s="29" t="s">
        <v>9</v>
      </c>
      <c r="E258" s="29">
        <v>1.86</v>
      </c>
      <c r="F258" s="29">
        <v>0.12</v>
      </c>
      <c r="G258" s="29">
        <v>0.2</v>
      </c>
      <c r="H258" s="29">
        <v>1</v>
      </c>
      <c r="I258" s="328"/>
      <c r="J258" s="328"/>
      <c r="K258" s="30">
        <f t="shared" ref="K258:K259" si="20">E258*F258*G258*H258</f>
        <v>4.4640000000000006E-2</v>
      </c>
      <c r="L258" s="328"/>
      <c r="M258" s="328"/>
    </row>
    <row r="259" spans="2:13" x14ac:dyDescent="0.3">
      <c r="B259" s="29"/>
      <c r="C259" s="276" t="s">
        <v>807</v>
      </c>
      <c r="D259" s="29" t="s">
        <v>9</v>
      </c>
      <c r="E259" s="29">
        <v>2.2799999999999998</v>
      </c>
      <c r="F259" s="29">
        <v>0.12</v>
      </c>
      <c r="G259" s="29">
        <v>0.2</v>
      </c>
      <c r="H259" s="29">
        <v>2</v>
      </c>
      <c r="I259" s="328"/>
      <c r="J259" s="328"/>
      <c r="K259" s="30">
        <f t="shared" si="20"/>
        <v>0.10943999999999998</v>
      </c>
      <c r="L259" s="328"/>
      <c r="M259" s="328"/>
    </row>
    <row r="260" spans="2:13" x14ac:dyDescent="0.3">
      <c r="B260" s="325" t="str">
        <f>'PRESUPUESTO OFICIAL (Entidad)'!B90</f>
        <v>B3</v>
      </c>
      <c r="C260" s="837" t="str">
        <f>'PRESUPUESTO OFICIAL (Entidad)'!C90</f>
        <v xml:space="preserve">CIMIENTOS </v>
      </c>
      <c r="D260" s="837"/>
      <c r="E260" s="837"/>
      <c r="F260" s="837"/>
      <c r="G260" s="837"/>
      <c r="H260" s="837"/>
      <c r="I260" s="837"/>
      <c r="J260" s="837"/>
      <c r="K260" s="837"/>
      <c r="L260" s="837"/>
      <c r="M260" s="837"/>
    </row>
    <row r="261" spans="2:13" ht="31.2" x14ac:dyDescent="0.3">
      <c r="B261" s="326" t="str">
        <f>'PRESUPUESTO OFICIAL (Entidad)'!B91</f>
        <v>B3,1</v>
      </c>
      <c r="C261" s="331" t="str">
        <f>'PRESUPUESTO OFICIAL (Entidad)'!C91</f>
        <v>Viga de cimentacion en concreto de 3000 PSI (0,12 x 0,20 mts).Incluye acero de refuerzo de 60000 PSI. (4Ø3/8" refuerzo y E=Ø1/4" c/d. 0,10 m).</v>
      </c>
      <c r="D261" s="326" t="str">
        <f>'PRESUPUESTO OFICIAL (Entidad)'!D91</f>
        <v>ML</v>
      </c>
      <c r="E261" s="326"/>
      <c r="F261" s="326"/>
      <c r="G261" s="326"/>
      <c r="H261" s="326"/>
      <c r="I261" s="332"/>
      <c r="J261" s="332"/>
      <c r="K261" s="55">
        <f>ROUND(SUM(K262:K266),2)</f>
        <v>13.08</v>
      </c>
      <c r="L261" s="332"/>
      <c r="M261" s="332"/>
    </row>
    <row r="262" spans="2:13" x14ac:dyDescent="0.3">
      <c r="B262" s="29"/>
      <c r="C262" s="276" t="s">
        <v>13</v>
      </c>
      <c r="D262" s="29" t="s">
        <v>19</v>
      </c>
      <c r="E262" s="29">
        <v>3.33</v>
      </c>
      <c r="F262" s="29"/>
      <c r="G262" s="29"/>
      <c r="H262" s="29">
        <v>1</v>
      </c>
      <c r="I262" s="328"/>
      <c r="J262" s="328"/>
      <c r="K262" s="30">
        <f>E262*H262</f>
        <v>3.33</v>
      </c>
      <c r="L262" s="328"/>
      <c r="M262" s="328"/>
    </row>
    <row r="263" spans="2:13" x14ac:dyDescent="0.3">
      <c r="B263" s="29"/>
      <c r="C263" s="276" t="s">
        <v>16</v>
      </c>
      <c r="D263" s="29" t="s">
        <v>19</v>
      </c>
      <c r="E263" s="29">
        <v>1.86</v>
      </c>
      <c r="F263" s="29"/>
      <c r="G263" s="29"/>
      <c r="H263" s="29">
        <v>1</v>
      </c>
      <c r="I263" s="328"/>
      <c r="J263" s="328"/>
      <c r="K263" s="30">
        <f t="shared" ref="K263:K266" si="21">E263*H263</f>
        <v>1.86</v>
      </c>
      <c r="L263" s="328"/>
      <c r="M263" s="328"/>
    </row>
    <row r="264" spans="2:13" x14ac:dyDescent="0.3">
      <c r="B264" s="29"/>
      <c r="C264" s="276" t="s">
        <v>17</v>
      </c>
      <c r="D264" s="29" t="s">
        <v>19</v>
      </c>
      <c r="E264" s="29">
        <v>3.33</v>
      </c>
      <c r="F264" s="29"/>
      <c r="G264" s="29"/>
      <c r="H264" s="29">
        <v>1</v>
      </c>
      <c r="I264" s="328"/>
      <c r="J264" s="328"/>
      <c r="K264" s="30">
        <f t="shared" si="21"/>
        <v>3.33</v>
      </c>
      <c r="L264" s="328"/>
      <c r="M264" s="328"/>
    </row>
    <row r="265" spans="2:13" x14ac:dyDescent="0.3">
      <c r="B265" s="29"/>
      <c r="C265" s="276" t="s">
        <v>14</v>
      </c>
      <c r="D265" s="29" t="s">
        <v>19</v>
      </c>
      <c r="E265" s="29">
        <v>2.2799999999999998</v>
      </c>
      <c r="F265" s="29"/>
      <c r="G265" s="29"/>
      <c r="H265" s="29">
        <v>1</v>
      </c>
      <c r="I265" s="328"/>
      <c r="J265" s="328"/>
      <c r="K265" s="30">
        <f t="shared" si="21"/>
        <v>2.2799999999999998</v>
      </c>
      <c r="L265" s="328"/>
      <c r="M265" s="328"/>
    </row>
    <row r="266" spans="2:13" x14ac:dyDescent="0.3">
      <c r="B266" s="29"/>
      <c r="C266" s="276" t="s">
        <v>15</v>
      </c>
      <c r="D266" s="29" t="s">
        <v>19</v>
      </c>
      <c r="E266" s="29">
        <v>2.2799999999999998</v>
      </c>
      <c r="F266" s="29"/>
      <c r="G266" s="29"/>
      <c r="H266" s="29">
        <v>1</v>
      </c>
      <c r="I266" s="328"/>
      <c r="J266" s="328"/>
      <c r="K266" s="30">
        <f t="shared" si="21"/>
        <v>2.2799999999999998</v>
      </c>
      <c r="L266" s="328"/>
      <c r="M266" s="328"/>
    </row>
    <row r="267" spans="2:13" x14ac:dyDescent="0.3">
      <c r="B267" s="325" t="str">
        <f>'PRESUPUESTO OFICIAL (Entidad)'!B92</f>
        <v>B4</v>
      </c>
      <c r="C267" s="837" t="str">
        <f>'PRESUPUESTO OFICIAL (Entidad)'!C92</f>
        <v>MAMPOSTERIA</v>
      </c>
      <c r="D267" s="837"/>
      <c r="E267" s="837"/>
      <c r="F267" s="837"/>
      <c r="G267" s="837"/>
      <c r="H267" s="837"/>
      <c r="I267" s="837"/>
      <c r="J267" s="837"/>
      <c r="K267" s="837"/>
      <c r="L267" s="837"/>
      <c r="M267" s="837"/>
    </row>
    <row r="268" spans="2:13" ht="31.2" x14ac:dyDescent="0.3">
      <c r="B268" s="326" t="str">
        <f>'PRESUPUESTO OFICIAL (Entidad)'!B93</f>
        <v>B4,1</v>
      </c>
      <c r="C268" s="331" t="str">
        <f>'PRESUPUESTO OFICIAL (Entidad)'!C93</f>
        <v>Construccion de Muro en Bloque de arcilla #5 (12x20x30cm) Incluye mortero de pega y bloque.</v>
      </c>
      <c r="D268" s="326" t="str">
        <f>'PRESUPUESTO OFICIAL (Entidad)'!D93</f>
        <v>M2</v>
      </c>
      <c r="E268" s="326"/>
      <c r="F268" s="326"/>
      <c r="G268" s="326"/>
      <c r="H268" s="326"/>
      <c r="I268" s="332"/>
      <c r="J268" s="332"/>
      <c r="K268" s="55">
        <f>ROUND(SUM(K269:K273),2)</f>
        <v>21.35</v>
      </c>
      <c r="L268" s="332"/>
      <c r="M268" s="332"/>
    </row>
    <row r="269" spans="2:13" x14ac:dyDescent="0.3">
      <c r="B269" s="29"/>
      <c r="C269" s="276" t="s">
        <v>808</v>
      </c>
      <c r="D269" s="29" t="s">
        <v>8</v>
      </c>
      <c r="E269" s="29">
        <v>0.75</v>
      </c>
      <c r="F269" s="29">
        <v>2.2000000000000002</v>
      </c>
      <c r="G269" s="29"/>
      <c r="H269" s="29">
        <v>4</v>
      </c>
      <c r="I269" s="328"/>
      <c r="J269" s="328"/>
      <c r="K269" s="30">
        <f>E269*F269*H269</f>
        <v>6.6000000000000005</v>
      </c>
      <c r="L269" s="328"/>
      <c r="M269" s="328"/>
    </row>
    <row r="270" spans="2:13" x14ac:dyDescent="0.3">
      <c r="B270" s="29"/>
      <c r="C270" s="276" t="s">
        <v>809</v>
      </c>
      <c r="D270" s="29" t="s">
        <v>8</v>
      </c>
      <c r="E270" s="29">
        <v>1.83</v>
      </c>
      <c r="F270" s="29">
        <v>2.2000000000000002</v>
      </c>
      <c r="G270" s="29"/>
      <c r="H270" s="29">
        <v>1</v>
      </c>
      <c r="I270" s="328"/>
      <c r="J270" s="328"/>
      <c r="K270" s="30">
        <f t="shared" ref="K270:K273" si="22">E270*F270*H270</f>
        <v>4.0260000000000007</v>
      </c>
      <c r="L270" s="328"/>
      <c r="M270" s="328"/>
    </row>
    <row r="271" spans="2:13" x14ac:dyDescent="0.3">
      <c r="B271" s="29"/>
      <c r="C271" s="276" t="s">
        <v>810</v>
      </c>
      <c r="D271" s="29" t="s">
        <v>8</v>
      </c>
      <c r="E271" s="29">
        <v>2.25</v>
      </c>
      <c r="F271" s="29">
        <v>2.2000000000000002</v>
      </c>
      <c r="G271" s="29"/>
      <c r="H271" s="29">
        <v>2</v>
      </c>
      <c r="I271" s="328"/>
      <c r="J271" s="328"/>
      <c r="K271" s="30">
        <f t="shared" si="22"/>
        <v>9.9</v>
      </c>
      <c r="L271" s="328"/>
      <c r="M271" s="328"/>
    </row>
    <row r="272" spans="2:13" x14ac:dyDescent="0.3">
      <c r="B272" s="29"/>
      <c r="C272" s="276" t="s">
        <v>812</v>
      </c>
      <c r="D272" s="29" t="s">
        <v>8</v>
      </c>
      <c r="E272" s="30">
        <v>0.6</v>
      </c>
      <c r="F272" s="29">
        <v>0.5</v>
      </c>
      <c r="G272" s="29"/>
      <c r="H272" s="29">
        <v>1</v>
      </c>
      <c r="I272" s="328"/>
      <c r="J272" s="328"/>
      <c r="K272" s="30">
        <f t="shared" si="22"/>
        <v>0.3</v>
      </c>
      <c r="L272" s="328"/>
      <c r="M272" s="328"/>
    </row>
    <row r="273" spans="2:13" x14ac:dyDescent="0.3">
      <c r="B273" s="29"/>
      <c r="C273" s="276" t="s">
        <v>811</v>
      </c>
      <c r="D273" s="29" t="s">
        <v>8</v>
      </c>
      <c r="E273" s="30">
        <v>1.05</v>
      </c>
      <c r="F273" s="29">
        <v>0.5</v>
      </c>
      <c r="G273" s="29"/>
      <c r="H273" s="29">
        <v>1</v>
      </c>
      <c r="I273" s="328"/>
      <c r="J273" s="328"/>
      <c r="K273" s="30">
        <f t="shared" si="22"/>
        <v>0.52500000000000002</v>
      </c>
      <c r="L273" s="328"/>
      <c r="M273" s="328"/>
    </row>
    <row r="274" spans="2:13" x14ac:dyDescent="0.3">
      <c r="B274" s="325" t="str">
        <f>'PRESUPUESTO OFICIAL (Entidad)'!B94</f>
        <v>B5</v>
      </c>
      <c r="C274" s="837" t="str">
        <f>'PRESUPUESTO OFICIAL (Entidad)'!C94</f>
        <v>ESTRUCTURA</v>
      </c>
      <c r="D274" s="837"/>
      <c r="E274" s="837"/>
      <c r="F274" s="837"/>
      <c r="G274" s="837"/>
      <c r="H274" s="837"/>
      <c r="I274" s="837"/>
      <c r="J274" s="837"/>
      <c r="K274" s="837"/>
      <c r="L274" s="837"/>
      <c r="M274" s="837"/>
    </row>
    <row r="275" spans="2:13" ht="31.2" x14ac:dyDescent="0.3">
      <c r="B275" s="326" t="str">
        <f>'PRESUPUESTO OFICIAL (Entidad)'!B95</f>
        <v>B5,1</v>
      </c>
      <c r="C275" s="331" t="str">
        <f>'PRESUPUESTO OFICIAL (Entidad)'!C95</f>
        <v>Viga aerea en concreto de 3000 PSI (0,12 x 0,20 mts).Incluye acero de refuerzo de 60000 PSI. (4Ø3/8" refuerzo y E=Ø1/4" c/d. 0,10 m).</v>
      </c>
      <c r="D275" s="326" t="str">
        <f>'PRESUPUESTO OFICIAL (Entidad)'!D95</f>
        <v>ML</v>
      </c>
      <c r="E275" s="326"/>
      <c r="F275" s="326"/>
      <c r="G275" s="326"/>
      <c r="H275" s="326"/>
      <c r="I275" s="332"/>
      <c r="J275" s="332"/>
      <c r="K275" s="55">
        <f>ROUND(SUM(K276:K280),2)</f>
        <v>13.08</v>
      </c>
      <c r="L275" s="332"/>
      <c r="M275" s="332"/>
    </row>
    <row r="276" spans="2:13" x14ac:dyDescent="0.3">
      <c r="B276" s="29"/>
      <c r="C276" s="276" t="s">
        <v>24</v>
      </c>
      <c r="D276" s="29" t="s">
        <v>19</v>
      </c>
      <c r="E276" s="29">
        <v>3.33</v>
      </c>
      <c r="F276" s="29"/>
      <c r="G276" s="29"/>
      <c r="H276" s="29">
        <v>1</v>
      </c>
      <c r="I276" s="328"/>
      <c r="J276" s="328"/>
      <c r="K276" s="30">
        <f>E276*H276</f>
        <v>3.33</v>
      </c>
      <c r="L276" s="328"/>
      <c r="M276" s="328"/>
    </row>
    <row r="277" spans="2:13" x14ac:dyDescent="0.3">
      <c r="B277" s="29"/>
      <c r="C277" s="276" t="s">
        <v>25</v>
      </c>
      <c r="D277" s="29" t="s">
        <v>19</v>
      </c>
      <c r="E277" s="29">
        <v>1.86</v>
      </c>
      <c r="F277" s="29"/>
      <c r="G277" s="29"/>
      <c r="H277" s="29">
        <v>1</v>
      </c>
      <c r="I277" s="328"/>
      <c r="J277" s="328"/>
      <c r="K277" s="30">
        <f t="shared" ref="K277:K280" si="23">E277*H277</f>
        <v>1.86</v>
      </c>
      <c r="L277" s="328"/>
      <c r="M277" s="328"/>
    </row>
    <row r="278" spans="2:13" x14ac:dyDescent="0.3">
      <c r="B278" s="29"/>
      <c r="C278" s="276" t="s">
        <v>26</v>
      </c>
      <c r="D278" s="29" t="s">
        <v>19</v>
      </c>
      <c r="E278" s="29">
        <v>3.33</v>
      </c>
      <c r="F278" s="29"/>
      <c r="G278" s="29"/>
      <c r="H278" s="29">
        <v>1</v>
      </c>
      <c r="I278" s="328"/>
      <c r="J278" s="328"/>
      <c r="K278" s="30">
        <f t="shared" si="23"/>
        <v>3.33</v>
      </c>
      <c r="L278" s="328"/>
      <c r="M278" s="328"/>
    </row>
    <row r="279" spans="2:13" x14ac:dyDescent="0.3">
      <c r="B279" s="29"/>
      <c r="C279" s="276" t="s">
        <v>27</v>
      </c>
      <c r="D279" s="29" t="s">
        <v>19</v>
      </c>
      <c r="E279" s="29">
        <v>2.2799999999999998</v>
      </c>
      <c r="F279" s="29"/>
      <c r="G279" s="29"/>
      <c r="H279" s="29">
        <v>1</v>
      </c>
      <c r="I279" s="328"/>
      <c r="J279" s="328"/>
      <c r="K279" s="30">
        <f t="shared" si="23"/>
        <v>2.2799999999999998</v>
      </c>
      <c r="L279" s="328"/>
      <c r="M279" s="328"/>
    </row>
    <row r="280" spans="2:13" x14ac:dyDescent="0.3">
      <c r="B280" s="29"/>
      <c r="C280" s="276" t="s">
        <v>28</v>
      </c>
      <c r="D280" s="29" t="s">
        <v>19</v>
      </c>
      <c r="E280" s="29">
        <v>2.2799999999999998</v>
      </c>
      <c r="F280" s="29"/>
      <c r="G280" s="29"/>
      <c r="H280" s="29">
        <v>1</v>
      </c>
      <c r="I280" s="328"/>
      <c r="J280" s="328"/>
      <c r="K280" s="30">
        <f t="shared" si="23"/>
        <v>2.2799999999999998</v>
      </c>
      <c r="L280" s="328"/>
      <c r="M280" s="328"/>
    </row>
    <row r="281" spans="2:13" ht="31.2" x14ac:dyDescent="0.3">
      <c r="B281" s="326" t="str">
        <f>'PRESUPUESTO OFICIAL (Entidad)'!B96</f>
        <v>B5,2</v>
      </c>
      <c r="C281" s="331" t="str">
        <f>'PRESUPUESTO OFICIAL (Entidad)'!C96</f>
        <v>Columnas concreto de 3000 PSI (0,12 x 0,20 mts).Incluye acero de refuerzo de 60000 PSI. (4Ø3/8" refuerzo y E=Ø1/4" c/d. 0,10 m).</v>
      </c>
      <c r="D281" s="326" t="str">
        <f>'PRESUPUESTO OFICIAL (Entidad)'!D96</f>
        <v>ML</v>
      </c>
      <c r="E281" s="326"/>
      <c r="F281" s="326"/>
      <c r="G281" s="326"/>
      <c r="H281" s="326"/>
      <c r="I281" s="332"/>
      <c r="J281" s="332"/>
      <c r="K281" s="55">
        <f>ROUND(SUM(K282),2)</f>
        <v>22</v>
      </c>
      <c r="L281" s="332"/>
      <c r="M281" s="332"/>
    </row>
    <row r="282" spans="2:13" ht="31.2" x14ac:dyDescent="0.3">
      <c r="B282" s="29"/>
      <c r="C282" s="276" t="str">
        <f>'PRESUPUESTO OFICIAL (Entidad)'!C96</f>
        <v>Columnas concreto de 3000 PSI (0,12 x 0,20 mts).Incluye acero de refuerzo de 60000 PSI. (4Ø3/8" refuerzo y E=Ø1/4" c/d. 0,10 m).</v>
      </c>
      <c r="D282" s="29" t="str">
        <f>'PRESUPUESTO OFICIAL (Entidad)'!D96</f>
        <v>ML</v>
      </c>
      <c r="E282" s="29">
        <v>0.2</v>
      </c>
      <c r="F282" s="29">
        <v>0.15</v>
      </c>
      <c r="G282" s="29">
        <v>2.2000000000000002</v>
      </c>
      <c r="H282" s="29">
        <v>10</v>
      </c>
      <c r="I282" s="328"/>
      <c r="J282" s="328"/>
      <c r="K282" s="30">
        <f>G282*H282</f>
        <v>22</v>
      </c>
      <c r="L282" s="328"/>
      <c r="M282" s="328"/>
    </row>
    <row r="283" spans="2:13" x14ac:dyDescent="0.3">
      <c r="B283" s="326" t="str">
        <f>'PRESUPUESTO OFICIAL (Entidad)'!B97</f>
        <v>B5,3</v>
      </c>
      <c r="C283" s="331" t="str">
        <f>'PRESUPUESTO OFICIAL (Entidad)'!C97</f>
        <v>Lavamanos en concreto pulido.</v>
      </c>
      <c r="D283" s="326" t="str">
        <f>'PRESUPUESTO OFICIAL (Entidad)'!D97</f>
        <v>ML</v>
      </c>
      <c r="E283" s="326"/>
      <c r="F283" s="326"/>
      <c r="G283" s="326"/>
      <c r="H283" s="326"/>
      <c r="I283" s="332"/>
      <c r="J283" s="332"/>
      <c r="K283" s="55">
        <f>ROUND(SUM(K284:K285),2)</f>
        <v>3.3</v>
      </c>
      <c r="L283" s="332"/>
      <c r="M283" s="332"/>
    </row>
    <row r="284" spans="2:13" x14ac:dyDescent="0.3">
      <c r="B284" s="29"/>
      <c r="C284" s="276" t="str">
        <f>'PRESUPUESTO OFICIAL (Entidad)'!C97</f>
        <v>Lavamanos en concreto pulido.</v>
      </c>
      <c r="D284" s="29" t="s">
        <v>19</v>
      </c>
      <c r="E284" s="29">
        <v>2.25</v>
      </c>
      <c r="F284" s="29"/>
      <c r="G284" s="29"/>
      <c r="H284" s="29">
        <v>1</v>
      </c>
      <c r="I284" s="328"/>
      <c r="J284" s="328"/>
      <c r="K284" s="30">
        <f>E284*H284</f>
        <v>2.25</v>
      </c>
      <c r="L284" s="328"/>
      <c r="M284" s="328"/>
    </row>
    <row r="285" spans="2:13" ht="16.5" customHeight="1" x14ac:dyDescent="0.3">
      <c r="B285" s="29"/>
      <c r="C285" s="276" t="str">
        <f>'PRESUPUESTO OFICIAL (Entidad)'!C97</f>
        <v>Lavamanos en concreto pulido.</v>
      </c>
      <c r="D285" s="29" t="s">
        <v>19</v>
      </c>
      <c r="E285" s="29">
        <v>1.05</v>
      </c>
      <c r="F285" s="29"/>
      <c r="G285" s="29"/>
      <c r="H285" s="29">
        <v>1</v>
      </c>
      <c r="I285" s="328"/>
      <c r="J285" s="328"/>
      <c r="K285" s="30">
        <f>E285*H285</f>
        <v>1.05</v>
      </c>
      <c r="L285" s="328"/>
      <c r="M285" s="328"/>
    </row>
    <row r="286" spans="2:13" x14ac:dyDescent="0.3">
      <c r="B286" s="326" t="str">
        <f>'PRESUPUESTO OFICIAL (Entidad)'!B98</f>
        <v>B5,4</v>
      </c>
      <c r="C286" s="331" t="str">
        <f>'PRESUPUESTO OFICIAL (Entidad)'!C98</f>
        <v>Construccion de Placa aerea en concreto armado de 3000 psi e = 10 cm.</v>
      </c>
      <c r="D286" s="326" t="str">
        <f>'PRESUPUESTO OFICIAL (Entidad)'!D98</f>
        <v>M2</v>
      </c>
      <c r="E286" s="326"/>
      <c r="F286" s="326"/>
      <c r="G286" s="326"/>
      <c r="H286" s="326"/>
      <c r="I286" s="332"/>
      <c r="J286" s="332"/>
      <c r="K286" s="55">
        <f>ROUND(SUM(K287),2)</f>
        <v>16.940000000000001</v>
      </c>
      <c r="L286" s="332"/>
      <c r="M286" s="332"/>
    </row>
    <row r="287" spans="2:13" x14ac:dyDescent="0.3">
      <c r="B287" s="29"/>
      <c r="C287" s="276" t="str">
        <f>'PRESUPUESTO OFICIAL (Entidad)'!C98</f>
        <v>Construccion de Placa aerea en concreto armado de 3000 psi e = 10 cm.</v>
      </c>
      <c r="D287" s="29" t="str">
        <f>'PRESUPUESTO OFICIAL (Entidad)'!D98</f>
        <v>M2</v>
      </c>
      <c r="E287" s="29">
        <v>3.74</v>
      </c>
      <c r="F287" s="29">
        <v>4.53</v>
      </c>
      <c r="G287" s="29"/>
      <c r="H287" s="29"/>
      <c r="I287" s="328"/>
      <c r="J287" s="328"/>
      <c r="K287" s="30">
        <f>E287*F287</f>
        <v>16.942200000000003</v>
      </c>
      <c r="L287" s="328"/>
      <c r="M287" s="328"/>
    </row>
    <row r="288" spans="2:13" x14ac:dyDescent="0.3">
      <c r="B288" s="325" t="str">
        <f>'PRESUPUESTO OFICIAL (Entidad)'!B99</f>
        <v>B6</v>
      </c>
      <c r="C288" s="837" t="str">
        <f>'PRESUPUESTO OFICIAL (Entidad)'!C99</f>
        <v>INSTALACIONES ELECTRICAS</v>
      </c>
      <c r="D288" s="837"/>
      <c r="E288" s="837"/>
      <c r="F288" s="837"/>
      <c r="G288" s="837"/>
      <c r="H288" s="837"/>
      <c r="I288" s="837"/>
      <c r="J288" s="837"/>
      <c r="K288" s="837"/>
      <c r="L288" s="837"/>
      <c r="M288" s="837"/>
    </row>
    <row r="289" spans="2:13" x14ac:dyDescent="0.3">
      <c r="B289" s="326" t="str">
        <f>'PRESUPUESTO OFICIAL (Entidad)'!B100</f>
        <v>B6,1</v>
      </c>
      <c r="C289" s="331" t="str">
        <f>'PRESUPUESTO OFICIAL (Entidad)'!C100</f>
        <v>Suministro e instalación de Salida lampara incandesente, incluye bombillo.</v>
      </c>
      <c r="D289" s="326" t="str">
        <f>'PRESUPUESTO OFICIAL (Entidad)'!D100</f>
        <v>UND</v>
      </c>
      <c r="E289" s="326"/>
      <c r="F289" s="326"/>
      <c r="G289" s="326"/>
      <c r="H289" s="326"/>
      <c r="I289" s="332"/>
      <c r="J289" s="332"/>
      <c r="K289" s="55">
        <f>ROUND(SUM(K290),2)</f>
        <v>4</v>
      </c>
      <c r="L289" s="332"/>
      <c r="M289" s="332"/>
    </row>
    <row r="290" spans="2:13" x14ac:dyDescent="0.3">
      <c r="B290" s="29"/>
      <c r="C290" s="276" t="s">
        <v>38</v>
      </c>
      <c r="D290" s="29" t="s">
        <v>21</v>
      </c>
      <c r="E290" s="29"/>
      <c r="F290" s="29"/>
      <c r="G290" s="29"/>
      <c r="H290" s="29">
        <v>4</v>
      </c>
      <c r="I290" s="328"/>
      <c r="J290" s="328"/>
      <c r="K290" s="30">
        <f>H290</f>
        <v>4</v>
      </c>
      <c r="L290" s="328"/>
      <c r="M290" s="328"/>
    </row>
    <row r="291" spans="2:13" x14ac:dyDescent="0.3">
      <c r="B291" s="326" t="str">
        <f>'PRESUPUESTO OFICIAL (Entidad)'!B101</f>
        <v>B6,2</v>
      </c>
      <c r="C291" s="331" t="str">
        <f>'PRESUPUESTO OFICIAL (Entidad)'!C101</f>
        <v xml:space="preserve">Suministro e instalación de Salida Interruptor Doble 110 v. </v>
      </c>
      <c r="D291" s="326" t="str">
        <f>'PRESUPUESTO OFICIAL (Entidad)'!D101</f>
        <v>UND</v>
      </c>
      <c r="E291" s="326"/>
      <c r="F291" s="326"/>
      <c r="G291" s="326"/>
      <c r="H291" s="326"/>
      <c r="I291" s="332"/>
      <c r="J291" s="332"/>
      <c r="K291" s="55">
        <f>ROUND(SUM(K292),2)</f>
        <v>2</v>
      </c>
      <c r="L291" s="332"/>
      <c r="M291" s="332"/>
    </row>
    <row r="292" spans="2:13" x14ac:dyDescent="0.3">
      <c r="B292" s="29"/>
      <c r="C292" s="276" t="s">
        <v>39</v>
      </c>
      <c r="D292" s="29" t="s">
        <v>21</v>
      </c>
      <c r="E292" s="29"/>
      <c r="F292" s="29"/>
      <c r="G292" s="29"/>
      <c r="H292" s="29">
        <v>2</v>
      </c>
      <c r="I292" s="328"/>
      <c r="J292" s="328"/>
      <c r="K292" s="30">
        <f>H292</f>
        <v>2</v>
      </c>
      <c r="L292" s="328"/>
      <c r="M292" s="328"/>
    </row>
    <row r="293" spans="2:13" x14ac:dyDescent="0.3">
      <c r="B293" s="326" t="str">
        <f>'PRESUPUESTO OFICIAL (Entidad)'!B102</f>
        <v>B6,3</v>
      </c>
      <c r="C293" s="331" t="str">
        <f>'PRESUPUESTO OFICIAL (Entidad)'!C102</f>
        <v>Suministro e instalacion de tablero monofase 2 circuitos.</v>
      </c>
      <c r="D293" s="326" t="str">
        <f>'PRESUPUESTO OFICIAL (Entidad)'!D102</f>
        <v>UND</v>
      </c>
      <c r="E293" s="326"/>
      <c r="F293" s="326"/>
      <c r="G293" s="326"/>
      <c r="H293" s="326"/>
      <c r="I293" s="332"/>
      <c r="J293" s="332"/>
      <c r="K293" s="55">
        <f>ROUND(SUM(K294),2)</f>
        <v>1</v>
      </c>
      <c r="L293" s="332"/>
      <c r="M293" s="332"/>
    </row>
    <row r="294" spans="2:13" x14ac:dyDescent="0.3">
      <c r="B294" s="29"/>
      <c r="C294" s="276" t="s">
        <v>35</v>
      </c>
      <c r="D294" s="29" t="s">
        <v>21</v>
      </c>
      <c r="E294" s="29"/>
      <c r="F294" s="29"/>
      <c r="G294" s="29"/>
      <c r="H294" s="29">
        <v>1</v>
      </c>
      <c r="I294" s="328"/>
      <c r="J294" s="328"/>
      <c r="K294" s="30">
        <f>H294</f>
        <v>1</v>
      </c>
      <c r="L294" s="328"/>
      <c r="M294" s="328"/>
    </row>
    <row r="295" spans="2:13" ht="31.2" x14ac:dyDescent="0.3">
      <c r="B295" s="326" t="str">
        <f>'PRESUPUESTO OFICIAL (Entidad)'!B103</f>
        <v>B6,4</v>
      </c>
      <c r="C295" s="331" t="str">
        <f>'PRESUPUESTO OFICIAL (Entidad)'!C103</f>
        <v>Suministro e instalación de Red electrica en tuberia pvc de 1/2", incluye  1 N° 12 + neutro N° 12 para luminarias.</v>
      </c>
      <c r="D295" s="326" t="str">
        <f>'PRESUPUESTO OFICIAL (Entidad)'!D103</f>
        <v>ML</v>
      </c>
      <c r="E295" s="326"/>
      <c r="F295" s="326"/>
      <c r="G295" s="326"/>
      <c r="H295" s="326"/>
      <c r="I295" s="332"/>
      <c r="J295" s="332"/>
      <c r="K295" s="55">
        <f>ROUND(SUM(K296),2)</f>
        <v>7</v>
      </c>
      <c r="L295" s="332"/>
      <c r="M295" s="332"/>
    </row>
    <row r="296" spans="2:13" x14ac:dyDescent="0.3">
      <c r="B296" s="29"/>
      <c r="C296" s="276" t="s">
        <v>107</v>
      </c>
      <c r="D296" s="29" t="s">
        <v>19</v>
      </c>
      <c r="E296" s="29"/>
      <c r="F296" s="29"/>
      <c r="G296" s="29"/>
      <c r="H296" s="29">
        <f>2+2+3</f>
        <v>7</v>
      </c>
      <c r="I296" s="328"/>
      <c r="J296" s="328"/>
      <c r="K296" s="30">
        <f>H296</f>
        <v>7</v>
      </c>
      <c r="L296" s="328"/>
      <c r="M296" s="328"/>
    </row>
    <row r="297" spans="2:13" x14ac:dyDescent="0.3">
      <c r="B297" s="326" t="str">
        <f>'PRESUPUESTO OFICIAL (Entidad)'!B104</f>
        <v>B6,5</v>
      </c>
      <c r="C297" s="331" t="str">
        <f>'PRESUPUESTO OFICIAL (Entidad)'!C104</f>
        <v>Suministro e instalación de Cable concentrico monofasico.</v>
      </c>
      <c r="D297" s="326" t="str">
        <f>'PRESUPUESTO OFICIAL (Entidad)'!D104</f>
        <v>ML</v>
      </c>
      <c r="E297" s="326"/>
      <c r="F297" s="326"/>
      <c r="G297" s="326"/>
      <c r="H297" s="326"/>
      <c r="I297" s="332"/>
      <c r="J297" s="332"/>
      <c r="K297" s="55">
        <f>ROUND(SUM(K298),2)</f>
        <v>5</v>
      </c>
      <c r="L297" s="332"/>
      <c r="M297" s="332"/>
    </row>
    <row r="298" spans="2:13" x14ac:dyDescent="0.3">
      <c r="B298" s="29"/>
      <c r="C298" s="276" t="s">
        <v>776</v>
      </c>
      <c r="D298" s="29" t="s">
        <v>19</v>
      </c>
      <c r="E298" s="29"/>
      <c r="F298" s="29"/>
      <c r="G298" s="29"/>
      <c r="H298" s="29">
        <v>5</v>
      </c>
      <c r="I298" s="328"/>
      <c r="J298" s="328"/>
      <c r="K298" s="30">
        <f>H298</f>
        <v>5</v>
      </c>
      <c r="L298" s="328"/>
      <c r="M298" s="328"/>
    </row>
    <row r="299" spans="2:13" x14ac:dyDescent="0.3">
      <c r="B299" s="325" t="str">
        <f>'PRESUPUESTO OFICIAL (Entidad)'!B105</f>
        <v>B7</v>
      </c>
      <c r="C299" s="837" t="str">
        <f>'PRESUPUESTO OFICIAL (Entidad)'!C105</f>
        <v xml:space="preserve">INSTALACIONES HIDRAULICAS Y SANITARIAS </v>
      </c>
      <c r="D299" s="837"/>
      <c r="E299" s="837"/>
      <c r="F299" s="837"/>
      <c r="G299" s="837"/>
      <c r="H299" s="837"/>
      <c r="I299" s="837"/>
      <c r="J299" s="837"/>
      <c r="K299" s="837"/>
      <c r="L299" s="837"/>
      <c r="M299" s="837"/>
    </row>
    <row r="300" spans="2:13" x14ac:dyDescent="0.3">
      <c r="B300" s="326" t="str">
        <f>'PRESUPUESTO OFICIAL (Entidad)'!B106</f>
        <v>B7,1</v>
      </c>
      <c r="C300" s="331" t="str">
        <f>'PRESUPUESTO OFICIAL (Entidad)'!C106</f>
        <v>Suministro e instalacion de Punto de desague en pvc 2", incluye tuberia.</v>
      </c>
      <c r="D300" s="326" t="str">
        <f>'PRESUPUESTO OFICIAL (Entidad)'!D106</f>
        <v>UND</v>
      </c>
      <c r="E300" s="326"/>
      <c r="F300" s="326"/>
      <c r="G300" s="326"/>
      <c r="H300" s="326"/>
      <c r="I300" s="332"/>
      <c r="J300" s="332"/>
      <c r="K300" s="55">
        <f>ROUND(SUM(K301),2)</f>
        <v>5</v>
      </c>
      <c r="L300" s="332"/>
      <c r="M300" s="332"/>
    </row>
    <row r="301" spans="2:13" x14ac:dyDescent="0.3">
      <c r="B301" s="29"/>
      <c r="C301" s="276" t="s">
        <v>31</v>
      </c>
      <c r="D301" s="29" t="s">
        <v>21</v>
      </c>
      <c r="E301" s="29"/>
      <c r="F301" s="29"/>
      <c r="G301" s="29"/>
      <c r="H301" s="29">
        <v>5</v>
      </c>
      <c r="I301" s="328"/>
      <c r="J301" s="328"/>
      <c r="K301" s="30">
        <f>H301</f>
        <v>5</v>
      </c>
      <c r="L301" s="328"/>
      <c r="M301" s="328"/>
    </row>
    <row r="302" spans="2:13" x14ac:dyDescent="0.3">
      <c r="B302" s="326" t="str">
        <f>'PRESUPUESTO OFICIAL (Entidad)'!B107</f>
        <v>B7,2</v>
      </c>
      <c r="C302" s="331" t="str">
        <f>'PRESUPUESTO OFICIAL (Entidad)'!C107</f>
        <v>Suministro e instalacion de Punto de desague en pvc 3", incluye tuberia.</v>
      </c>
      <c r="D302" s="326" t="str">
        <f>'PRESUPUESTO OFICIAL (Entidad)'!D107</f>
        <v>UND</v>
      </c>
      <c r="E302" s="326"/>
      <c r="F302" s="326"/>
      <c r="G302" s="326"/>
      <c r="H302" s="326"/>
      <c r="I302" s="332"/>
      <c r="J302" s="332"/>
      <c r="K302" s="55">
        <f>ROUND(SUM(K303),2)</f>
        <v>1</v>
      </c>
      <c r="L302" s="332"/>
      <c r="M302" s="332"/>
    </row>
    <row r="303" spans="2:13" x14ac:dyDescent="0.3">
      <c r="B303" s="29"/>
      <c r="C303" s="276" t="s">
        <v>32</v>
      </c>
      <c r="D303" s="29" t="s">
        <v>21</v>
      </c>
      <c r="E303" s="29"/>
      <c r="F303" s="29"/>
      <c r="G303" s="29"/>
      <c r="H303" s="29">
        <v>1</v>
      </c>
      <c r="I303" s="328"/>
      <c r="J303" s="328"/>
      <c r="K303" s="30">
        <f>H303</f>
        <v>1</v>
      </c>
      <c r="L303" s="328"/>
      <c r="M303" s="328"/>
    </row>
    <row r="304" spans="2:13" x14ac:dyDescent="0.3">
      <c r="B304" s="326" t="str">
        <f>'PRESUPUESTO OFICIAL (Entidad)'!B108</f>
        <v>B7,3</v>
      </c>
      <c r="C304" s="331" t="str">
        <f>'PRESUPUESTO OFICIAL (Entidad)'!C108</f>
        <v>Suministro e instalacion de Punto de desague en pvc 4", incluye tuberia.</v>
      </c>
      <c r="D304" s="326" t="str">
        <f>'PRESUPUESTO OFICIAL (Entidad)'!D108</f>
        <v>UND</v>
      </c>
      <c r="E304" s="326"/>
      <c r="F304" s="326"/>
      <c r="G304" s="326"/>
      <c r="H304" s="326"/>
      <c r="I304" s="332"/>
      <c r="J304" s="332"/>
      <c r="K304" s="55">
        <f>ROUND(SUM(K305),2)</f>
        <v>4</v>
      </c>
      <c r="L304" s="332"/>
      <c r="M304" s="332"/>
    </row>
    <row r="305" spans="2:13" x14ac:dyDescent="0.3">
      <c r="B305" s="29"/>
      <c r="C305" s="276" t="s">
        <v>33</v>
      </c>
      <c r="D305" s="29" t="s">
        <v>21</v>
      </c>
      <c r="E305" s="29"/>
      <c r="F305" s="29"/>
      <c r="G305" s="29"/>
      <c r="H305" s="29">
        <v>4</v>
      </c>
      <c r="I305" s="328"/>
      <c r="J305" s="328"/>
      <c r="K305" s="30">
        <f>H305</f>
        <v>4</v>
      </c>
      <c r="L305" s="328"/>
      <c r="M305" s="328"/>
    </row>
    <row r="306" spans="2:13" x14ac:dyDescent="0.3">
      <c r="B306" s="326" t="str">
        <f>'PRESUPUESTO OFICIAL (Entidad)'!B109</f>
        <v>B7,4</v>
      </c>
      <c r="C306" s="331" t="str">
        <f>'PRESUPUESTO OFICIAL (Entidad)'!C109</f>
        <v>Caja de inspeccion de 60x60 cm, ladrillo.</v>
      </c>
      <c r="D306" s="326" t="str">
        <f>'PRESUPUESTO OFICIAL (Entidad)'!D109</f>
        <v>UND</v>
      </c>
      <c r="E306" s="326"/>
      <c r="F306" s="326"/>
      <c r="G306" s="326"/>
      <c r="H306" s="326"/>
      <c r="I306" s="332"/>
      <c r="J306" s="332"/>
      <c r="K306" s="55">
        <f>ROUND(SUM(K307),2)</f>
        <v>1</v>
      </c>
      <c r="L306" s="332"/>
      <c r="M306" s="332"/>
    </row>
    <row r="307" spans="2:13" x14ac:dyDescent="0.3">
      <c r="B307" s="29"/>
      <c r="C307" s="276" t="s">
        <v>36</v>
      </c>
      <c r="D307" s="29" t="s">
        <v>21</v>
      </c>
      <c r="E307" s="29"/>
      <c r="F307" s="29"/>
      <c r="G307" s="29"/>
      <c r="H307" s="29">
        <v>1</v>
      </c>
      <c r="I307" s="328"/>
      <c r="J307" s="328"/>
      <c r="K307" s="30">
        <f>H307</f>
        <v>1</v>
      </c>
      <c r="L307" s="328"/>
      <c r="M307" s="328"/>
    </row>
    <row r="308" spans="2:13" x14ac:dyDescent="0.3">
      <c r="B308" s="326" t="str">
        <f>'PRESUPUESTO OFICIAL (Entidad)'!B110</f>
        <v>B7,5</v>
      </c>
      <c r="C308" s="331" t="str">
        <f>'PRESUPUESTO OFICIAL (Entidad)'!C110</f>
        <v>Suministro e instalacion de Punto agua fria de ½" PVC, incluye tuberia.</v>
      </c>
      <c r="D308" s="326" t="str">
        <f>'PRESUPUESTO OFICIAL (Entidad)'!D110</f>
        <v>UND</v>
      </c>
      <c r="E308" s="326"/>
      <c r="F308" s="326"/>
      <c r="G308" s="326"/>
      <c r="H308" s="326"/>
      <c r="I308" s="332"/>
      <c r="J308" s="332"/>
      <c r="K308" s="55">
        <f>ROUND(SUM(K309),2)</f>
        <v>9</v>
      </c>
      <c r="L308" s="332"/>
      <c r="M308" s="332"/>
    </row>
    <row r="309" spans="2:13" x14ac:dyDescent="0.3">
      <c r="B309" s="29"/>
      <c r="C309" s="276" t="s">
        <v>40</v>
      </c>
      <c r="D309" s="29" t="s">
        <v>21</v>
      </c>
      <c r="E309" s="29"/>
      <c r="F309" s="29"/>
      <c r="G309" s="29"/>
      <c r="H309" s="29">
        <v>9</v>
      </c>
      <c r="I309" s="328"/>
      <c r="J309" s="328"/>
      <c r="K309" s="30">
        <f>H309</f>
        <v>9</v>
      </c>
      <c r="L309" s="328"/>
      <c r="M309" s="328"/>
    </row>
    <row r="310" spans="2:13" x14ac:dyDescent="0.3">
      <c r="B310" s="326" t="str">
        <f>'PRESUPUESTO OFICIAL (Entidad)'!B111</f>
        <v>B7,6</v>
      </c>
      <c r="C310" s="331" t="str">
        <f>'PRESUPUESTO OFICIAL (Entidad)'!C111</f>
        <v>Suministro e instalacion de Registro de paso  directo  ½" (bola).</v>
      </c>
      <c r="D310" s="326" t="str">
        <f>'PRESUPUESTO OFICIAL (Entidad)'!D111</f>
        <v>UND</v>
      </c>
      <c r="E310" s="326"/>
      <c r="F310" s="326"/>
      <c r="G310" s="326"/>
      <c r="H310" s="326"/>
      <c r="I310" s="332"/>
      <c r="J310" s="332"/>
      <c r="K310" s="55">
        <f>ROUND(SUM(K311),2)</f>
        <v>1</v>
      </c>
      <c r="L310" s="332"/>
      <c r="M310" s="332"/>
    </row>
    <row r="311" spans="2:13" x14ac:dyDescent="0.3">
      <c r="B311" s="29"/>
      <c r="C311" s="276" t="s">
        <v>800</v>
      </c>
      <c r="D311" s="29" t="s">
        <v>21</v>
      </c>
      <c r="E311" s="29"/>
      <c r="F311" s="29"/>
      <c r="G311" s="29"/>
      <c r="H311" s="29">
        <v>1</v>
      </c>
      <c r="I311" s="328"/>
      <c r="J311" s="328"/>
      <c r="K311" s="30">
        <f>H311</f>
        <v>1</v>
      </c>
      <c r="L311" s="328"/>
      <c r="M311" s="328"/>
    </row>
    <row r="312" spans="2:13" x14ac:dyDescent="0.3">
      <c r="B312" s="326" t="str">
        <f>'PRESUPUESTO OFICIAL (Entidad)'!B112</f>
        <v>B7,7</v>
      </c>
      <c r="C312" s="336" t="str">
        <f>'PRESUPUESTO OFICIAL (Entidad)'!C112</f>
        <v>Suministro e instalacion de Acometida general de ½".</v>
      </c>
      <c r="D312" s="326" t="str">
        <f>'PRESUPUESTO OFICIAL (Entidad)'!D112</f>
        <v>UND</v>
      </c>
      <c r="E312" s="326"/>
      <c r="F312" s="326"/>
      <c r="G312" s="326"/>
      <c r="H312" s="326"/>
      <c r="I312" s="332"/>
      <c r="J312" s="332"/>
      <c r="K312" s="55">
        <f>ROUND(SUM(K313),2)</f>
        <v>1</v>
      </c>
      <c r="L312" s="332"/>
      <c r="M312" s="332"/>
    </row>
    <row r="313" spans="2:13" x14ac:dyDescent="0.3">
      <c r="B313" s="29"/>
      <c r="C313" s="276" t="s">
        <v>801</v>
      </c>
      <c r="D313" s="29" t="s">
        <v>21</v>
      </c>
      <c r="E313" s="29"/>
      <c r="F313" s="29"/>
      <c r="G313" s="29"/>
      <c r="H313" s="29">
        <v>1</v>
      </c>
      <c r="I313" s="328"/>
      <c r="J313" s="328"/>
      <c r="K313" s="30">
        <f>H313</f>
        <v>1</v>
      </c>
      <c r="L313" s="328"/>
      <c r="M313" s="328"/>
    </row>
    <row r="314" spans="2:13" x14ac:dyDescent="0.3">
      <c r="B314" s="326" t="str">
        <f>'PRESUPUESTO OFICIAL (Entidad)'!B113</f>
        <v>B7,8</v>
      </c>
      <c r="C314" s="336" t="str">
        <f>'PRESUPUESTO OFICIAL (Entidad)'!C113</f>
        <v>Suministro e instalacion de salida llave terminal de  ½".</v>
      </c>
      <c r="D314" s="326" t="str">
        <f>'PRESUPUESTO OFICIAL (Entidad)'!D113</f>
        <v>UND</v>
      </c>
      <c r="E314" s="326"/>
      <c r="F314" s="326"/>
      <c r="G314" s="326"/>
      <c r="H314" s="326"/>
      <c r="I314" s="332"/>
      <c r="J314" s="332"/>
      <c r="K314" s="55">
        <f>ROUND(SUM(K315),2)</f>
        <v>1</v>
      </c>
      <c r="L314" s="332"/>
      <c r="M314" s="332"/>
    </row>
    <row r="315" spans="2:13" x14ac:dyDescent="0.3">
      <c r="B315" s="29"/>
      <c r="C315" s="276" t="s">
        <v>802</v>
      </c>
      <c r="D315" s="29" t="s">
        <v>21</v>
      </c>
      <c r="E315" s="29"/>
      <c r="F315" s="29"/>
      <c r="G315" s="29"/>
      <c r="H315" s="29">
        <v>1</v>
      </c>
      <c r="I315" s="328"/>
      <c r="J315" s="328"/>
      <c r="K315" s="30">
        <f>H315</f>
        <v>1</v>
      </c>
      <c r="L315" s="328"/>
      <c r="M315" s="328"/>
    </row>
    <row r="316" spans="2:13" x14ac:dyDescent="0.3">
      <c r="B316" s="326" t="str">
        <f>'PRESUPUESTO OFICIAL (Entidad)'!B114</f>
        <v>B7,9</v>
      </c>
      <c r="C316" s="336" t="str">
        <f>'PRESUPUESTO OFICIAL (Entidad)'!C114</f>
        <v>Suministro e instalación de tanque 500 litros, incluye griferia y accesorios.</v>
      </c>
      <c r="D316" s="326" t="str">
        <f>'PRESUPUESTO OFICIAL (Entidad)'!D114</f>
        <v>UND</v>
      </c>
      <c r="E316" s="326"/>
      <c r="F316" s="326"/>
      <c r="G316" s="326"/>
      <c r="H316" s="326"/>
      <c r="I316" s="332"/>
      <c r="J316" s="332"/>
      <c r="K316" s="55">
        <f>ROUND(SUM(K317),2)</f>
        <v>1</v>
      </c>
      <c r="L316" s="332"/>
      <c r="M316" s="332"/>
    </row>
    <row r="317" spans="2:13" x14ac:dyDescent="0.3">
      <c r="B317" s="29"/>
      <c r="C317" s="276" t="s">
        <v>803</v>
      </c>
      <c r="D317" s="29" t="s">
        <v>21</v>
      </c>
      <c r="E317" s="29"/>
      <c r="F317" s="29"/>
      <c r="G317" s="29"/>
      <c r="H317" s="29">
        <v>1</v>
      </c>
      <c r="I317" s="328"/>
      <c r="J317" s="328"/>
      <c r="K317" s="30">
        <f>H317</f>
        <v>1</v>
      </c>
      <c r="L317" s="328"/>
      <c r="M317" s="328"/>
    </row>
    <row r="318" spans="2:13" x14ac:dyDescent="0.3">
      <c r="B318" s="326" t="str">
        <f>'PRESUPUESTO OFICIAL (Entidad)'!B115</f>
        <v>B7,11</v>
      </c>
      <c r="C318" s="336" t="str">
        <f>'PRESUPUESTO OFICIAL (Entidad)'!C115</f>
        <v>Suministro e instalacion de griferia lavamanos cromada.</v>
      </c>
      <c r="D318" s="326" t="str">
        <f>'PRESUPUESTO OFICIAL (Entidad)'!D115</f>
        <v>UND</v>
      </c>
      <c r="E318" s="326"/>
      <c r="F318" s="326"/>
      <c r="G318" s="326"/>
      <c r="H318" s="326"/>
      <c r="I318" s="332"/>
      <c r="J318" s="332"/>
      <c r="K318" s="55">
        <f>ROUND(SUM(K319),2)</f>
        <v>4</v>
      </c>
      <c r="L318" s="332"/>
      <c r="M318" s="332"/>
    </row>
    <row r="319" spans="2:13" x14ac:dyDescent="0.3">
      <c r="B319" s="29"/>
      <c r="C319" s="276" t="s">
        <v>804</v>
      </c>
      <c r="D319" s="29" t="s">
        <v>21</v>
      </c>
      <c r="E319" s="29"/>
      <c r="F319" s="29"/>
      <c r="G319" s="29"/>
      <c r="H319" s="29">
        <v>4</v>
      </c>
      <c r="I319" s="328"/>
      <c r="J319" s="328"/>
      <c r="K319" s="30">
        <f>H319</f>
        <v>4</v>
      </c>
      <c r="L319" s="328"/>
      <c r="M319" s="328"/>
    </row>
    <row r="320" spans="2:13" x14ac:dyDescent="0.3">
      <c r="B320" s="325" t="str">
        <f>'PRESUPUESTO OFICIAL (Entidad)'!B116</f>
        <v>B8</v>
      </c>
      <c r="C320" s="837" t="str">
        <f>'PRESUPUESTO OFICIAL (Entidad)'!C116</f>
        <v xml:space="preserve">APARATOS SANITARIOS </v>
      </c>
      <c r="D320" s="837"/>
      <c r="E320" s="837"/>
      <c r="F320" s="837"/>
      <c r="G320" s="837"/>
      <c r="H320" s="837"/>
      <c r="I320" s="837"/>
      <c r="J320" s="837"/>
      <c r="K320" s="837"/>
      <c r="L320" s="837"/>
      <c r="M320" s="837"/>
    </row>
    <row r="321" spans="2:13" x14ac:dyDescent="0.3">
      <c r="B321" s="326" t="str">
        <f>'PRESUPUESTO OFICIAL (Entidad)'!B117</f>
        <v>B8,1</v>
      </c>
      <c r="C321" s="331" t="str">
        <f>'PRESUPUESTO OFICIAL (Entidad)'!C117</f>
        <v>Suministro e instalación  de sanitario color blanco.</v>
      </c>
      <c r="D321" s="326" t="str">
        <f>'PRESUPUESTO OFICIAL (Entidad)'!D117</f>
        <v>UND</v>
      </c>
      <c r="E321" s="326"/>
      <c r="F321" s="326"/>
      <c r="G321" s="326"/>
      <c r="H321" s="326"/>
      <c r="I321" s="332"/>
      <c r="J321" s="332"/>
      <c r="K321" s="55">
        <f>ROUND(SUM(K322),2)</f>
        <v>3</v>
      </c>
      <c r="L321" s="332"/>
      <c r="M321" s="332"/>
    </row>
    <row r="322" spans="2:13" x14ac:dyDescent="0.3">
      <c r="B322" s="29"/>
      <c r="C322" s="276" t="s">
        <v>37</v>
      </c>
      <c r="D322" s="29" t="s">
        <v>21</v>
      </c>
      <c r="E322" s="29"/>
      <c r="F322" s="29"/>
      <c r="G322" s="29"/>
      <c r="H322" s="29">
        <v>3</v>
      </c>
      <c r="I322" s="328"/>
      <c r="J322" s="328"/>
      <c r="K322" s="30">
        <f>H322</f>
        <v>3</v>
      </c>
      <c r="L322" s="328"/>
      <c r="M322" s="328"/>
    </row>
    <row r="323" spans="2:13" x14ac:dyDescent="0.3">
      <c r="B323" s="326" t="str">
        <f>'PRESUPUESTO OFICIAL (Entidad)'!B118</f>
        <v>B8,2</v>
      </c>
      <c r="C323" s="331" t="str">
        <f>'PRESUPUESTO OFICIAL (Entidad)'!C118</f>
        <v>Suministro e instalación de Orinal color blanco.</v>
      </c>
      <c r="D323" s="326" t="str">
        <f>'PRESUPUESTO OFICIAL (Entidad)'!D118</f>
        <v>UND</v>
      </c>
      <c r="E323" s="326"/>
      <c r="F323" s="326"/>
      <c r="G323" s="326"/>
      <c r="H323" s="326"/>
      <c r="I323" s="332"/>
      <c r="J323" s="332"/>
      <c r="K323" s="55">
        <f>ROUND(SUM(K324),2)</f>
        <v>1</v>
      </c>
      <c r="L323" s="332"/>
      <c r="M323" s="332"/>
    </row>
    <row r="324" spans="2:13" x14ac:dyDescent="0.3">
      <c r="B324" s="29"/>
      <c r="C324" s="276" t="s">
        <v>119</v>
      </c>
      <c r="D324" s="29" t="s">
        <v>21</v>
      </c>
      <c r="E324" s="29"/>
      <c r="F324" s="29"/>
      <c r="G324" s="29"/>
      <c r="H324" s="29">
        <v>1</v>
      </c>
      <c r="I324" s="328"/>
      <c r="J324" s="328"/>
      <c r="K324" s="30">
        <f>H324</f>
        <v>1</v>
      </c>
      <c r="L324" s="328"/>
      <c r="M324" s="328"/>
    </row>
    <row r="325" spans="2:13" x14ac:dyDescent="0.3">
      <c r="B325" s="325" t="str">
        <f>'PRESUPUESTO OFICIAL (Entidad)'!B119</f>
        <v>B9</v>
      </c>
      <c r="C325" s="837" t="str">
        <f>'PRESUPUESTO OFICIAL (Entidad)'!C119</f>
        <v>PAÑETES</v>
      </c>
      <c r="D325" s="837"/>
      <c r="E325" s="837"/>
      <c r="F325" s="837"/>
      <c r="G325" s="837"/>
      <c r="H325" s="837"/>
      <c r="I325" s="837"/>
      <c r="J325" s="837"/>
      <c r="K325" s="837"/>
      <c r="L325" s="837"/>
      <c r="M325" s="837"/>
    </row>
    <row r="326" spans="2:13" ht="27" customHeight="1" x14ac:dyDescent="0.3">
      <c r="B326" s="326" t="str">
        <f>'PRESUPUESTO OFICIAL (Entidad)'!B120</f>
        <v>B9,1</v>
      </c>
      <c r="C326" s="331" t="str">
        <f>'PRESUPUESTO OFICIAL (Entidad)'!C120</f>
        <v>Suministro y aplicación de Pañete muros  1:4 Incluye Filos, carteras y Dilataciones.</v>
      </c>
      <c r="D326" s="326" t="str">
        <f>'PRESUPUESTO OFICIAL (Entidad)'!D120</f>
        <v>M2</v>
      </c>
      <c r="E326" s="326"/>
      <c r="F326" s="326"/>
      <c r="G326" s="326"/>
      <c r="H326" s="326"/>
      <c r="I326" s="332"/>
      <c r="J326" s="332"/>
      <c r="K326" s="55">
        <f>ROUND(SUM(K327:K329),2)</f>
        <v>43.36</v>
      </c>
      <c r="L326" s="332"/>
      <c r="M326" s="332"/>
    </row>
    <row r="327" spans="2:13" x14ac:dyDescent="0.3">
      <c r="B327" s="29"/>
      <c r="C327" s="276" t="s">
        <v>185</v>
      </c>
      <c r="D327" s="29" t="s">
        <v>8</v>
      </c>
      <c r="E327" s="30">
        <v>18.96</v>
      </c>
      <c r="F327" s="29">
        <v>2.2000000000000002</v>
      </c>
      <c r="G327" s="29"/>
      <c r="H327" s="29"/>
      <c r="I327" s="328"/>
      <c r="J327" s="328"/>
      <c r="K327" s="30">
        <f>E327*F327</f>
        <v>41.712000000000003</v>
      </c>
      <c r="L327" s="328"/>
      <c r="M327" s="328"/>
    </row>
    <row r="328" spans="2:13" x14ac:dyDescent="0.3">
      <c r="B328" s="29"/>
      <c r="C328" s="276" t="s">
        <v>1116</v>
      </c>
      <c r="D328" s="29" t="s">
        <v>8</v>
      </c>
      <c r="E328" s="30">
        <v>0.6</v>
      </c>
      <c r="F328" s="29">
        <v>0.5</v>
      </c>
      <c r="G328" s="29"/>
      <c r="H328" s="29">
        <v>2</v>
      </c>
      <c r="I328" s="328"/>
      <c r="J328" s="328"/>
      <c r="K328" s="30">
        <f>E328*F328*H328</f>
        <v>0.6</v>
      </c>
      <c r="L328" s="328"/>
      <c r="M328" s="328"/>
    </row>
    <row r="329" spans="2:13" x14ac:dyDescent="0.3">
      <c r="B329" s="29"/>
      <c r="C329" s="276" t="s">
        <v>1117</v>
      </c>
      <c r="D329" s="29" t="s">
        <v>8</v>
      </c>
      <c r="E329" s="30">
        <v>1.05</v>
      </c>
      <c r="F329" s="29">
        <v>0.5</v>
      </c>
      <c r="G329" s="29"/>
      <c r="H329" s="29">
        <v>2</v>
      </c>
      <c r="I329" s="328"/>
      <c r="J329" s="328"/>
      <c r="K329" s="30">
        <f>E329*F329*H329</f>
        <v>1.05</v>
      </c>
      <c r="L329" s="328"/>
      <c r="M329" s="328"/>
    </row>
    <row r="330" spans="2:13" x14ac:dyDescent="0.3">
      <c r="B330" s="325" t="str">
        <f>'PRESUPUESTO OFICIAL (Entidad)'!B121</f>
        <v>B10</v>
      </c>
      <c r="C330" s="837" t="str">
        <f>'PRESUPUESTO OFICIAL (Entidad)'!C121</f>
        <v>ENCHAPES</v>
      </c>
      <c r="D330" s="837"/>
      <c r="E330" s="837"/>
      <c r="F330" s="837"/>
      <c r="G330" s="837"/>
      <c r="H330" s="837"/>
      <c r="I330" s="837"/>
      <c r="J330" s="837"/>
      <c r="K330" s="837"/>
      <c r="L330" s="837"/>
      <c r="M330" s="837"/>
    </row>
    <row r="331" spans="2:13" x14ac:dyDescent="0.3">
      <c r="B331" s="326" t="str">
        <f>'PRESUPUESTO OFICIAL (Entidad)'!B122</f>
        <v>B10,1</v>
      </c>
      <c r="C331" s="331" t="str">
        <f>'PRESUPUESTO OFICIAL (Entidad)'!C122</f>
        <v>Suministro e instalacion de Enchape de pares 0,20 x 0,25.</v>
      </c>
      <c r="D331" s="326" t="str">
        <f>'PRESUPUESTO OFICIAL (Entidad)'!D122</f>
        <v>M2</v>
      </c>
      <c r="E331" s="326"/>
      <c r="F331" s="326"/>
      <c r="G331" s="326"/>
      <c r="H331" s="326"/>
      <c r="I331" s="332"/>
      <c r="J331" s="332"/>
      <c r="K331" s="55">
        <f>ROUND(SUM(K332:K334),2)</f>
        <v>36.76</v>
      </c>
      <c r="L331" s="332"/>
      <c r="M331" s="332"/>
    </row>
    <row r="332" spans="2:13" x14ac:dyDescent="0.3">
      <c r="B332" s="29"/>
      <c r="C332" s="276" t="s">
        <v>813</v>
      </c>
      <c r="D332" s="29" t="s">
        <v>8</v>
      </c>
      <c r="E332" s="29">
        <v>3.75</v>
      </c>
      <c r="F332" s="30">
        <v>2.2000000000000002</v>
      </c>
      <c r="G332" s="29"/>
      <c r="H332" s="29">
        <v>2</v>
      </c>
      <c r="I332" s="328"/>
      <c r="J332" s="29"/>
      <c r="K332" s="30">
        <f>E332*F332*H332</f>
        <v>16.5</v>
      </c>
      <c r="L332" s="328"/>
      <c r="M332" s="328"/>
    </row>
    <row r="333" spans="2:13" x14ac:dyDescent="0.3">
      <c r="B333" s="29"/>
      <c r="C333" s="276" t="s">
        <v>814</v>
      </c>
      <c r="D333" s="29" t="s">
        <v>8</v>
      </c>
      <c r="E333" s="29">
        <v>4.2300000000000004</v>
      </c>
      <c r="F333" s="30">
        <v>2.2000000000000002</v>
      </c>
      <c r="G333" s="29"/>
      <c r="H333" s="29">
        <v>2</v>
      </c>
      <c r="I333" s="328"/>
      <c r="J333" s="29"/>
      <c r="K333" s="30">
        <f>E333*F333*H333</f>
        <v>18.612000000000002</v>
      </c>
      <c r="L333" s="328"/>
      <c r="M333" s="328"/>
    </row>
    <row r="334" spans="2:13" x14ac:dyDescent="0.3">
      <c r="B334" s="29"/>
      <c r="C334" s="276" t="s">
        <v>815</v>
      </c>
      <c r="D334" s="29" t="s">
        <v>8</v>
      </c>
      <c r="E334" s="29">
        <v>3.3</v>
      </c>
      <c r="F334" s="30">
        <v>0.5</v>
      </c>
      <c r="G334" s="29"/>
      <c r="H334" s="29">
        <v>1</v>
      </c>
      <c r="I334" s="328"/>
      <c r="J334" s="328"/>
      <c r="K334" s="30">
        <f t="shared" ref="K334" si="24">E334*F334*H334</f>
        <v>1.65</v>
      </c>
      <c r="L334" s="328"/>
      <c r="M334" s="328"/>
    </row>
    <row r="335" spans="2:13" x14ac:dyDescent="0.3">
      <c r="B335" s="326" t="str">
        <f>'PRESUPUESTO OFICIAL (Entidad)'!B123</f>
        <v>B10,2</v>
      </c>
      <c r="C335" s="331" t="str">
        <f>'PRESUPUESTO OFICIAL (Entidad)'!C123</f>
        <v>Construccion de Placa en concreto de 3000 PSI e=0,10 m.</v>
      </c>
      <c r="D335" s="326" t="str">
        <f>'PRESUPUESTO OFICIAL (Entidad)'!D123</f>
        <v>M2</v>
      </c>
      <c r="E335" s="326"/>
      <c r="F335" s="326"/>
      <c r="G335" s="326"/>
      <c r="H335" s="326"/>
      <c r="I335" s="332"/>
      <c r="J335" s="332"/>
      <c r="K335" s="55">
        <f>ROUND(SUM(K336),2)</f>
        <v>22.85</v>
      </c>
      <c r="L335" s="332"/>
      <c r="M335" s="332"/>
    </row>
    <row r="336" spans="2:13" x14ac:dyDescent="0.3">
      <c r="B336" s="52"/>
      <c r="C336" s="52" t="s">
        <v>1074</v>
      </c>
      <c r="D336" s="56" t="s">
        <v>8</v>
      </c>
      <c r="E336" s="29">
        <v>5.33</v>
      </c>
      <c r="F336" s="29">
        <v>4.55</v>
      </c>
      <c r="G336" s="52"/>
      <c r="H336" s="52">
        <v>1</v>
      </c>
      <c r="I336" s="52">
        <f>I338</f>
        <v>1.4</v>
      </c>
      <c r="J336" s="52"/>
      <c r="K336" s="30">
        <f>(E336*F336*H336)-I336</f>
        <v>22.851500000000001</v>
      </c>
      <c r="L336" s="52"/>
      <c r="M336" s="52"/>
    </row>
    <row r="337" spans="2:13" x14ac:dyDescent="0.3">
      <c r="B337" s="326" t="str">
        <f>'PRESUPUESTO OFICIAL (Entidad)'!B124</f>
        <v>B10,3</v>
      </c>
      <c r="C337" s="331" t="str">
        <f>'PRESUPUESTO OFICIAL (Entidad)'!C124</f>
        <v>Suministrar e instalar Piso en ceramica T-5.</v>
      </c>
      <c r="D337" s="326" t="str">
        <f>'PRESUPUESTO OFICIAL (Entidad)'!D124</f>
        <v>M2</v>
      </c>
      <c r="E337" s="326"/>
      <c r="F337" s="326"/>
      <c r="G337" s="326"/>
      <c r="H337" s="326"/>
      <c r="I337" s="332"/>
      <c r="J337" s="332"/>
      <c r="K337" s="55">
        <f>ROUND(SUM(K338),2)</f>
        <v>22.85</v>
      </c>
      <c r="L337" s="332"/>
      <c r="M337" s="332"/>
    </row>
    <row r="338" spans="2:13" x14ac:dyDescent="0.3">
      <c r="B338" s="29"/>
      <c r="C338" s="276" t="s">
        <v>29</v>
      </c>
      <c r="D338" s="29" t="s">
        <v>8</v>
      </c>
      <c r="E338" s="29">
        <v>5.33</v>
      </c>
      <c r="F338" s="29">
        <v>4.55</v>
      </c>
      <c r="G338" s="29"/>
      <c r="H338" s="29">
        <v>1</v>
      </c>
      <c r="I338" s="328">
        <v>1.4</v>
      </c>
      <c r="J338" s="328"/>
      <c r="K338" s="30">
        <f>(E338*F338*H338)-I338</f>
        <v>22.851500000000001</v>
      </c>
      <c r="L338" s="328"/>
      <c r="M338" s="328"/>
    </row>
    <row r="339" spans="2:13" x14ac:dyDescent="0.3">
      <c r="B339" s="326" t="str">
        <f>'PRESUPUESTO OFICIAL (Entidad)'!B125</f>
        <v>B10,4</v>
      </c>
      <c r="C339" s="331" t="str">
        <f>'PRESUPUESTO OFICIAL (Entidad)'!C125</f>
        <v>Suministro e instalacion de Guardaescoba en cerámica   T-5.</v>
      </c>
      <c r="D339" s="326" t="str">
        <f>'PRESUPUESTO OFICIAL (Entidad)'!D125</f>
        <v>ML</v>
      </c>
      <c r="E339" s="326"/>
      <c r="F339" s="326"/>
      <c r="G339" s="326"/>
      <c r="H339" s="326"/>
      <c r="I339" s="332"/>
      <c r="J339" s="332"/>
      <c r="K339" s="55">
        <f>ROUND(SUM(K340),2)</f>
        <v>3</v>
      </c>
      <c r="L339" s="332"/>
      <c r="M339" s="332"/>
    </row>
    <row r="340" spans="2:13" x14ac:dyDescent="0.3">
      <c r="B340" s="29"/>
      <c r="C340" s="276" t="s">
        <v>30</v>
      </c>
      <c r="D340" s="29" t="s">
        <v>19</v>
      </c>
      <c r="E340" s="29">
        <v>0.75</v>
      </c>
      <c r="F340" s="30"/>
      <c r="G340" s="29"/>
      <c r="H340" s="29">
        <v>4</v>
      </c>
      <c r="I340" s="328"/>
      <c r="J340" s="328"/>
      <c r="K340" s="30">
        <f>E340*H340</f>
        <v>3</v>
      </c>
      <c r="L340" s="328"/>
      <c r="M340" s="328"/>
    </row>
    <row r="341" spans="2:13" x14ac:dyDescent="0.3">
      <c r="B341" s="326" t="str">
        <f>'PRESUPUESTO OFICIAL (Entidad)'!B126</f>
        <v>B10,5</v>
      </c>
      <c r="C341" s="331" t="str">
        <f>'PRESUPUESTO OFICIAL (Entidad)'!C126</f>
        <v>Suministro e instalacion de Espejo flotado 4mm.</v>
      </c>
      <c r="D341" s="326" t="str">
        <f>'PRESUPUESTO OFICIAL (Entidad)'!D126</f>
        <v>M2</v>
      </c>
      <c r="E341" s="326"/>
      <c r="F341" s="326"/>
      <c r="G341" s="326"/>
      <c r="H341" s="326"/>
      <c r="I341" s="332"/>
      <c r="J341" s="332"/>
      <c r="K341" s="55">
        <f>ROUND(SUM(K342:K343),2)</f>
        <v>3.32</v>
      </c>
      <c r="L341" s="332"/>
      <c r="M341" s="332"/>
    </row>
    <row r="342" spans="2:13" x14ac:dyDescent="0.3">
      <c r="B342" s="29"/>
      <c r="C342" s="323">
        <v>1</v>
      </c>
      <c r="D342" s="29" t="s">
        <v>8</v>
      </c>
      <c r="E342" s="29">
        <v>2.16</v>
      </c>
      <c r="F342" s="30">
        <v>0.66</v>
      </c>
      <c r="G342" s="29"/>
      <c r="H342" s="29">
        <v>1</v>
      </c>
      <c r="I342" s="328"/>
      <c r="J342" s="328"/>
      <c r="K342" s="30">
        <f>E342*H342</f>
        <v>2.16</v>
      </c>
      <c r="L342" s="328"/>
      <c r="M342" s="328"/>
    </row>
    <row r="343" spans="2:13" x14ac:dyDescent="0.3">
      <c r="B343" s="29"/>
      <c r="C343" s="323">
        <v>2</v>
      </c>
      <c r="D343" s="29" t="s">
        <v>8</v>
      </c>
      <c r="E343" s="29">
        <v>1.1599999999999999</v>
      </c>
      <c r="F343" s="30">
        <v>0.66</v>
      </c>
      <c r="G343" s="29"/>
      <c r="H343" s="29">
        <v>1</v>
      </c>
      <c r="I343" s="328"/>
      <c r="J343" s="328"/>
      <c r="K343" s="30">
        <f>E343*H343</f>
        <v>1.1599999999999999</v>
      </c>
      <c r="L343" s="328"/>
      <c r="M343" s="328"/>
    </row>
    <row r="344" spans="2:13" x14ac:dyDescent="0.3">
      <c r="B344" s="325" t="str">
        <f>'PRESUPUESTO OFICIAL (Entidad)'!B127</f>
        <v>B11</v>
      </c>
      <c r="C344" s="837" t="str">
        <f>'PRESUPUESTO OFICIAL (Entidad)'!C127</f>
        <v>CARPINTERIA</v>
      </c>
      <c r="D344" s="837"/>
      <c r="E344" s="837"/>
      <c r="F344" s="837"/>
      <c r="G344" s="837"/>
      <c r="H344" s="837"/>
      <c r="I344" s="837"/>
      <c r="J344" s="837"/>
      <c r="K344" s="837"/>
      <c r="L344" s="837"/>
      <c r="M344" s="837"/>
    </row>
    <row r="345" spans="2:13" s="112" customFormat="1" ht="31.2" x14ac:dyDescent="0.3">
      <c r="B345" s="327" t="str">
        <f>'PRESUPUESTO OFICIAL (Entidad)'!B128</f>
        <v>B11,1</v>
      </c>
      <c r="C345" s="333" t="str">
        <f>'PRESUPUESTO OFICIAL (Entidad)'!C128</f>
        <v>Suministro e instalación de Marco y Puerta en lamina Galvanizada C.18 de 0,70 x 1,60m. Incluye anticorrosivo y pintura.</v>
      </c>
      <c r="D345" s="327" t="str">
        <f>'PRESUPUESTO OFICIAL (Entidad)'!D128</f>
        <v>UND</v>
      </c>
      <c r="E345" s="327"/>
      <c r="F345" s="327"/>
      <c r="G345" s="327"/>
      <c r="H345" s="327"/>
      <c r="I345" s="330"/>
      <c r="J345" s="330"/>
      <c r="K345" s="55">
        <f>ROUND(SUM(K346),2)</f>
        <v>4</v>
      </c>
      <c r="L345" s="330"/>
      <c r="M345" s="330"/>
    </row>
    <row r="346" spans="2:13" s="112" customFormat="1" x14ac:dyDescent="0.3">
      <c r="B346" s="92"/>
      <c r="C346" s="62" t="s">
        <v>105</v>
      </c>
      <c r="D346" s="29" t="s">
        <v>21</v>
      </c>
      <c r="E346" s="92"/>
      <c r="F346" s="92"/>
      <c r="G346" s="92"/>
      <c r="H346" s="92">
        <v>4</v>
      </c>
      <c r="I346" s="61"/>
      <c r="J346" s="61"/>
      <c r="K346" s="30">
        <f>H346</f>
        <v>4</v>
      </c>
      <c r="L346" s="61"/>
      <c r="M346" s="61"/>
    </row>
    <row r="347" spans="2:13" x14ac:dyDescent="0.3">
      <c r="B347" s="326" t="str">
        <f>'PRESUPUESTO OFICIAL (Entidad)'!B129</f>
        <v>B11,2</v>
      </c>
      <c r="C347" s="331" t="str">
        <f>'PRESUPUESTO OFICIAL (Entidad)'!C129</f>
        <v>Suministro e instalacion divisiones para sanitario en lamina galvanizada cal. 18.</v>
      </c>
      <c r="D347" s="326" t="str">
        <f>'PRESUPUESTO OFICIAL (Entidad)'!D129</f>
        <v>M2</v>
      </c>
      <c r="E347" s="326"/>
      <c r="F347" s="326"/>
      <c r="G347" s="326"/>
      <c r="H347" s="326"/>
      <c r="I347" s="332"/>
      <c r="J347" s="332"/>
      <c r="K347" s="55">
        <f>ROUND(SUM(K348),2)</f>
        <v>4.32</v>
      </c>
      <c r="L347" s="332"/>
      <c r="M347" s="332"/>
    </row>
    <row r="348" spans="2:13" x14ac:dyDescent="0.3">
      <c r="B348" s="29"/>
      <c r="C348" s="276" t="s">
        <v>106</v>
      </c>
      <c r="D348" s="29" t="s">
        <v>8</v>
      </c>
      <c r="E348" s="29">
        <v>1.2</v>
      </c>
      <c r="F348" s="29"/>
      <c r="G348" s="29">
        <v>1.8</v>
      </c>
      <c r="H348" s="29">
        <v>2</v>
      </c>
      <c r="I348" s="328"/>
      <c r="J348" s="328"/>
      <c r="K348" s="30">
        <f>E348*G348*H348</f>
        <v>4.32</v>
      </c>
      <c r="L348" s="328"/>
      <c r="M348" s="328"/>
    </row>
    <row r="349" spans="2:13" x14ac:dyDescent="0.3">
      <c r="B349" s="325" t="str">
        <f>'PRESUPUESTO OFICIAL (Entidad)'!B130</f>
        <v>B12</v>
      </c>
      <c r="C349" s="837" t="str">
        <f>'PRESUPUESTO OFICIAL (Entidad)'!C130</f>
        <v>PINTURA GENERAL Y ACABADOS</v>
      </c>
      <c r="D349" s="837"/>
      <c r="E349" s="837"/>
      <c r="F349" s="837"/>
      <c r="G349" s="837"/>
      <c r="H349" s="837"/>
      <c r="I349" s="837"/>
      <c r="J349" s="837"/>
      <c r="K349" s="837"/>
      <c r="L349" s="837"/>
      <c r="M349" s="837"/>
    </row>
    <row r="350" spans="2:13" x14ac:dyDescent="0.3">
      <c r="B350" s="326" t="str">
        <f>'PRESUPUESTO OFICIAL (Entidad)'!B131</f>
        <v>B12,1</v>
      </c>
      <c r="C350" s="331" t="str">
        <f>'PRESUPUESTO OFICIAL (Entidad)'!C131</f>
        <v>Suministrar y aplicar  Esgrafiado en Graniplast..</v>
      </c>
      <c r="D350" s="326" t="str">
        <f>'PRESUPUESTO OFICIAL (Entidad)'!D131</f>
        <v>M2</v>
      </c>
      <c r="E350" s="326"/>
      <c r="F350" s="326"/>
      <c r="G350" s="326"/>
      <c r="H350" s="326"/>
      <c r="I350" s="332"/>
      <c r="J350" s="332"/>
      <c r="K350" s="55">
        <f>ROUND(SUM(K351),2)</f>
        <v>6.6</v>
      </c>
      <c r="L350" s="332"/>
      <c r="M350" s="332"/>
    </row>
    <row r="351" spans="2:13" x14ac:dyDescent="0.3">
      <c r="B351" s="29"/>
      <c r="C351" s="276" t="s">
        <v>22</v>
      </c>
      <c r="D351" s="29" t="s">
        <v>8</v>
      </c>
      <c r="E351" s="29">
        <v>0.75</v>
      </c>
      <c r="F351" s="29">
        <v>2.2000000000000002</v>
      </c>
      <c r="G351" s="29"/>
      <c r="H351" s="29">
        <v>4</v>
      </c>
      <c r="I351" s="328"/>
      <c r="J351" s="328"/>
      <c r="K351" s="30">
        <f>(E351*H351*F351)-J351</f>
        <v>6.6000000000000005</v>
      </c>
      <c r="L351" s="328"/>
      <c r="M351" s="328"/>
    </row>
    <row r="352" spans="2:13" x14ac:dyDescent="0.3">
      <c r="B352" s="325" t="str">
        <f>'PRESUPUESTO OFICIAL (Entidad)'!B132</f>
        <v>B13</v>
      </c>
      <c r="C352" s="837" t="str">
        <f>'PRESUPUESTO OFICIAL (Entidad)'!C132</f>
        <v>POZO SÉPTICO</v>
      </c>
      <c r="D352" s="837"/>
      <c r="E352" s="837"/>
      <c r="F352" s="837"/>
      <c r="G352" s="837"/>
      <c r="H352" s="837"/>
      <c r="I352" s="837"/>
      <c r="J352" s="837"/>
      <c r="K352" s="837"/>
      <c r="L352" s="837"/>
      <c r="M352" s="837"/>
    </row>
    <row r="353" spans="2:13" ht="31.2" x14ac:dyDescent="0.3">
      <c r="B353" s="326" t="str">
        <f>'PRESUPUESTO OFICIAL (Entidad)'!B133</f>
        <v>B13,1</v>
      </c>
      <c r="C353" s="334" t="str">
        <f>'PRESUPUESTO OFICIAL (Entidad)'!C133</f>
        <v>Construir a todo costo Pozo séptico y filtro anaeróbico de 3,30 x 1,30 x 1,00 mts.</v>
      </c>
      <c r="D353" s="326" t="str">
        <f>'PRESUPUESTO OFICIAL (Entidad)'!D133</f>
        <v>UND</v>
      </c>
      <c r="E353" s="326"/>
      <c r="F353" s="326"/>
      <c r="G353" s="326"/>
      <c r="H353" s="326"/>
      <c r="I353" s="332"/>
      <c r="J353" s="332"/>
      <c r="K353" s="55">
        <f>ROUND(SUM(K354),2)</f>
        <v>1</v>
      </c>
      <c r="L353" s="332"/>
      <c r="M353" s="332"/>
    </row>
    <row r="354" spans="2:13" x14ac:dyDescent="0.3">
      <c r="B354" s="29"/>
      <c r="C354" s="276" t="s">
        <v>188</v>
      </c>
      <c r="D354" s="29" t="s">
        <v>21</v>
      </c>
      <c r="E354" s="29"/>
      <c r="F354" s="29"/>
      <c r="G354" s="29"/>
      <c r="H354" s="29">
        <v>1</v>
      </c>
      <c r="I354" s="328"/>
      <c r="J354" s="328"/>
      <c r="K354" s="30">
        <f>H354</f>
        <v>1</v>
      </c>
      <c r="L354" s="328"/>
      <c r="M354" s="328"/>
    </row>
    <row r="355" spans="2:13" x14ac:dyDescent="0.3">
      <c r="B355" s="325" t="str">
        <f>'PRESUPUESTO OFICIAL (Entidad)'!B134</f>
        <v>B14</v>
      </c>
      <c r="C355" s="837" t="str">
        <f>'PRESUPUESTO OFICIAL (Entidad)'!C134</f>
        <v>LIMPIEZA GENERAL</v>
      </c>
      <c r="D355" s="837"/>
      <c r="E355" s="837"/>
      <c r="F355" s="837"/>
      <c r="G355" s="837"/>
      <c r="H355" s="837"/>
      <c r="I355" s="837"/>
      <c r="J355" s="837"/>
      <c r="K355" s="837"/>
      <c r="L355" s="837"/>
      <c r="M355" s="837"/>
    </row>
    <row r="356" spans="2:13" x14ac:dyDescent="0.3">
      <c r="B356" s="326" t="str">
        <f>'PRESUPUESTO OFICIAL (Entidad)'!B135</f>
        <v>B14,1</v>
      </c>
      <c r="C356" s="334" t="str">
        <f>'PRESUPUESTO OFICIAL (Entidad)'!C135</f>
        <v>Aseo final de obra.</v>
      </c>
      <c r="D356" s="326" t="str">
        <f>'PRESUPUESTO OFICIAL (Entidad)'!D135</f>
        <v>M2</v>
      </c>
      <c r="E356" s="326"/>
      <c r="F356" s="326"/>
      <c r="G356" s="326"/>
      <c r="H356" s="326"/>
      <c r="I356" s="332"/>
      <c r="J356" s="332"/>
      <c r="K356" s="55">
        <f>ROUND(K357,2)</f>
        <v>24.25</v>
      </c>
      <c r="L356" s="332"/>
      <c r="M356" s="332"/>
    </row>
    <row r="357" spans="2:13" x14ac:dyDescent="0.3">
      <c r="B357" s="29"/>
      <c r="C357" s="276" t="s">
        <v>633</v>
      </c>
      <c r="D357" s="29" t="s">
        <v>8</v>
      </c>
      <c r="E357" s="29">
        <v>5.33</v>
      </c>
      <c r="F357" s="29">
        <v>4.55</v>
      </c>
      <c r="G357" s="29"/>
      <c r="H357" s="29"/>
      <c r="I357" s="328"/>
      <c r="J357" s="328"/>
      <c r="K357" s="30">
        <f>E357*F357</f>
        <v>24.2515</v>
      </c>
      <c r="L357" s="328"/>
      <c r="M357" s="328"/>
    </row>
    <row r="358" spans="2:13" x14ac:dyDescent="0.3">
      <c r="B358" s="838"/>
      <c r="C358" s="838"/>
      <c r="D358" s="838"/>
      <c r="E358" s="838"/>
      <c r="F358" s="838"/>
      <c r="G358" s="838"/>
      <c r="H358" s="838"/>
      <c r="I358" s="838"/>
      <c r="J358" s="838"/>
      <c r="K358" s="838"/>
      <c r="L358" s="838"/>
      <c r="M358" s="838"/>
    </row>
    <row r="359" spans="2:13" x14ac:dyDescent="0.3">
      <c r="B359" s="16" t="str">
        <f>'PRESUPUESTO OFICIAL (Entidad)'!B136</f>
        <v>C</v>
      </c>
      <c r="C359" s="839" t="str">
        <f>'PRESUPUESTO OFICIAL (Entidad)'!C136:F136</f>
        <v xml:space="preserve">CONSTRUCCION DE 2 AULAS EDUCATIVAS EN LA INSTITUCIÓN EDUCATIVA EL CAUCHAL SEDE PRINCIPAL </v>
      </c>
      <c r="D359" s="839"/>
      <c r="E359" s="839"/>
      <c r="F359" s="839"/>
      <c r="G359" s="839"/>
      <c r="H359" s="839"/>
      <c r="I359" s="839"/>
      <c r="J359" s="839"/>
      <c r="K359" s="839"/>
      <c r="L359" s="839"/>
      <c r="M359" s="839"/>
    </row>
    <row r="360" spans="2:13" x14ac:dyDescent="0.3">
      <c r="B360" s="39" t="str">
        <f>'PRESUPUESTO OFICIAL (Entidad)'!B137</f>
        <v>C1</v>
      </c>
      <c r="C360" s="466" t="str">
        <f>'PRESUPUESTO OFICIAL (Entidad)'!C137</f>
        <v>PRELIMINARES</v>
      </c>
      <c r="D360" s="425"/>
      <c r="E360" s="426"/>
      <c r="F360" s="426"/>
      <c r="G360" s="426"/>
      <c r="H360" s="426"/>
      <c r="I360" s="427"/>
      <c r="J360" s="427"/>
      <c r="K360" s="426"/>
      <c r="L360" s="42"/>
      <c r="M360" s="40"/>
    </row>
    <row r="361" spans="2:13" x14ac:dyDescent="0.3">
      <c r="B361" s="43" t="str">
        <f>'PRESUPUESTO OFICIAL (Entidad)'!B138</f>
        <v>C1,1</v>
      </c>
      <c r="C361" s="465" t="str">
        <f>'PRESUPUESTO OFICIAL (Entidad)'!C138</f>
        <v>Localización y Replanteo manual.</v>
      </c>
      <c r="D361" s="43" t="str">
        <f>'PRESUPUESTO OFICIAL (Entidad)'!D138</f>
        <v>M2</v>
      </c>
      <c r="E361" s="44"/>
      <c r="F361" s="429"/>
      <c r="G361" s="429"/>
      <c r="H361" s="429"/>
      <c r="I361" s="430"/>
      <c r="J361" s="430"/>
      <c r="K361" s="431">
        <f>ROUND(K362,2)</f>
        <v>149.76</v>
      </c>
      <c r="L361" s="46"/>
      <c r="M361" s="44"/>
    </row>
    <row r="362" spans="2:13" x14ac:dyDescent="0.3">
      <c r="B362" s="27"/>
      <c r="C362" s="523" t="s">
        <v>284</v>
      </c>
      <c r="D362" s="524" t="s">
        <v>8</v>
      </c>
      <c r="E362" s="525">
        <v>15.6</v>
      </c>
      <c r="F362" s="525">
        <v>9.6</v>
      </c>
      <c r="G362" s="525"/>
      <c r="H362" s="525"/>
      <c r="I362" s="526"/>
      <c r="J362" s="526"/>
      <c r="K362" s="525">
        <f>E362*F362</f>
        <v>149.76</v>
      </c>
      <c r="L362" s="516"/>
      <c r="M362" s="514"/>
    </row>
    <row r="363" spans="2:13" x14ac:dyDescent="0.3">
      <c r="B363" s="43" t="str">
        <f>'PRESUPUESTO OFICIAL (Entidad)'!B139</f>
        <v>C1,2</v>
      </c>
      <c r="C363" s="465" t="str">
        <f>'PRESUPUESTO OFICIAL (Entidad)'!C139</f>
        <v>Descapote manual  e=20cm incluye retiro.</v>
      </c>
      <c r="D363" s="43" t="str">
        <f>'PRESUPUESTO OFICIAL (Entidad)'!D139</f>
        <v>M2</v>
      </c>
      <c r="E363" s="429"/>
      <c r="F363" s="429"/>
      <c r="G363" s="429"/>
      <c r="H363" s="429"/>
      <c r="I363" s="430"/>
      <c r="J363" s="430"/>
      <c r="K363" s="431">
        <f>ROUND(K364,2)</f>
        <v>149.76</v>
      </c>
      <c r="L363" s="46"/>
      <c r="M363" s="44"/>
    </row>
    <row r="364" spans="2:13" x14ac:dyDescent="0.3">
      <c r="B364" s="12"/>
      <c r="C364" s="523" t="s">
        <v>284</v>
      </c>
      <c r="D364" s="527" t="s">
        <v>8</v>
      </c>
      <c r="E364" s="525">
        <v>15.6</v>
      </c>
      <c r="F364" s="525">
        <v>9.6</v>
      </c>
      <c r="G364" s="528"/>
      <c r="H364" s="528"/>
      <c r="I364" s="526"/>
      <c r="J364" s="526"/>
      <c r="K364" s="525">
        <f>E364*F364</f>
        <v>149.76</v>
      </c>
      <c r="L364" s="25"/>
      <c r="M364" s="13"/>
    </row>
    <row r="365" spans="2:13" x14ac:dyDescent="0.3">
      <c r="B365" s="39" t="str">
        <f>'PRESUPUESTO OFICIAL (Entidad)'!B140</f>
        <v>C2</v>
      </c>
      <c r="C365" s="466" t="str">
        <f>'PRESUPUESTO OFICIAL (Entidad)'!C140</f>
        <v>MOVIMIENTO DE TIERRA</v>
      </c>
      <c r="D365" s="425"/>
      <c r="E365" s="426"/>
      <c r="F365" s="426"/>
      <c r="G365" s="426"/>
      <c r="H365" s="426"/>
      <c r="I365" s="427"/>
      <c r="J365" s="427"/>
      <c r="K365" s="426"/>
      <c r="L365" s="42"/>
      <c r="M365" s="40"/>
    </row>
    <row r="366" spans="2:13" x14ac:dyDescent="0.3">
      <c r="B366" s="43" t="str">
        <f>'PRESUPUESTO OFICIAL (Entidad)'!B141</f>
        <v>C2,1</v>
      </c>
      <c r="C366" s="465" t="str">
        <f>'PRESUPUESTO OFICIAL (Entidad)'!C141</f>
        <v xml:space="preserve">Excavacion manual. Incluye retiro del material. </v>
      </c>
      <c r="D366" s="43" t="str">
        <f>'PRESUPUESTO OFICIAL (Entidad)'!D141</f>
        <v>M3</v>
      </c>
      <c r="E366" s="429"/>
      <c r="F366" s="429"/>
      <c r="G366" s="429"/>
      <c r="H366" s="429"/>
      <c r="I366" s="430"/>
      <c r="J366" s="430"/>
      <c r="K366" s="431">
        <f>ROUND(SUM(K367:K371),2)</f>
        <v>26.7</v>
      </c>
      <c r="L366" s="46"/>
      <c r="M366" s="44"/>
    </row>
    <row r="367" spans="2:13" x14ac:dyDescent="0.3">
      <c r="B367" s="27"/>
      <c r="C367" s="111" t="s">
        <v>281</v>
      </c>
      <c r="D367" s="524" t="s">
        <v>9</v>
      </c>
      <c r="E367" s="525">
        <f>(2.6*8)+(3.3*4)</f>
        <v>34</v>
      </c>
      <c r="F367" s="525">
        <v>0.4</v>
      </c>
      <c r="G367" s="525">
        <f>0.3+0.3</f>
        <v>0.6</v>
      </c>
      <c r="H367" s="525">
        <v>1</v>
      </c>
      <c r="I367" s="526"/>
      <c r="J367" s="526"/>
      <c r="K367" s="525">
        <f t="shared" ref="K367:K368" si="25">E367*F367*G367*H367</f>
        <v>8.16</v>
      </c>
      <c r="L367" s="516"/>
      <c r="M367" s="514"/>
    </row>
    <row r="368" spans="2:13" x14ac:dyDescent="0.3">
      <c r="B368" s="27"/>
      <c r="C368" s="111" t="s">
        <v>866</v>
      </c>
      <c r="D368" s="524" t="s">
        <v>9</v>
      </c>
      <c r="E368" s="50">
        <v>1</v>
      </c>
      <c r="F368" s="525">
        <v>1</v>
      </c>
      <c r="G368" s="525">
        <f>0.3+0.4</f>
        <v>0.7</v>
      </c>
      <c r="H368" s="525">
        <v>13</v>
      </c>
      <c r="I368" s="526"/>
      <c r="J368" s="526"/>
      <c r="K368" s="525">
        <f t="shared" si="25"/>
        <v>9.1</v>
      </c>
      <c r="L368" s="516"/>
      <c r="M368" s="514"/>
    </row>
    <row r="369" spans="2:13" x14ac:dyDescent="0.3">
      <c r="B369" s="27"/>
      <c r="C369" s="111" t="s">
        <v>867</v>
      </c>
      <c r="D369" s="524" t="s">
        <v>9</v>
      </c>
      <c r="E369" s="50">
        <v>14.7</v>
      </c>
      <c r="F369" s="525">
        <v>1</v>
      </c>
      <c r="G369" s="525">
        <v>0.3</v>
      </c>
      <c r="H369" s="525">
        <v>1</v>
      </c>
      <c r="I369" s="526"/>
      <c r="J369" s="526"/>
      <c r="K369" s="525">
        <f>E369*F369*G369*H369</f>
        <v>4.4099999999999993</v>
      </c>
      <c r="L369" s="516"/>
      <c r="M369" s="514"/>
    </row>
    <row r="370" spans="2:13" x14ac:dyDescent="0.3">
      <c r="B370" s="27"/>
      <c r="C370" s="61" t="s">
        <v>1114</v>
      </c>
      <c r="D370" s="27" t="s">
        <v>9</v>
      </c>
      <c r="E370" s="58">
        <f>E369</f>
        <v>14.7</v>
      </c>
      <c r="F370" s="58">
        <v>0.17</v>
      </c>
      <c r="G370" s="58">
        <v>0.6</v>
      </c>
      <c r="H370" s="58">
        <v>1</v>
      </c>
      <c r="I370" s="526"/>
      <c r="J370" s="526"/>
      <c r="K370" s="525">
        <f t="shared" ref="K370:K371" si="26">E370*F370*G370*H370</f>
        <v>1.4994000000000001</v>
      </c>
      <c r="L370" s="516"/>
      <c r="M370" s="514"/>
    </row>
    <row r="371" spans="2:13" x14ac:dyDescent="0.3">
      <c r="B371" s="27"/>
      <c r="C371" s="61" t="s">
        <v>282</v>
      </c>
      <c r="D371" s="27" t="s">
        <v>9</v>
      </c>
      <c r="E371" s="58">
        <f>E370</f>
        <v>14.7</v>
      </c>
      <c r="F371" s="58">
        <v>0.6</v>
      </c>
      <c r="G371" s="58">
        <v>0.4</v>
      </c>
      <c r="H371" s="58">
        <v>1</v>
      </c>
      <c r="I371" s="526"/>
      <c r="J371" s="526"/>
      <c r="K371" s="525">
        <f t="shared" si="26"/>
        <v>3.5279999999999996</v>
      </c>
      <c r="L371" s="516"/>
      <c r="M371" s="514"/>
    </row>
    <row r="372" spans="2:13" x14ac:dyDescent="0.3">
      <c r="B372" s="43" t="str">
        <f>'PRESUPUESTO OFICIAL (Entidad)'!B142</f>
        <v>C2,2</v>
      </c>
      <c r="C372" s="465" t="str">
        <f>'PRESUPUESTO OFICIAL (Entidad)'!C142</f>
        <v>Relleno en recebo compactado mecánicamente.</v>
      </c>
      <c r="D372" s="43" t="str">
        <f>'PRESUPUESTO OFICIAL (Entidad)'!D142</f>
        <v>M3</v>
      </c>
      <c r="E372" s="429"/>
      <c r="F372" s="429"/>
      <c r="G372" s="429"/>
      <c r="H372" s="429"/>
      <c r="I372" s="430"/>
      <c r="J372" s="430"/>
      <c r="K372" s="431">
        <f>ROUND(SUM(K373:K375),2)</f>
        <v>5.87</v>
      </c>
      <c r="L372" s="432"/>
      <c r="M372" s="44"/>
    </row>
    <row r="373" spans="2:13" x14ac:dyDescent="0.3">
      <c r="B373" s="27"/>
      <c r="C373" s="111" t="s">
        <v>281</v>
      </c>
      <c r="D373" s="524" t="s">
        <v>9</v>
      </c>
      <c r="E373" s="525">
        <f>E367</f>
        <v>34</v>
      </c>
      <c r="F373" s="525">
        <v>0.1</v>
      </c>
      <c r="G373" s="525">
        <v>0.3</v>
      </c>
      <c r="H373" s="525">
        <v>1</v>
      </c>
      <c r="I373" s="526"/>
      <c r="J373" s="526"/>
      <c r="K373" s="525">
        <f>E373*F373*G373*H373</f>
        <v>1.02</v>
      </c>
      <c r="L373" s="529"/>
      <c r="M373" s="514"/>
    </row>
    <row r="374" spans="2:13" x14ac:dyDescent="0.3">
      <c r="B374" s="27"/>
      <c r="C374" s="111" t="s">
        <v>866</v>
      </c>
      <c r="D374" s="524" t="s">
        <v>9</v>
      </c>
      <c r="E374" s="50">
        <f>0.7</f>
        <v>0.7</v>
      </c>
      <c r="F374" s="50">
        <v>0.7</v>
      </c>
      <c r="G374" s="50">
        <v>0.3</v>
      </c>
      <c r="H374" s="30">
        <v>13</v>
      </c>
      <c r="I374" s="526"/>
      <c r="J374" s="526"/>
      <c r="K374" s="525">
        <f>E374*F374*G374*H374</f>
        <v>1.9109999999999996</v>
      </c>
      <c r="L374" s="516"/>
      <c r="M374" s="514"/>
    </row>
    <row r="375" spans="2:13" x14ac:dyDescent="0.3">
      <c r="B375" s="27"/>
      <c r="C375" s="111" t="s">
        <v>867</v>
      </c>
      <c r="D375" s="524" t="s">
        <v>9</v>
      </c>
      <c r="E375" s="50">
        <f>E369</f>
        <v>14.7</v>
      </c>
      <c r="F375" s="525">
        <v>1</v>
      </c>
      <c r="G375" s="50">
        <v>0.2</v>
      </c>
      <c r="H375" s="30">
        <v>1</v>
      </c>
      <c r="I375" s="526"/>
      <c r="J375" s="526"/>
      <c r="K375" s="525">
        <f t="shared" ref="K375" si="27">E375*F375*G375*H375</f>
        <v>2.94</v>
      </c>
      <c r="L375" s="516"/>
      <c r="M375" s="514"/>
    </row>
    <row r="376" spans="2:13" x14ac:dyDescent="0.3">
      <c r="B376" s="39" t="str">
        <f>'PRESUPUESTO OFICIAL (Entidad)'!B143</f>
        <v>C3</v>
      </c>
      <c r="C376" s="466" t="str">
        <f>'PRESUPUESTO OFICIAL (Entidad)'!C143</f>
        <v>CIMIENTOS</v>
      </c>
      <c r="D376" s="425"/>
      <c r="E376" s="426"/>
      <c r="F376" s="426"/>
      <c r="G376" s="426"/>
      <c r="H376" s="426"/>
      <c r="I376" s="427"/>
      <c r="J376" s="427"/>
      <c r="K376" s="426"/>
      <c r="L376" s="434"/>
      <c r="M376" s="40"/>
    </row>
    <row r="377" spans="2:13" ht="31.2" x14ac:dyDescent="0.3">
      <c r="B377" s="43" t="str">
        <f>'PRESUPUESTO OFICIAL (Entidad)'!B144</f>
        <v>C3,1</v>
      </c>
      <c r="C377" s="465" t="str">
        <f>'PRESUPUESTO OFICIAL (Entidad)'!C144</f>
        <v>Concreto Ciclópeo (40% en piedra media zonga y 60% concreto 2500 PSI de 0,30*0,40 m).</v>
      </c>
      <c r="D377" s="43" t="str">
        <f>'PRESUPUESTO OFICIAL (Entidad)'!D144</f>
        <v>M3</v>
      </c>
      <c r="E377" s="429"/>
      <c r="F377" s="429"/>
      <c r="G377" s="429"/>
      <c r="H377" s="429"/>
      <c r="I377" s="430"/>
      <c r="J377" s="430"/>
      <c r="K377" s="431">
        <f>ROUND(K378,2)</f>
        <v>4.08</v>
      </c>
      <c r="L377" s="432"/>
      <c r="M377" s="44"/>
    </row>
    <row r="378" spans="2:13" x14ac:dyDescent="0.3">
      <c r="B378" s="27"/>
      <c r="C378" s="523" t="s">
        <v>868</v>
      </c>
      <c r="D378" s="524" t="s">
        <v>9</v>
      </c>
      <c r="E378" s="525">
        <f>E367</f>
        <v>34</v>
      </c>
      <c r="F378" s="525">
        <v>0.4</v>
      </c>
      <c r="G378" s="525">
        <v>0.3</v>
      </c>
      <c r="H378" s="525">
        <v>1</v>
      </c>
      <c r="I378" s="526"/>
      <c r="J378" s="526"/>
      <c r="K378" s="525">
        <f>E378*F378*G378*H378</f>
        <v>4.08</v>
      </c>
      <c r="L378" s="516"/>
      <c r="M378" s="514"/>
    </row>
    <row r="379" spans="2:13" x14ac:dyDescent="0.3">
      <c r="B379" s="43" t="str">
        <f>'PRESUPUESTO OFICIAL (Entidad)'!B145</f>
        <v>C3,2</v>
      </c>
      <c r="C379" s="465" t="str">
        <f>'PRESUPUESTO OFICIAL (Entidad)'!C145</f>
        <v>Cimentación tipo zapatas en concreto de 3000 P.S.I (1,00*1,00*0,40 m).</v>
      </c>
      <c r="D379" s="43" t="str">
        <f>'PRESUPUESTO OFICIAL (Entidad)'!D145</f>
        <v>M3</v>
      </c>
      <c r="E379" s="429"/>
      <c r="F379" s="429"/>
      <c r="G379" s="429"/>
      <c r="H379" s="429"/>
      <c r="I379" s="430"/>
      <c r="J379" s="430"/>
      <c r="K379" s="431">
        <f>ROUND(K380,2)</f>
        <v>5.2</v>
      </c>
      <c r="L379" s="46"/>
      <c r="M379" s="44"/>
    </row>
    <row r="380" spans="2:13" x14ac:dyDescent="0.3">
      <c r="B380" s="27"/>
      <c r="C380" s="523" t="s">
        <v>869</v>
      </c>
      <c r="D380" s="524" t="s">
        <v>9</v>
      </c>
      <c r="E380" s="525">
        <v>1</v>
      </c>
      <c r="F380" s="525">
        <v>1</v>
      </c>
      <c r="G380" s="525">
        <v>0.4</v>
      </c>
      <c r="H380" s="525">
        <v>13</v>
      </c>
      <c r="I380" s="526"/>
      <c r="J380" s="526"/>
      <c r="K380" s="525">
        <f>E380*F380*G380*H380</f>
        <v>5.2</v>
      </c>
      <c r="L380" s="516"/>
      <c r="M380" s="514"/>
    </row>
    <row r="381" spans="2:13" ht="31.2" x14ac:dyDescent="0.3">
      <c r="B381" s="43" t="str">
        <f>'PRESUPUESTO OFICIAL (Entidad)'!B146</f>
        <v>C3,3</v>
      </c>
      <c r="C381" s="465" t="str">
        <f>'PRESUPUESTO OFICIAL (Entidad)'!C146</f>
        <v>Viga de cimentacion en concreto de 3000 P.S.I.(0,30*0,30m), incluye acero de refuerzo de 60000 P.S.I (4Ø5/8" refuerzo y E=Ø3/8" c/d. 0,10 m).</v>
      </c>
      <c r="D381" s="43" t="str">
        <f>'PRESUPUESTO OFICIAL (Entidad)'!D146</f>
        <v>ML</v>
      </c>
      <c r="E381" s="429"/>
      <c r="F381" s="429"/>
      <c r="G381" s="429"/>
      <c r="H381" s="429"/>
      <c r="I381" s="430"/>
      <c r="J381" s="430"/>
      <c r="K381" s="431">
        <f>ROUND(SUM(K382:K386),2)</f>
        <v>50.4</v>
      </c>
      <c r="L381" s="46"/>
      <c r="M381" s="44"/>
    </row>
    <row r="382" spans="2:13" x14ac:dyDescent="0.3">
      <c r="B382" s="12"/>
      <c r="C382" s="111" t="s">
        <v>1079</v>
      </c>
      <c r="D382" s="524" t="s">
        <v>19</v>
      </c>
      <c r="E382" s="30">
        <f>3.3*4</f>
        <v>13.2</v>
      </c>
      <c r="F382" s="528"/>
      <c r="G382" s="528"/>
      <c r="H382" s="528"/>
      <c r="I382" s="526"/>
      <c r="J382" s="526"/>
      <c r="K382" s="525">
        <f>E382</f>
        <v>13.2</v>
      </c>
      <c r="L382" s="25"/>
      <c r="M382" s="13"/>
    </row>
    <row r="383" spans="2:13" x14ac:dyDescent="0.3">
      <c r="B383" s="12"/>
      <c r="C383" s="111" t="s">
        <v>1080</v>
      </c>
      <c r="D383" s="524" t="s">
        <v>19</v>
      </c>
      <c r="E383" s="30">
        <f>3.3*4</f>
        <v>13.2</v>
      </c>
      <c r="F383" s="528"/>
      <c r="G383" s="528"/>
      <c r="H383" s="528"/>
      <c r="I383" s="526"/>
      <c r="J383" s="526"/>
      <c r="K383" s="525">
        <f t="shared" ref="K383:K386" si="28">E383</f>
        <v>13.2</v>
      </c>
      <c r="L383" s="25"/>
      <c r="M383" s="13"/>
    </row>
    <row r="384" spans="2:13" x14ac:dyDescent="0.3">
      <c r="B384" s="12"/>
      <c r="C384" s="111" t="s">
        <v>870</v>
      </c>
      <c r="D384" s="524" t="s">
        <v>19</v>
      </c>
      <c r="E384" s="30">
        <f>4*2</f>
        <v>8</v>
      </c>
      <c r="F384" s="528"/>
      <c r="G384" s="528"/>
      <c r="H384" s="528"/>
      <c r="I384" s="526"/>
      <c r="J384" s="526"/>
      <c r="K384" s="525">
        <f t="shared" si="28"/>
        <v>8</v>
      </c>
      <c r="L384" s="25"/>
      <c r="M384" s="13"/>
    </row>
    <row r="385" spans="2:13" x14ac:dyDescent="0.3">
      <c r="B385" s="12"/>
      <c r="C385" s="111" t="s">
        <v>278</v>
      </c>
      <c r="D385" s="524" t="s">
        <v>19</v>
      </c>
      <c r="E385" s="30">
        <f>4*2</f>
        <v>8</v>
      </c>
      <c r="F385" s="528"/>
      <c r="G385" s="528"/>
      <c r="H385" s="528"/>
      <c r="I385" s="526"/>
      <c r="J385" s="526"/>
      <c r="K385" s="525">
        <f t="shared" si="28"/>
        <v>8</v>
      </c>
      <c r="L385" s="25"/>
      <c r="M385" s="13"/>
    </row>
    <row r="386" spans="2:13" x14ac:dyDescent="0.3">
      <c r="B386" s="12"/>
      <c r="C386" s="111" t="s">
        <v>1081</v>
      </c>
      <c r="D386" s="524" t="s">
        <v>19</v>
      </c>
      <c r="E386" s="30">
        <f>4*2</f>
        <v>8</v>
      </c>
      <c r="F386" s="528"/>
      <c r="G386" s="528"/>
      <c r="H386" s="528"/>
      <c r="I386" s="526"/>
      <c r="J386" s="526"/>
      <c r="K386" s="525">
        <f t="shared" si="28"/>
        <v>8</v>
      </c>
      <c r="L386" s="25"/>
      <c r="M386" s="13"/>
    </row>
    <row r="387" spans="2:13" ht="31.2" x14ac:dyDescent="0.3">
      <c r="B387" s="43" t="str">
        <f>'PRESUPUESTO OFICIAL (Entidad)'!B147</f>
        <v>C3,4</v>
      </c>
      <c r="C387" s="465" t="str">
        <f>'PRESUPUESTO OFICIAL (Entidad)'!C147</f>
        <v>Acero de refuerzo de 60000 PSI,  para zapatas y nudos en arranque de coumnas (incluye refuezo figurado y armado).</v>
      </c>
      <c r="D387" s="43" t="str">
        <f>'PRESUPUESTO OFICIAL (Entidad)'!D147</f>
        <v>KG</v>
      </c>
      <c r="E387" s="429"/>
      <c r="F387" s="429"/>
      <c r="G387" s="429"/>
      <c r="H387" s="429"/>
      <c r="I387" s="430"/>
      <c r="J387" s="430"/>
      <c r="K387" s="55">
        <f>ROUND(SUM(K388:K390),2)</f>
        <v>351.4</v>
      </c>
      <c r="L387" s="46"/>
      <c r="M387" s="44"/>
    </row>
    <row r="388" spans="2:13" x14ac:dyDescent="0.3">
      <c r="B388" s="12"/>
      <c r="C388" s="523" t="s">
        <v>871</v>
      </c>
      <c r="D388" s="524" t="s">
        <v>111</v>
      </c>
      <c r="E388" s="525">
        <v>1.34</v>
      </c>
      <c r="F388" s="525"/>
      <c r="G388" s="525"/>
      <c r="H388" s="525">
        <v>13</v>
      </c>
      <c r="I388" s="524">
        <v>1.552</v>
      </c>
      <c r="J388" s="524"/>
      <c r="K388" s="525">
        <f>E388*L388*H388*I388</f>
        <v>270.35840000000002</v>
      </c>
      <c r="L388" s="516">
        <v>10</v>
      </c>
      <c r="M388" s="13"/>
    </row>
    <row r="389" spans="2:13" x14ac:dyDescent="0.3">
      <c r="B389" s="12"/>
      <c r="C389" s="523" t="s">
        <v>872</v>
      </c>
      <c r="D389" s="524" t="s">
        <v>111</v>
      </c>
      <c r="E389" s="525">
        <v>0.6</v>
      </c>
      <c r="F389" s="525"/>
      <c r="G389" s="530"/>
      <c r="H389" s="525">
        <v>13</v>
      </c>
      <c r="I389" s="524">
        <v>1.552</v>
      </c>
      <c r="J389" s="524"/>
      <c r="K389" s="525">
        <f>E389*L389*H389*I389</f>
        <v>48.422400000000003</v>
      </c>
      <c r="L389" s="525">
        <v>4</v>
      </c>
      <c r="M389" s="13"/>
    </row>
    <row r="390" spans="2:13" x14ac:dyDescent="0.3">
      <c r="B390" s="12"/>
      <c r="C390" s="523" t="s">
        <v>873</v>
      </c>
      <c r="D390" s="524" t="s">
        <v>111</v>
      </c>
      <c r="E390" s="525">
        <v>1.1200000000000001</v>
      </c>
      <c r="F390" s="525"/>
      <c r="G390" s="530"/>
      <c r="H390" s="525">
        <v>13</v>
      </c>
      <c r="I390" s="524">
        <v>0.56000000000000005</v>
      </c>
      <c r="J390" s="524"/>
      <c r="K390" s="525">
        <f>E390*L390*H390*I390</f>
        <v>32.61440000000001</v>
      </c>
      <c r="L390" s="525">
        <v>4</v>
      </c>
      <c r="M390" s="13"/>
    </row>
    <row r="391" spans="2:13" x14ac:dyDescent="0.3">
      <c r="B391" s="43" t="str">
        <f>'PRESUPUESTO OFICIAL (Entidad)'!B148</f>
        <v>C3,5</v>
      </c>
      <c r="C391" s="465" t="str">
        <f>'PRESUPUESTO OFICIAL (Entidad)'!C148</f>
        <v>Cimentación tipo solado de limpieza concreto 1700 psi e=0,05 m.</v>
      </c>
      <c r="D391" s="43" t="str">
        <f>'PRESUPUESTO OFICIAL (Entidad)'!D148</f>
        <v>M2</v>
      </c>
      <c r="E391" s="435"/>
      <c r="F391" s="435"/>
      <c r="G391" s="435"/>
      <c r="H391" s="435"/>
      <c r="I391" s="436"/>
      <c r="J391" s="436"/>
      <c r="K391" s="431">
        <f>ROUND(SUM(K392:K392),2)</f>
        <v>13</v>
      </c>
      <c r="L391" s="60"/>
      <c r="M391" s="44"/>
    </row>
    <row r="392" spans="2:13" x14ac:dyDescent="0.3">
      <c r="B392" s="12"/>
      <c r="C392" s="523" t="s">
        <v>874</v>
      </c>
      <c r="D392" s="524" t="s">
        <v>8</v>
      </c>
      <c r="E392" s="525">
        <v>1</v>
      </c>
      <c r="F392" s="525">
        <v>1</v>
      </c>
      <c r="G392" s="525"/>
      <c r="H392" s="525">
        <v>13</v>
      </c>
      <c r="I392" s="524"/>
      <c r="J392" s="524"/>
      <c r="K392" s="525">
        <f>E392*F392*H392</f>
        <v>13</v>
      </c>
      <c r="L392" s="516"/>
      <c r="M392" s="13"/>
    </row>
    <row r="393" spans="2:13" x14ac:dyDescent="0.3">
      <c r="B393" s="39" t="str">
        <f>'PRESUPUESTO OFICIAL (Entidad)'!B149</f>
        <v>C4</v>
      </c>
      <c r="C393" s="466" t="str">
        <f>'PRESUPUESTO OFICIAL (Entidad)'!C149</f>
        <v>ESTRUCTURA</v>
      </c>
      <c r="D393" s="425"/>
      <c r="E393" s="426"/>
      <c r="F393" s="426"/>
      <c r="G393" s="426"/>
      <c r="H393" s="426"/>
      <c r="I393" s="427"/>
      <c r="J393" s="427"/>
      <c r="K393" s="426"/>
      <c r="L393" s="434"/>
      <c r="M393" s="40"/>
    </row>
    <row r="394" spans="2:13" ht="31.2" x14ac:dyDescent="0.3">
      <c r="B394" s="428" t="str">
        <f>'PRESUPUESTO OFICIAL (Entidad)'!B150</f>
        <v>C4,1</v>
      </c>
      <c r="C394" s="464" t="str">
        <f>'PRESUPUESTO OFICIAL (Entidad)'!C150</f>
        <v>Viga aerea en concreto de 3000 P.S.I  (0,30*0,30m),  incluye acero de refuerzo de 60000 P.S.I (4Ø5/8" refuerzo y E=Ø3/8" c/d. 0,10 m).</v>
      </c>
      <c r="D394" s="428" t="str">
        <f>'PRESUPUESTO OFICIAL (Entidad)'!D150</f>
        <v>ML</v>
      </c>
      <c r="E394" s="429"/>
      <c r="F394" s="429"/>
      <c r="G394" s="429"/>
      <c r="H394" s="429"/>
      <c r="I394" s="430"/>
      <c r="J394" s="430"/>
      <c r="K394" s="55">
        <f>ROUND(SUM(K395:K399),2)</f>
        <v>56.3</v>
      </c>
      <c r="L394" s="432"/>
      <c r="M394" s="44"/>
    </row>
    <row r="395" spans="2:13" x14ac:dyDescent="0.3">
      <c r="B395" s="12"/>
      <c r="C395" s="111" t="s">
        <v>1079</v>
      </c>
      <c r="D395" s="524" t="s">
        <v>19</v>
      </c>
      <c r="E395" s="30">
        <f>(3.3*4)+0.5+0.5</f>
        <v>14.2</v>
      </c>
      <c r="F395" s="525"/>
      <c r="G395" s="525"/>
      <c r="H395" s="525"/>
      <c r="I395" s="526"/>
      <c r="J395" s="526"/>
      <c r="K395" s="525">
        <f>E395</f>
        <v>14.2</v>
      </c>
      <c r="L395" s="25"/>
      <c r="M395" s="13"/>
    </row>
    <row r="396" spans="2:13" x14ac:dyDescent="0.3">
      <c r="B396" s="12"/>
      <c r="C396" s="111" t="s">
        <v>1080</v>
      </c>
      <c r="D396" s="524" t="s">
        <v>19</v>
      </c>
      <c r="E396" s="30">
        <f>(3.3*4)+0.5+0.5</f>
        <v>14.2</v>
      </c>
      <c r="F396" s="525"/>
      <c r="G396" s="525"/>
      <c r="H396" s="525"/>
      <c r="I396" s="526"/>
      <c r="J396" s="526"/>
      <c r="K396" s="525">
        <f t="shared" ref="K396:K399" si="29">E396</f>
        <v>14.2</v>
      </c>
      <c r="L396" s="25"/>
      <c r="M396" s="13"/>
    </row>
    <row r="397" spans="2:13" x14ac:dyDescent="0.3">
      <c r="B397" s="12"/>
      <c r="C397" s="111" t="s">
        <v>870</v>
      </c>
      <c r="D397" s="524" t="s">
        <v>19</v>
      </c>
      <c r="E397" s="30">
        <f>(4*2)+0.8+0.5</f>
        <v>9.3000000000000007</v>
      </c>
      <c r="F397" s="525"/>
      <c r="G397" s="525"/>
      <c r="H397" s="525"/>
      <c r="I397" s="526"/>
      <c r="J397" s="526"/>
      <c r="K397" s="525">
        <f t="shared" si="29"/>
        <v>9.3000000000000007</v>
      </c>
      <c r="L397" s="25"/>
      <c r="M397" s="13"/>
    </row>
    <row r="398" spans="2:13" x14ac:dyDescent="0.3">
      <c r="B398" s="12"/>
      <c r="C398" s="111" t="s">
        <v>278</v>
      </c>
      <c r="D398" s="524" t="s">
        <v>19</v>
      </c>
      <c r="E398" s="30">
        <f>(4*2)+0.8+0.5</f>
        <v>9.3000000000000007</v>
      </c>
      <c r="F398" s="525"/>
      <c r="G398" s="525"/>
      <c r="H398" s="525"/>
      <c r="I398" s="526"/>
      <c r="J398" s="526"/>
      <c r="K398" s="525">
        <f t="shared" si="29"/>
        <v>9.3000000000000007</v>
      </c>
      <c r="L398" s="25"/>
      <c r="M398" s="13"/>
    </row>
    <row r="399" spans="2:13" x14ac:dyDescent="0.3">
      <c r="B399" s="12"/>
      <c r="C399" s="111" t="s">
        <v>1081</v>
      </c>
      <c r="D399" s="524" t="s">
        <v>19</v>
      </c>
      <c r="E399" s="30">
        <f>(4*2)+0.8+0.5</f>
        <v>9.3000000000000007</v>
      </c>
      <c r="F399" s="525"/>
      <c r="G399" s="525"/>
      <c r="H399" s="525"/>
      <c r="I399" s="526"/>
      <c r="J399" s="526"/>
      <c r="K399" s="525">
        <f t="shared" si="29"/>
        <v>9.3000000000000007</v>
      </c>
      <c r="L399" s="25"/>
      <c r="M399" s="13"/>
    </row>
    <row r="400" spans="2:13" ht="31.2" x14ac:dyDescent="0.3">
      <c r="B400" s="43" t="str">
        <f>'PRESUPUESTO OFICIAL (Entidad)'!B151</f>
        <v>C4,2</v>
      </c>
      <c r="C400" s="465" t="str">
        <f>'PRESUPUESTO OFICIAL (Entidad)'!C151</f>
        <v>Columna en concreto de 3000 PSI (0.30x0.30m),  incluye acero de refuerzo de 60000 P.S.I (4Ø5/8" refuerzo y E=Ø3/8" c/d. 0,10 m).</v>
      </c>
      <c r="D400" s="43" t="str">
        <f>'PRESUPUESTO OFICIAL (Entidad)'!D151</f>
        <v>ML</v>
      </c>
      <c r="E400" s="429"/>
      <c r="F400" s="429"/>
      <c r="G400" s="429"/>
      <c r="H400" s="429"/>
      <c r="I400" s="430"/>
      <c r="J400" s="430"/>
      <c r="K400" s="55">
        <f>ROUND(SUM(K401:K403),2)</f>
        <v>30.18</v>
      </c>
      <c r="L400" s="46"/>
      <c r="M400" s="44"/>
    </row>
    <row r="401" spans="2:14" x14ac:dyDescent="0.3">
      <c r="B401" s="12"/>
      <c r="C401" s="111" t="s">
        <v>1082</v>
      </c>
      <c r="D401" s="524" t="s">
        <v>19</v>
      </c>
      <c r="E401" s="525">
        <f>2.4+0.3+0.3</f>
        <v>2.9999999999999996</v>
      </c>
      <c r="F401" s="525"/>
      <c r="G401" s="525"/>
      <c r="H401" s="525">
        <v>3</v>
      </c>
      <c r="I401" s="526"/>
      <c r="J401" s="526"/>
      <c r="K401" s="525">
        <f>E401*H401</f>
        <v>8.9999999999999982</v>
      </c>
      <c r="L401" s="25"/>
      <c r="M401" s="13"/>
    </row>
    <row r="402" spans="2:14" x14ac:dyDescent="0.3">
      <c r="B402" s="12"/>
      <c r="C402" s="111" t="s">
        <v>1083</v>
      </c>
      <c r="D402" s="524" t="s">
        <v>19</v>
      </c>
      <c r="E402" s="525">
        <f>3.76+0.3</f>
        <v>4.0599999999999996</v>
      </c>
      <c r="F402" s="525"/>
      <c r="G402" s="525"/>
      <c r="H402" s="525">
        <v>3</v>
      </c>
      <c r="I402" s="526"/>
      <c r="J402" s="526"/>
      <c r="K402" s="525">
        <f>E402*H402</f>
        <v>12.18</v>
      </c>
      <c r="L402" s="25"/>
      <c r="M402" s="13"/>
    </row>
    <row r="403" spans="2:14" x14ac:dyDescent="0.3">
      <c r="B403" s="12"/>
      <c r="C403" s="111" t="s">
        <v>1084</v>
      </c>
      <c r="D403" s="524" t="s">
        <v>19</v>
      </c>
      <c r="E403" s="525">
        <v>3</v>
      </c>
      <c r="F403" s="525"/>
      <c r="G403" s="525"/>
      <c r="H403" s="525">
        <v>3</v>
      </c>
      <c r="I403" s="526"/>
      <c r="J403" s="526"/>
      <c r="K403" s="525">
        <f>E403*H403</f>
        <v>9</v>
      </c>
      <c r="L403" s="25"/>
      <c r="M403" s="13"/>
    </row>
    <row r="404" spans="2:14" ht="31.2" x14ac:dyDescent="0.3">
      <c r="B404" s="43" t="str">
        <f>'PRESUPUESTO OFICIAL (Entidad)'!B152</f>
        <v>C4,3</v>
      </c>
      <c r="C404" s="465" t="str">
        <f>'PRESUPUESTO OFICIAL (Entidad)'!C152</f>
        <v>Columna en concreto de 3000 PSI (0.30x0.30 m),  incluye acero de refuerzo de 60000 P.S.I (4Ø5/8" y 2Ø1/2" refuerzo y E=Ø3/8" c/d. 0,10 m).</v>
      </c>
      <c r="D404" s="43" t="str">
        <f>'PRESUPUESTO OFICIAL (Entidad)'!D152</f>
        <v>ML</v>
      </c>
      <c r="E404" s="429"/>
      <c r="F404" s="429"/>
      <c r="G404" s="429"/>
      <c r="H404" s="429"/>
      <c r="I404" s="430"/>
      <c r="J404" s="430"/>
      <c r="K404" s="55">
        <f>ROUND(SUM(K405:K405),2)</f>
        <v>12</v>
      </c>
      <c r="L404" s="432"/>
      <c r="M404" s="44"/>
    </row>
    <row r="405" spans="2:14" x14ac:dyDescent="0.3">
      <c r="B405" s="12"/>
      <c r="C405" s="111" t="s">
        <v>1103</v>
      </c>
      <c r="D405" s="524" t="s">
        <v>19</v>
      </c>
      <c r="E405" s="525">
        <v>3</v>
      </c>
      <c r="F405" s="525"/>
      <c r="G405" s="525"/>
      <c r="H405" s="525">
        <v>4</v>
      </c>
      <c r="I405" s="526"/>
      <c r="J405" s="526"/>
      <c r="K405" s="525">
        <f>E405*H405</f>
        <v>12</v>
      </c>
      <c r="L405" s="529"/>
      <c r="M405" s="13"/>
    </row>
    <row r="406" spans="2:14" x14ac:dyDescent="0.3">
      <c r="B406" s="43" t="str">
        <f>'PRESUPUESTO OFICIAL (Entidad)'!B153</f>
        <v>C4,4</v>
      </c>
      <c r="C406" s="465" t="str">
        <f>'PRESUPUESTO OFICIAL (Entidad)'!C153</f>
        <v>Viga culata 0.20x0.10 m, incl. Acero (2- 3/8, E-1/4" c/d. 0,10 m).</v>
      </c>
      <c r="D406" s="43" t="str">
        <f>'PRESUPUESTO OFICIAL (Entidad)'!D153</f>
        <v>ML</v>
      </c>
      <c r="E406" s="429"/>
      <c r="F406" s="429"/>
      <c r="G406" s="429"/>
      <c r="H406" s="429"/>
      <c r="I406" s="430"/>
      <c r="J406" s="430"/>
      <c r="K406" s="431">
        <f>ROUND(SUM(K407:K409),2)</f>
        <v>30.36</v>
      </c>
      <c r="L406" s="46"/>
      <c r="M406" s="44"/>
    </row>
    <row r="407" spans="2:14" x14ac:dyDescent="0.3">
      <c r="B407" s="27"/>
      <c r="C407" s="111" t="s">
        <v>875</v>
      </c>
      <c r="D407" s="524" t="s">
        <v>19</v>
      </c>
      <c r="E407" s="525">
        <f>10.42-0.3</f>
        <v>10.119999999999999</v>
      </c>
      <c r="F407" s="525"/>
      <c r="G407" s="525"/>
      <c r="H407" s="525"/>
      <c r="I407" s="526"/>
      <c r="J407" s="526"/>
      <c r="K407" s="525">
        <f>E407</f>
        <v>10.119999999999999</v>
      </c>
      <c r="L407" s="516"/>
      <c r="M407" s="514"/>
    </row>
    <row r="408" spans="2:14" x14ac:dyDescent="0.3">
      <c r="B408" s="27"/>
      <c r="C408" s="111" t="s">
        <v>1102</v>
      </c>
      <c r="D408" s="524" t="s">
        <v>19</v>
      </c>
      <c r="E408" s="525">
        <f>10.42-0.3</f>
        <v>10.119999999999999</v>
      </c>
      <c r="F408" s="525"/>
      <c r="G408" s="525"/>
      <c r="H408" s="525"/>
      <c r="I408" s="526"/>
      <c r="J408" s="526"/>
      <c r="K408" s="525">
        <f>E408</f>
        <v>10.119999999999999</v>
      </c>
      <c r="L408" s="516"/>
      <c r="M408" s="514"/>
    </row>
    <row r="409" spans="2:14" x14ac:dyDescent="0.3">
      <c r="B409" s="27"/>
      <c r="C409" s="111" t="s">
        <v>876</v>
      </c>
      <c r="D409" s="524" t="s">
        <v>19</v>
      </c>
      <c r="E409" s="525">
        <f>10.42-0.3</f>
        <v>10.119999999999999</v>
      </c>
      <c r="F409" s="525"/>
      <c r="G409" s="525"/>
      <c r="H409" s="525"/>
      <c r="I409" s="526"/>
      <c r="J409" s="526"/>
      <c r="K409" s="525">
        <f t="shared" ref="K409" si="30">E409</f>
        <v>10.119999999999999</v>
      </c>
      <c r="L409" s="516"/>
      <c r="M409" s="514"/>
    </row>
    <row r="410" spans="2:14" ht="31.2" x14ac:dyDescent="0.3">
      <c r="B410" s="43" t="str">
        <f>'PRESUPUESTO OFICIAL (Entidad)'!B154</f>
        <v>C4,5</v>
      </c>
      <c r="C410" s="465" t="str">
        <f>'PRESUPUESTO OFICIAL (Entidad)'!C154</f>
        <v>Columneta 0,20x0,20 m, en concreto de 3000 psi,  incluye acero de refuerzo de 60000 P.S.I (4Ø1/2" y 2Ø3/8" refuerzo y E=Ø3/8" c/d. 0,10 m).</v>
      </c>
      <c r="D410" s="43" t="str">
        <f>'PRESUPUESTO OFICIAL (Entidad)'!D154</f>
        <v>ML</v>
      </c>
      <c r="E410" s="44"/>
      <c r="F410" s="44"/>
      <c r="G410" s="44"/>
      <c r="H410" s="44"/>
      <c r="I410" s="45"/>
      <c r="J410" s="45"/>
      <c r="K410" s="437">
        <f>ROUND(SUM(K411:K411),2)</f>
        <v>4.8</v>
      </c>
      <c r="L410" s="46"/>
      <c r="M410" s="44"/>
    </row>
    <row r="411" spans="2:14" x14ac:dyDescent="0.3">
      <c r="B411" s="12"/>
      <c r="C411" s="531" t="s">
        <v>1104</v>
      </c>
      <c r="D411" s="524" t="s">
        <v>19</v>
      </c>
      <c r="E411" s="514">
        <v>2.4</v>
      </c>
      <c r="F411" s="514"/>
      <c r="G411" s="514"/>
      <c r="H411" s="514">
        <v>2</v>
      </c>
      <c r="I411" s="513"/>
      <c r="J411" s="513"/>
      <c r="K411" s="58">
        <f>E411*H411</f>
        <v>4.8</v>
      </c>
      <c r="L411" s="532"/>
      <c r="M411" s="13"/>
    </row>
    <row r="412" spans="2:14" x14ac:dyDescent="0.3">
      <c r="B412" s="39" t="str">
        <f>'PRESUPUESTO OFICIAL (Entidad)'!B155</f>
        <v>C5</v>
      </c>
      <c r="C412" s="466" t="str">
        <f>'PRESUPUESTO OFICIAL (Entidad)'!C155</f>
        <v>MAMPOSTERIA</v>
      </c>
      <c r="D412" s="438"/>
      <c r="E412" s="439"/>
      <c r="F412" s="439"/>
      <c r="G412" s="439"/>
      <c r="H412" s="439"/>
      <c r="I412" s="440"/>
      <c r="J412" s="440"/>
      <c r="K412" s="439"/>
      <c r="L412" s="42"/>
      <c r="M412" s="40"/>
    </row>
    <row r="413" spans="2:14" ht="31.2" x14ac:dyDescent="0.3">
      <c r="B413" s="43" t="str">
        <f>'PRESUPUESTO OFICIAL (Entidad)'!B156</f>
        <v>C5,1</v>
      </c>
      <c r="C413" s="465" t="str">
        <f>'PRESUPUESTO OFICIAL (Entidad)'!C156</f>
        <v>Construccion de Muro en Bloque de arcilla #5 (12x20x30cm) Incluye mortero de pega y bloque.</v>
      </c>
      <c r="D413" s="43" t="str">
        <f>'PRESUPUESTO OFICIAL (Entidad)'!D156</f>
        <v>M2</v>
      </c>
      <c r="E413" s="44"/>
      <c r="F413" s="44"/>
      <c r="G413" s="44"/>
      <c r="H413" s="44"/>
      <c r="I413" s="45"/>
      <c r="J413" s="45"/>
      <c r="K413" s="441">
        <f>ROUND(SUM(K414:K421),2)</f>
        <v>88.52</v>
      </c>
      <c r="L413" s="46"/>
      <c r="M413" s="44"/>
      <c r="N413" s="214"/>
    </row>
    <row r="414" spans="2:14" x14ac:dyDescent="0.3">
      <c r="B414" s="12"/>
      <c r="C414" s="111" t="s">
        <v>1105</v>
      </c>
      <c r="D414" s="27" t="s">
        <v>8</v>
      </c>
      <c r="E414" s="514">
        <f>(2.81+1.83)*2</f>
        <v>9.2800000000000011</v>
      </c>
      <c r="F414" s="514"/>
      <c r="G414" s="514"/>
      <c r="H414" s="514"/>
      <c r="I414" s="27"/>
      <c r="J414" s="27"/>
      <c r="K414" s="514">
        <f>E414</f>
        <v>9.2800000000000011</v>
      </c>
      <c r="L414" s="516"/>
      <c r="M414" s="514"/>
    </row>
    <row r="415" spans="2:14" x14ac:dyDescent="0.3">
      <c r="B415" s="12"/>
      <c r="C415" s="111" t="s">
        <v>1112</v>
      </c>
      <c r="D415" s="27" t="s">
        <v>8</v>
      </c>
      <c r="E415" s="514">
        <f>7.92*4</f>
        <v>31.68</v>
      </c>
      <c r="F415" s="514"/>
      <c r="G415" s="514"/>
      <c r="H415" s="514"/>
      <c r="I415" s="27"/>
      <c r="J415" s="27"/>
      <c r="K415" s="514">
        <f t="shared" ref="K415:K421" si="31">E415</f>
        <v>31.68</v>
      </c>
      <c r="L415" s="516"/>
      <c r="M415" s="514"/>
    </row>
    <row r="416" spans="2:14" x14ac:dyDescent="0.3">
      <c r="B416" s="12"/>
      <c r="C416" s="111" t="s">
        <v>1106</v>
      </c>
      <c r="D416" s="27" t="s">
        <v>8</v>
      </c>
      <c r="E416" s="514">
        <f>4*2</f>
        <v>8</v>
      </c>
      <c r="F416" s="514"/>
      <c r="G416" s="514"/>
      <c r="H416" s="514"/>
      <c r="I416" s="27"/>
      <c r="J416" s="27"/>
      <c r="K416" s="514">
        <f t="shared" si="31"/>
        <v>8</v>
      </c>
      <c r="L416" s="516"/>
      <c r="M416" s="514"/>
    </row>
    <row r="417" spans="2:13" x14ac:dyDescent="0.3">
      <c r="B417" s="12"/>
      <c r="C417" s="111" t="s">
        <v>1107</v>
      </c>
      <c r="D417" s="27" t="s">
        <v>8</v>
      </c>
      <c r="E417" s="514">
        <f>9.6*2</f>
        <v>19.2</v>
      </c>
      <c r="F417" s="514"/>
      <c r="G417" s="514"/>
      <c r="H417" s="514"/>
      <c r="I417" s="27"/>
      <c r="J417" s="27"/>
      <c r="K417" s="514">
        <f t="shared" si="31"/>
        <v>19.2</v>
      </c>
      <c r="L417" s="516"/>
      <c r="M417" s="514"/>
    </row>
    <row r="418" spans="2:13" x14ac:dyDescent="0.3">
      <c r="B418" s="12"/>
      <c r="C418" s="111" t="s">
        <v>1108</v>
      </c>
      <c r="D418" s="27" t="s">
        <v>8</v>
      </c>
      <c r="E418" s="514">
        <f>4*2</f>
        <v>8</v>
      </c>
      <c r="F418" s="514"/>
      <c r="G418" s="514"/>
      <c r="H418" s="514"/>
      <c r="I418" s="27"/>
      <c r="J418" s="27"/>
      <c r="K418" s="514">
        <f t="shared" si="31"/>
        <v>8</v>
      </c>
      <c r="L418" s="516"/>
      <c r="M418" s="514"/>
    </row>
    <row r="419" spans="2:13" x14ac:dyDescent="0.3">
      <c r="B419" s="12"/>
      <c r="C419" s="111" t="s">
        <v>1109</v>
      </c>
      <c r="D419" s="27" t="s">
        <v>8</v>
      </c>
      <c r="E419" s="514">
        <f>2.06*2</f>
        <v>4.12</v>
      </c>
      <c r="F419" s="514"/>
      <c r="G419" s="514"/>
      <c r="H419" s="514"/>
      <c r="I419" s="27"/>
      <c r="J419" s="27"/>
      <c r="K419" s="514">
        <f t="shared" si="31"/>
        <v>4.12</v>
      </c>
      <c r="L419" s="516"/>
      <c r="M419" s="514"/>
    </row>
    <row r="420" spans="2:13" x14ac:dyDescent="0.3">
      <c r="B420" s="12"/>
      <c r="C420" s="111" t="s">
        <v>1110</v>
      </c>
      <c r="D420" s="27" t="s">
        <v>8</v>
      </c>
      <c r="E420" s="514">
        <f>2.06*2</f>
        <v>4.12</v>
      </c>
      <c r="F420" s="514"/>
      <c r="G420" s="514"/>
      <c r="H420" s="514"/>
      <c r="I420" s="27"/>
      <c r="J420" s="27"/>
      <c r="K420" s="514">
        <f t="shared" si="31"/>
        <v>4.12</v>
      </c>
      <c r="L420" s="516"/>
      <c r="M420" s="514"/>
    </row>
    <row r="421" spans="2:13" x14ac:dyDescent="0.3">
      <c r="B421" s="12"/>
      <c r="C421" s="111" t="s">
        <v>1111</v>
      </c>
      <c r="D421" s="27" t="s">
        <v>8</v>
      </c>
      <c r="E421" s="514">
        <f>2.06*2</f>
        <v>4.12</v>
      </c>
      <c r="F421" s="514"/>
      <c r="G421" s="514"/>
      <c r="H421" s="514"/>
      <c r="I421" s="27"/>
      <c r="J421" s="27"/>
      <c r="K421" s="514">
        <f t="shared" si="31"/>
        <v>4.12</v>
      </c>
      <c r="L421" s="516"/>
      <c r="M421" s="514"/>
    </row>
    <row r="422" spans="2:13" ht="31.2" x14ac:dyDescent="0.3">
      <c r="B422" s="43" t="str">
        <f>'PRESUPUESTO OFICIAL (Entidad)'!B157</f>
        <v>C5,2</v>
      </c>
      <c r="C422" s="465" t="str">
        <f>'PRESUPUESTO OFICIAL (Entidad)'!C157</f>
        <v>Construccion de Alfajía en Concreto 3000 PSI, E= 0.15X0.25 MTS – Incluye: Acero de refuerzo de 60000 PSI (2Ø3/8" refuerzo y E=Ø1/4" c. 0,35 m).</v>
      </c>
      <c r="D422" s="43" t="str">
        <f>'PRESUPUESTO OFICIAL (Entidad)'!D157</f>
        <v>ML</v>
      </c>
      <c r="E422" s="51"/>
      <c r="F422" s="51"/>
      <c r="G422" s="51"/>
      <c r="H422" s="51"/>
      <c r="I422" s="433"/>
      <c r="J422" s="433"/>
      <c r="K422" s="431">
        <f>ROUND(SUM(K423:K426),2)</f>
        <v>26.9</v>
      </c>
      <c r="L422" s="60"/>
      <c r="M422" s="51"/>
    </row>
    <row r="423" spans="2:13" x14ac:dyDescent="0.3">
      <c r="B423" s="12"/>
      <c r="C423" s="111" t="s">
        <v>1085</v>
      </c>
      <c r="D423" s="27" t="s">
        <v>19</v>
      </c>
      <c r="E423" s="514">
        <f>3.3+2.15</f>
        <v>5.4499999999999993</v>
      </c>
      <c r="F423" s="514"/>
      <c r="G423" s="514"/>
      <c r="H423" s="514"/>
      <c r="I423" s="27"/>
      <c r="J423" s="27"/>
      <c r="K423" s="525">
        <f>E423</f>
        <v>5.4499999999999993</v>
      </c>
      <c r="L423" s="516"/>
      <c r="M423" s="514"/>
    </row>
    <row r="424" spans="2:13" x14ac:dyDescent="0.3">
      <c r="B424" s="12"/>
      <c r="C424" s="111" t="s">
        <v>1118</v>
      </c>
      <c r="D424" s="27" t="s">
        <v>19</v>
      </c>
      <c r="E424" s="514">
        <f>4+4</f>
        <v>8</v>
      </c>
      <c r="F424" s="514"/>
      <c r="G424" s="514"/>
      <c r="H424" s="514"/>
      <c r="I424" s="27"/>
      <c r="J424" s="27"/>
      <c r="K424" s="525">
        <f>E424</f>
        <v>8</v>
      </c>
      <c r="L424" s="516"/>
      <c r="M424" s="514"/>
    </row>
    <row r="425" spans="2:13" x14ac:dyDescent="0.3">
      <c r="B425" s="12"/>
      <c r="C425" s="111" t="s">
        <v>1086</v>
      </c>
      <c r="D425" s="27" t="s">
        <v>19</v>
      </c>
      <c r="E425" s="514">
        <f>3.3+2.15</f>
        <v>5.4499999999999993</v>
      </c>
      <c r="F425" s="514"/>
      <c r="G425" s="514"/>
      <c r="H425" s="514"/>
      <c r="I425" s="27"/>
      <c r="J425" s="27"/>
      <c r="K425" s="525">
        <f>E425</f>
        <v>5.4499999999999993</v>
      </c>
      <c r="L425" s="516"/>
      <c r="M425" s="514"/>
    </row>
    <row r="426" spans="2:13" x14ac:dyDescent="0.3">
      <c r="B426" s="12"/>
      <c r="C426" s="111" t="s">
        <v>1119</v>
      </c>
      <c r="D426" s="27" t="s">
        <v>19</v>
      </c>
      <c r="E426" s="514">
        <v>8</v>
      </c>
      <c r="F426" s="514"/>
      <c r="G426" s="514"/>
      <c r="H426" s="514"/>
      <c r="I426" s="27"/>
      <c r="J426" s="27"/>
      <c r="K426" s="525">
        <f>E426</f>
        <v>8</v>
      </c>
      <c r="L426" s="516"/>
      <c r="M426" s="514"/>
    </row>
    <row r="427" spans="2:13" x14ac:dyDescent="0.3">
      <c r="B427" s="39" t="str">
        <f>'PRESUPUESTO OFICIAL (Entidad)'!B158</f>
        <v>C6</v>
      </c>
      <c r="C427" s="466" t="str">
        <f>'PRESUPUESTO OFICIAL (Entidad)'!C158</f>
        <v>INSTALACIONES ELÉCTRICAS</v>
      </c>
      <c r="D427" s="438"/>
      <c r="E427" s="439"/>
      <c r="F427" s="439"/>
      <c r="G427" s="439"/>
      <c r="H427" s="439"/>
      <c r="I427" s="440"/>
      <c r="J427" s="440"/>
      <c r="K427" s="439"/>
      <c r="L427" s="42"/>
      <c r="M427" s="40"/>
    </row>
    <row r="428" spans="2:13" ht="31.2" x14ac:dyDescent="0.3">
      <c r="B428" s="43" t="str">
        <f>'PRESUPUESTO OFICIAL (Entidad)'!B159</f>
        <v>C6,1</v>
      </c>
      <c r="C428" s="465" t="str">
        <f>'PRESUPUESTO OFICIAL (Entidad)'!C159</f>
        <v>Suministro e instalación de Salida lampara fluorescente electrónica 2 X 48 w, incluye lampara.</v>
      </c>
      <c r="D428" s="43" t="str">
        <f>'PRESUPUESTO OFICIAL (Entidad)'!D159</f>
        <v>UND</v>
      </c>
      <c r="E428" s="44"/>
      <c r="F428" s="44"/>
      <c r="G428" s="44"/>
      <c r="H428" s="44"/>
      <c r="I428" s="45"/>
      <c r="J428" s="45"/>
      <c r="K428" s="437">
        <f>ROUND(SUM(K429),2)</f>
        <v>8</v>
      </c>
      <c r="L428" s="46"/>
      <c r="M428" s="44"/>
    </row>
    <row r="429" spans="2:13" x14ac:dyDescent="0.3">
      <c r="B429" s="27"/>
      <c r="C429" s="533" t="s">
        <v>877</v>
      </c>
      <c r="D429" s="27" t="s">
        <v>21</v>
      </c>
      <c r="E429" s="514"/>
      <c r="F429" s="514"/>
      <c r="G429" s="514"/>
      <c r="H429" s="514">
        <v>8</v>
      </c>
      <c r="I429" s="513"/>
      <c r="J429" s="513"/>
      <c r="K429" s="514">
        <f>H429</f>
        <v>8</v>
      </c>
      <c r="L429" s="516"/>
      <c r="M429" s="514"/>
    </row>
    <row r="430" spans="2:13" x14ac:dyDescent="0.3">
      <c r="B430" s="43" t="str">
        <f>'PRESUPUESTO OFICIAL (Entidad)'!B160</f>
        <v>C6,2</v>
      </c>
      <c r="C430" s="465" t="str">
        <f>'PRESUPUESTO OFICIAL (Entidad)'!C160</f>
        <v>Suministro e instalación de Salida tomacorriente doble 110 v.</v>
      </c>
      <c r="D430" s="43" t="str">
        <f>'PRESUPUESTO OFICIAL (Entidad)'!D160</f>
        <v>UND</v>
      </c>
      <c r="E430" s="44"/>
      <c r="F430" s="44"/>
      <c r="G430" s="44"/>
      <c r="H430" s="44"/>
      <c r="I430" s="45"/>
      <c r="J430" s="45"/>
      <c r="K430" s="437">
        <f>ROUND(SUM(K431),2)</f>
        <v>22</v>
      </c>
      <c r="L430" s="46"/>
      <c r="M430" s="44"/>
    </row>
    <row r="431" spans="2:13" x14ac:dyDescent="0.3">
      <c r="B431" s="27"/>
      <c r="C431" s="533" t="s">
        <v>878</v>
      </c>
      <c r="D431" s="27" t="s">
        <v>21</v>
      </c>
      <c r="E431" s="514"/>
      <c r="F431" s="514"/>
      <c r="G431" s="514"/>
      <c r="H431" s="514">
        <v>22</v>
      </c>
      <c r="I431" s="513"/>
      <c r="J431" s="513"/>
      <c r="K431" s="514">
        <f>H431</f>
        <v>22</v>
      </c>
      <c r="L431" s="516"/>
      <c r="M431" s="514"/>
    </row>
    <row r="432" spans="2:13" x14ac:dyDescent="0.3">
      <c r="B432" s="43" t="str">
        <f>'PRESUPUESTO OFICIAL (Entidad)'!B161</f>
        <v>C6,3</v>
      </c>
      <c r="C432" s="465" t="str">
        <f>'PRESUPUESTO OFICIAL (Entidad)'!C161</f>
        <v>Suministro e instalación de Salida interruptor doble 110 v.</v>
      </c>
      <c r="D432" s="43" t="str">
        <f>'PRESUPUESTO OFICIAL (Entidad)'!D161</f>
        <v>UND</v>
      </c>
      <c r="E432" s="51"/>
      <c r="F432" s="442"/>
      <c r="G432" s="442"/>
      <c r="H432" s="51"/>
      <c r="I432" s="45"/>
      <c r="J432" s="45"/>
      <c r="K432" s="437">
        <f>ROUND(SUM(K433),2)</f>
        <v>2</v>
      </c>
      <c r="L432" s="60"/>
      <c r="M432" s="51"/>
    </row>
    <row r="433" spans="2:13" x14ac:dyDescent="0.3">
      <c r="B433" s="27"/>
      <c r="C433" s="533" t="s">
        <v>879</v>
      </c>
      <c r="D433" s="27" t="s">
        <v>21</v>
      </c>
      <c r="E433" s="514"/>
      <c r="F433" s="53"/>
      <c r="G433" s="53"/>
      <c r="H433" s="514">
        <v>2</v>
      </c>
      <c r="I433" s="513"/>
      <c r="J433" s="513"/>
      <c r="K433" s="514">
        <f>H433</f>
        <v>2</v>
      </c>
      <c r="L433" s="516"/>
      <c r="M433" s="514"/>
    </row>
    <row r="434" spans="2:13" ht="31.2" x14ac:dyDescent="0.3">
      <c r="B434" s="43" t="str">
        <f>'PRESUPUESTO OFICIAL (Entidad)'!B162</f>
        <v>C6,4</v>
      </c>
      <c r="C434" s="465" t="str">
        <f>'PRESUPUESTO OFICIAL (Entidad)'!C162</f>
        <v>Suministro e instalación de Red electrica en tuberia pvc de 1/2", incluye  1 N° 12 + neutro N° 12 para luminarias.</v>
      </c>
      <c r="D434" s="43" t="str">
        <f>'PRESUPUESTO OFICIAL (Entidad)'!D162</f>
        <v>ML</v>
      </c>
      <c r="E434" s="51"/>
      <c r="F434" s="442"/>
      <c r="G434" s="442"/>
      <c r="H434" s="51"/>
      <c r="I434" s="45"/>
      <c r="J434" s="45"/>
      <c r="K434" s="437">
        <f>ROUND(SUM(K435),2)</f>
        <v>36.200000000000003</v>
      </c>
      <c r="L434" s="60"/>
      <c r="M434" s="51"/>
    </row>
    <row r="435" spans="2:13" x14ac:dyDescent="0.3">
      <c r="B435" s="27"/>
      <c r="C435" s="533" t="s">
        <v>880</v>
      </c>
      <c r="D435" s="27" t="s">
        <v>19</v>
      </c>
      <c r="E435" s="514">
        <f>3.78+2.04+3.78+2.01+1.97+2.32+1.2+1</f>
        <v>18.100000000000001</v>
      </c>
      <c r="F435" s="53"/>
      <c r="G435" s="53"/>
      <c r="H435" s="514">
        <v>2</v>
      </c>
      <c r="I435" s="513"/>
      <c r="J435" s="513"/>
      <c r="K435" s="514">
        <f>E435*H435</f>
        <v>36.200000000000003</v>
      </c>
      <c r="L435" s="516"/>
      <c r="M435" s="514"/>
    </row>
    <row r="436" spans="2:13" ht="31.2" x14ac:dyDescent="0.3">
      <c r="B436" s="43" t="str">
        <f>'PRESUPUESTO OFICIAL (Entidad)'!B163</f>
        <v>C6,5</v>
      </c>
      <c r="C436" s="465" t="str">
        <f>'PRESUPUESTO OFICIAL (Entidad)'!C163</f>
        <v>Suministro e instalación de Red electrica en tuberia pvc de 1/2", incluye 1 linea No 10 + 1 neutro No 10 + 1 Linea No 14  para toma corrientes.</v>
      </c>
      <c r="D436" s="43" t="str">
        <f>'PRESUPUESTO OFICIAL (Entidad)'!D163</f>
        <v>ML</v>
      </c>
      <c r="E436" s="51"/>
      <c r="F436" s="442"/>
      <c r="G436" s="442"/>
      <c r="H436" s="51"/>
      <c r="I436" s="45"/>
      <c r="J436" s="45"/>
      <c r="K436" s="437">
        <f>ROUND(SUM(K437),2)</f>
        <v>52.72</v>
      </c>
      <c r="L436" s="60"/>
      <c r="M436" s="51"/>
    </row>
    <row r="437" spans="2:13" x14ac:dyDescent="0.3">
      <c r="B437" s="27"/>
      <c r="C437" s="533" t="s">
        <v>880</v>
      </c>
      <c r="D437" s="27" t="s">
        <v>19</v>
      </c>
      <c r="E437" s="514">
        <f>11.02+13.34+2</f>
        <v>26.36</v>
      </c>
      <c r="F437" s="53"/>
      <c r="G437" s="53"/>
      <c r="H437" s="514">
        <v>2</v>
      </c>
      <c r="I437" s="513"/>
      <c r="J437" s="513"/>
      <c r="K437" s="514">
        <f>E437*H437</f>
        <v>52.72</v>
      </c>
      <c r="L437" s="516"/>
      <c r="M437" s="514"/>
    </row>
    <row r="438" spans="2:13" ht="31.2" x14ac:dyDescent="0.3">
      <c r="B438" s="43" t="str">
        <f>'PRESUPUESTO OFICIAL (Entidad)'!B164</f>
        <v>C6,6</v>
      </c>
      <c r="C438" s="465" t="str">
        <f>'PRESUPUESTO OFICIAL (Entidad)'!C164</f>
        <v>Suministro e instalación de Puesta a tierra de tablero de distribicion, polo a tierra, varilla C. W. 2,40 ml.</v>
      </c>
      <c r="D438" s="43" t="str">
        <f>'PRESUPUESTO OFICIAL (Entidad)'!D164</f>
        <v>UND</v>
      </c>
      <c r="E438" s="51"/>
      <c r="F438" s="442"/>
      <c r="G438" s="442"/>
      <c r="H438" s="51"/>
      <c r="I438" s="45"/>
      <c r="J438" s="45"/>
      <c r="K438" s="437">
        <f>ROUND(SUM(K439),2)</f>
        <v>2</v>
      </c>
      <c r="L438" s="60"/>
      <c r="M438" s="51"/>
    </row>
    <row r="439" spans="2:13" x14ac:dyDescent="0.3">
      <c r="B439" s="27"/>
      <c r="C439" s="533" t="s">
        <v>881</v>
      </c>
      <c r="D439" s="27" t="s">
        <v>21</v>
      </c>
      <c r="E439" s="514"/>
      <c r="F439" s="53"/>
      <c r="G439" s="53"/>
      <c r="H439" s="514">
        <v>2</v>
      </c>
      <c r="I439" s="513"/>
      <c r="J439" s="513"/>
      <c r="K439" s="514">
        <f>H439</f>
        <v>2</v>
      </c>
      <c r="L439" s="516"/>
      <c r="M439" s="514"/>
    </row>
    <row r="440" spans="2:13" x14ac:dyDescent="0.3">
      <c r="B440" s="43" t="str">
        <f>'PRESUPUESTO OFICIAL (Entidad)'!B165</f>
        <v>C6,7</v>
      </c>
      <c r="C440" s="465" t="str">
        <f>'PRESUPUESTO OFICIAL (Entidad)'!C165</f>
        <v>Suministro e instalación de Tablero monofásico 4 circuitos.</v>
      </c>
      <c r="D440" s="43" t="str">
        <f>'PRESUPUESTO OFICIAL (Entidad)'!D165</f>
        <v>UND</v>
      </c>
      <c r="E440" s="51"/>
      <c r="F440" s="442"/>
      <c r="G440" s="442"/>
      <c r="H440" s="51"/>
      <c r="I440" s="45"/>
      <c r="J440" s="45"/>
      <c r="K440" s="437">
        <f>ROUND(SUM(K441),2)</f>
        <v>2</v>
      </c>
      <c r="L440" s="60"/>
      <c r="M440" s="51"/>
    </row>
    <row r="441" spans="2:13" x14ac:dyDescent="0.3">
      <c r="B441" s="27"/>
      <c r="C441" s="533" t="s">
        <v>882</v>
      </c>
      <c r="D441" s="27" t="s">
        <v>21</v>
      </c>
      <c r="E441" s="514"/>
      <c r="F441" s="53"/>
      <c r="G441" s="53"/>
      <c r="H441" s="514">
        <v>2</v>
      </c>
      <c r="I441" s="513"/>
      <c r="J441" s="513"/>
      <c r="K441" s="514">
        <f>H441</f>
        <v>2</v>
      </c>
      <c r="L441" s="516"/>
      <c r="M441" s="514"/>
    </row>
    <row r="442" spans="2:13" x14ac:dyDescent="0.3">
      <c r="B442" s="43" t="str">
        <f>'PRESUPUESTO OFICIAL (Entidad)'!B166</f>
        <v>C6,8</v>
      </c>
      <c r="C442" s="465" t="str">
        <f>'PRESUPUESTO OFICIAL (Entidad)'!C166</f>
        <v>Suministro e instalación de Cable concentrico monofasico.</v>
      </c>
      <c r="D442" s="43" t="str">
        <f>'PRESUPUESTO OFICIAL (Entidad)'!D166</f>
        <v>ML</v>
      </c>
      <c r="E442" s="51"/>
      <c r="F442" s="442"/>
      <c r="G442" s="442"/>
      <c r="H442" s="51"/>
      <c r="I442" s="45"/>
      <c r="J442" s="45"/>
      <c r="K442" s="437">
        <f>ROUND(SUM(K443),2)</f>
        <v>35</v>
      </c>
      <c r="L442" s="60"/>
      <c r="M442" s="51"/>
    </row>
    <row r="443" spans="2:13" x14ac:dyDescent="0.3">
      <c r="B443" s="27"/>
      <c r="C443" s="533" t="s">
        <v>883</v>
      </c>
      <c r="D443" s="27" t="s">
        <v>19</v>
      </c>
      <c r="E443" s="514">
        <v>35</v>
      </c>
      <c r="F443" s="53"/>
      <c r="G443" s="53"/>
      <c r="H443" s="514"/>
      <c r="I443" s="513"/>
      <c r="J443" s="513"/>
      <c r="K443" s="514">
        <f>E443</f>
        <v>35</v>
      </c>
      <c r="L443" s="516"/>
      <c r="M443" s="514"/>
    </row>
    <row r="444" spans="2:13" x14ac:dyDescent="0.3">
      <c r="B444" s="39" t="str">
        <f>'PRESUPUESTO OFICIAL (Entidad)'!B167</f>
        <v>C7</v>
      </c>
      <c r="C444" s="466" t="str">
        <f>'PRESUPUESTO OFICIAL (Entidad)'!C167</f>
        <v>PAÑETES</v>
      </c>
      <c r="D444" s="438"/>
      <c r="E444" s="439"/>
      <c r="F444" s="439"/>
      <c r="G444" s="439"/>
      <c r="H444" s="439"/>
      <c r="I444" s="440"/>
      <c r="J444" s="440"/>
      <c r="K444" s="439"/>
      <c r="L444" s="42"/>
      <c r="M444" s="40"/>
    </row>
    <row r="445" spans="2:13" ht="31.2" x14ac:dyDescent="0.3">
      <c r="B445" s="43" t="str">
        <f>'PRESUPUESTO OFICIAL (Entidad)'!B168</f>
        <v>C7,1</v>
      </c>
      <c r="C445" s="465" t="str">
        <f>'PRESUPUESTO OFICIAL (Entidad)'!C168</f>
        <v>Suministro y aplicación de Pañete muros  1:4 Incluye Filos, carteras y Dilataciones.</v>
      </c>
      <c r="D445" s="43" t="str">
        <f>'PRESUPUESTO OFICIAL (Entidad)'!D168</f>
        <v>M2</v>
      </c>
      <c r="E445" s="44"/>
      <c r="F445" s="44"/>
      <c r="G445" s="44"/>
      <c r="H445" s="44"/>
      <c r="I445" s="45"/>
      <c r="J445" s="45"/>
      <c r="K445" s="437">
        <f>ROUND(SUM(K446:K458),2)</f>
        <v>285.2</v>
      </c>
      <c r="L445" s="46"/>
      <c r="M445" s="44"/>
    </row>
    <row r="446" spans="2:13" x14ac:dyDescent="0.3">
      <c r="B446" s="12"/>
      <c r="C446" s="111" t="s">
        <v>1105</v>
      </c>
      <c r="D446" s="27" t="s">
        <v>8</v>
      </c>
      <c r="E446" s="514">
        <f>(2.81+1.83)*2</f>
        <v>9.2800000000000011</v>
      </c>
      <c r="F446" s="514"/>
      <c r="G446" s="514"/>
      <c r="H446" s="514">
        <v>2</v>
      </c>
      <c r="I446" s="27"/>
      <c r="J446" s="27"/>
      <c r="K446" s="514">
        <f>E446*H446</f>
        <v>18.560000000000002</v>
      </c>
      <c r="L446" s="516"/>
      <c r="M446" s="514"/>
    </row>
    <row r="447" spans="2:13" x14ac:dyDescent="0.3">
      <c r="B447" s="12"/>
      <c r="C447" s="111" t="s">
        <v>1112</v>
      </c>
      <c r="D447" s="27" t="s">
        <v>8</v>
      </c>
      <c r="E447" s="514">
        <f>7.92*4</f>
        <v>31.68</v>
      </c>
      <c r="F447" s="514"/>
      <c r="G447" s="514"/>
      <c r="H447" s="514">
        <v>2</v>
      </c>
      <c r="I447" s="27"/>
      <c r="J447" s="27"/>
      <c r="K447" s="514">
        <f t="shared" ref="K447:K453" si="32">E447*H447</f>
        <v>63.36</v>
      </c>
      <c r="L447" s="516"/>
      <c r="M447" s="514"/>
    </row>
    <row r="448" spans="2:13" x14ac:dyDescent="0.3">
      <c r="B448" s="12"/>
      <c r="C448" s="111" t="s">
        <v>1106</v>
      </c>
      <c r="D448" s="27" t="s">
        <v>8</v>
      </c>
      <c r="E448" s="514">
        <f>4*2</f>
        <v>8</v>
      </c>
      <c r="F448" s="514"/>
      <c r="G448" s="514"/>
      <c r="H448" s="514">
        <v>2</v>
      </c>
      <c r="I448" s="27"/>
      <c r="J448" s="27"/>
      <c r="K448" s="514">
        <f t="shared" si="32"/>
        <v>16</v>
      </c>
      <c r="L448" s="516"/>
      <c r="M448" s="514"/>
    </row>
    <row r="449" spans="2:13" x14ac:dyDescent="0.3">
      <c r="B449" s="12"/>
      <c r="C449" s="111" t="s">
        <v>1107</v>
      </c>
      <c r="D449" s="27" t="s">
        <v>8</v>
      </c>
      <c r="E449" s="514">
        <f>9.6*2</f>
        <v>19.2</v>
      </c>
      <c r="F449" s="514"/>
      <c r="G449" s="514"/>
      <c r="H449" s="514">
        <v>2</v>
      </c>
      <c r="I449" s="27"/>
      <c r="J449" s="27"/>
      <c r="K449" s="514">
        <f t="shared" si="32"/>
        <v>38.4</v>
      </c>
      <c r="L449" s="516"/>
      <c r="M449" s="514"/>
    </row>
    <row r="450" spans="2:13" x14ac:dyDescent="0.3">
      <c r="B450" s="12"/>
      <c r="C450" s="111" t="s">
        <v>1108</v>
      </c>
      <c r="D450" s="27" t="s">
        <v>8</v>
      </c>
      <c r="E450" s="514">
        <f>4*2</f>
        <v>8</v>
      </c>
      <c r="F450" s="514"/>
      <c r="G450" s="514"/>
      <c r="H450" s="514">
        <v>2</v>
      </c>
      <c r="I450" s="27"/>
      <c r="J450" s="27"/>
      <c r="K450" s="514">
        <f t="shared" si="32"/>
        <v>16</v>
      </c>
      <c r="L450" s="516"/>
      <c r="M450" s="514"/>
    </row>
    <row r="451" spans="2:13" x14ac:dyDescent="0.3">
      <c r="B451" s="12"/>
      <c r="C451" s="111" t="s">
        <v>1109</v>
      </c>
      <c r="D451" s="27" t="s">
        <v>8</v>
      </c>
      <c r="E451" s="514">
        <f>2.06*2</f>
        <v>4.12</v>
      </c>
      <c r="F451" s="514"/>
      <c r="G451" s="514"/>
      <c r="H451" s="514">
        <v>2</v>
      </c>
      <c r="I451" s="27"/>
      <c r="J451" s="27"/>
      <c r="K451" s="514">
        <f t="shared" si="32"/>
        <v>8.24</v>
      </c>
      <c r="L451" s="516"/>
      <c r="M451" s="514"/>
    </row>
    <row r="452" spans="2:13" x14ac:dyDescent="0.3">
      <c r="B452" s="12"/>
      <c r="C452" s="111" t="s">
        <v>1110</v>
      </c>
      <c r="D452" s="27" t="s">
        <v>8</v>
      </c>
      <c r="E452" s="514">
        <f>2.06*2</f>
        <v>4.12</v>
      </c>
      <c r="F452" s="514"/>
      <c r="G452" s="514"/>
      <c r="H452" s="514">
        <v>2</v>
      </c>
      <c r="I452" s="27"/>
      <c r="J452" s="27"/>
      <c r="K452" s="514">
        <f t="shared" si="32"/>
        <v>8.24</v>
      </c>
      <c r="L452" s="516"/>
      <c r="M452" s="514"/>
    </row>
    <row r="453" spans="2:13" x14ac:dyDescent="0.3">
      <c r="B453" s="12"/>
      <c r="C453" s="111" t="s">
        <v>1111</v>
      </c>
      <c r="D453" s="27" t="s">
        <v>8</v>
      </c>
      <c r="E453" s="514">
        <f>2.06*2</f>
        <v>4.12</v>
      </c>
      <c r="F453" s="514"/>
      <c r="G453" s="514"/>
      <c r="H453" s="514">
        <v>2</v>
      </c>
      <c r="I453" s="27"/>
      <c r="J453" s="27"/>
      <c r="K453" s="514">
        <f t="shared" si="32"/>
        <v>8.24</v>
      </c>
      <c r="L453" s="516"/>
      <c r="M453" s="514"/>
    </row>
    <row r="454" spans="2:13" x14ac:dyDescent="0.3">
      <c r="B454" s="12"/>
      <c r="C454" s="531" t="s">
        <v>884</v>
      </c>
      <c r="D454" s="27" t="s">
        <v>8</v>
      </c>
      <c r="E454" s="514">
        <f>K394</f>
        <v>56.3</v>
      </c>
      <c r="F454" s="514">
        <f>(0.3+0.3+0.3+0.3)-0.24</f>
        <v>0.96</v>
      </c>
      <c r="G454" s="514"/>
      <c r="H454" s="514"/>
      <c r="I454" s="27"/>
      <c r="J454" s="27"/>
      <c r="K454" s="514">
        <f>E454*F454</f>
        <v>54.047999999999995</v>
      </c>
      <c r="L454" s="516"/>
      <c r="M454" s="514"/>
    </row>
    <row r="455" spans="2:13" x14ac:dyDescent="0.3">
      <c r="B455" s="12"/>
      <c r="C455" s="533" t="s">
        <v>885</v>
      </c>
      <c r="D455" s="27" t="s">
        <v>8</v>
      </c>
      <c r="E455" s="514">
        <f>K400</f>
        <v>30.18</v>
      </c>
      <c r="F455" s="514">
        <f>(0.3+0.3+0.3+0.3)-0.24</f>
        <v>0.96</v>
      </c>
      <c r="G455" s="514"/>
      <c r="H455" s="514"/>
      <c r="I455" s="513"/>
      <c r="J455" s="513"/>
      <c r="K455" s="514">
        <f>E455*F455</f>
        <v>28.972799999999999</v>
      </c>
      <c r="L455" s="516"/>
      <c r="M455" s="514"/>
    </row>
    <row r="456" spans="2:13" x14ac:dyDescent="0.3">
      <c r="B456" s="12"/>
      <c r="C456" s="533" t="s">
        <v>886</v>
      </c>
      <c r="D456" s="27" t="s">
        <v>8</v>
      </c>
      <c r="E456" s="514">
        <f>K404</f>
        <v>12</v>
      </c>
      <c r="F456" s="514">
        <f>(0.3+0.3+0.3+0.3)-0.24</f>
        <v>0.96</v>
      </c>
      <c r="G456" s="514"/>
      <c r="H456" s="514"/>
      <c r="I456" s="513"/>
      <c r="J456" s="513"/>
      <c r="K456" s="514">
        <f t="shared" ref="K456:K458" si="33">E456*F456</f>
        <v>11.52</v>
      </c>
      <c r="L456" s="516"/>
      <c r="M456" s="514"/>
    </row>
    <row r="457" spans="2:13" x14ac:dyDescent="0.3">
      <c r="B457" s="12"/>
      <c r="C457" s="533" t="s">
        <v>887</v>
      </c>
      <c r="D457" s="27" t="s">
        <v>8</v>
      </c>
      <c r="E457" s="514">
        <f>K406</f>
        <v>30.36</v>
      </c>
      <c r="F457" s="86">
        <f>(0.2+0.1+0.2+0.1)-0.24</f>
        <v>0.36</v>
      </c>
      <c r="G457" s="514"/>
      <c r="H457" s="514"/>
      <c r="I457" s="513"/>
      <c r="J457" s="513"/>
      <c r="K457" s="514">
        <f t="shared" si="33"/>
        <v>10.929599999999999</v>
      </c>
      <c r="L457" s="516"/>
      <c r="M457" s="514"/>
    </row>
    <row r="458" spans="2:13" x14ac:dyDescent="0.3">
      <c r="B458" s="12"/>
      <c r="C458" s="533" t="s">
        <v>888</v>
      </c>
      <c r="D458" s="27" t="s">
        <v>8</v>
      </c>
      <c r="E458" s="514">
        <f>K410</f>
        <v>4.8</v>
      </c>
      <c r="F458" s="514">
        <f>(0.2+0.2+0.2+0.2)-0.24</f>
        <v>0.56000000000000005</v>
      </c>
      <c r="G458" s="514"/>
      <c r="H458" s="514"/>
      <c r="I458" s="513"/>
      <c r="J458" s="513"/>
      <c r="K458" s="514">
        <f t="shared" si="33"/>
        <v>2.6880000000000002</v>
      </c>
      <c r="L458" s="516"/>
      <c r="M458" s="514"/>
    </row>
    <row r="459" spans="2:13" x14ac:dyDescent="0.3">
      <c r="B459" s="39" t="str">
        <f>'PRESUPUESTO OFICIAL (Entidad)'!B169</f>
        <v>C8</v>
      </c>
      <c r="C459" s="466" t="str">
        <f>'PRESUPUESTO OFICIAL (Entidad)'!C169</f>
        <v>CUBIERTA  Y   ESTRUCTURA DE CUBIERTA</v>
      </c>
      <c r="D459" s="438"/>
      <c r="E459" s="439"/>
      <c r="F459" s="439"/>
      <c r="G459" s="439"/>
      <c r="H459" s="439"/>
      <c r="I459" s="440"/>
      <c r="J459" s="440"/>
      <c r="K459" s="439"/>
      <c r="L459" s="42"/>
      <c r="M459" s="40"/>
    </row>
    <row r="460" spans="2:13" ht="31.2" x14ac:dyDescent="0.3">
      <c r="B460" s="43" t="str">
        <f>'PRESUPUESTO OFICIAL (Entidad)'!B170</f>
        <v>C8,1</v>
      </c>
      <c r="C460" s="465" t="str">
        <f>'PRESUPUESTO OFICIAL (Entidad)'!C170</f>
        <v xml:space="preserve">Suministro e instalación de cubierta en teja master 1000 Arquitectónica color, CAL 28. Incluye tornillos autoperforantes. </v>
      </c>
      <c r="D460" s="43" t="str">
        <f>'PRESUPUESTO OFICIAL (Entidad)'!D170</f>
        <v>M2</v>
      </c>
      <c r="E460" s="44"/>
      <c r="F460" s="44"/>
      <c r="G460" s="44"/>
      <c r="H460" s="44"/>
      <c r="I460" s="45"/>
      <c r="J460" s="45"/>
      <c r="K460" s="437">
        <f>ROUND(SUM(K461),2)</f>
        <v>172</v>
      </c>
      <c r="L460" s="46"/>
      <c r="M460" s="44"/>
    </row>
    <row r="461" spans="2:13" x14ac:dyDescent="0.3">
      <c r="B461" s="27"/>
      <c r="C461" s="531" t="s">
        <v>328</v>
      </c>
      <c r="D461" s="27" t="s">
        <v>8</v>
      </c>
      <c r="E461" s="514">
        <v>16</v>
      </c>
      <c r="F461" s="514">
        <v>10.75</v>
      </c>
      <c r="G461" s="514"/>
      <c r="H461" s="514"/>
      <c r="I461" s="513"/>
      <c r="J461" s="513"/>
      <c r="K461" s="514">
        <f>E461*F461</f>
        <v>172</v>
      </c>
      <c r="L461" s="516"/>
      <c r="M461" s="514"/>
    </row>
    <row r="462" spans="2:13" ht="31.2" x14ac:dyDescent="0.3">
      <c r="B462" s="43" t="str">
        <f>'PRESUPUESTO OFICIAL (Entidad)'!B171</f>
        <v>C8,2</v>
      </c>
      <c r="C462" s="465" t="str">
        <f>'PRESUPUESTO OFICIAL (Entidad)'!C171</f>
        <v>Suministro e instalación de Caballete termoacustic, incluye tornillos autoperforantes.</v>
      </c>
      <c r="D462" s="43" t="str">
        <f>'PRESUPUESTO OFICIAL (Entidad)'!D171</f>
        <v>ML</v>
      </c>
      <c r="E462" s="44"/>
      <c r="F462" s="44"/>
      <c r="G462" s="44"/>
      <c r="H462" s="44"/>
      <c r="I462" s="45"/>
      <c r="J462" s="45"/>
      <c r="K462" s="437">
        <f>ROUND(SUM(K463),2)</f>
        <v>16</v>
      </c>
      <c r="L462" s="46"/>
      <c r="M462" s="44"/>
    </row>
    <row r="463" spans="2:13" x14ac:dyDescent="0.3">
      <c r="B463" s="27"/>
      <c r="C463" s="531" t="s">
        <v>889</v>
      </c>
      <c r="D463" s="27" t="s">
        <v>19</v>
      </c>
      <c r="E463" s="514">
        <v>16</v>
      </c>
      <c r="F463" s="514"/>
      <c r="G463" s="514"/>
      <c r="H463" s="514"/>
      <c r="I463" s="513"/>
      <c r="J463" s="513"/>
      <c r="K463" s="514">
        <f>E463</f>
        <v>16</v>
      </c>
      <c r="L463" s="516"/>
      <c r="M463" s="514"/>
    </row>
    <row r="464" spans="2:13" ht="31.2" x14ac:dyDescent="0.3">
      <c r="B464" s="43" t="str">
        <f>'PRESUPUESTO OFICIAL (Entidad)'!B172</f>
        <v>C8,3</v>
      </c>
      <c r="C464" s="465" t="str">
        <f>'PRESUPUESTO OFICIAL (Entidad)'!C172</f>
        <v xml:space="preserve">Suministro e instalación de Cercha Metalica 2&gt;2"x1/8" superior y 2&gt;1 1/2x3/16 inferior, celosia en &lt;1 1/4X1/8" y varilla 1/2". </v>
      </c>
      <c r="D464" s="43" t="str">
        <f>'PRESUPUESTO OFICIAL (Entidad)'!D172</f>
        <v>ML</v>
      </c>
      <c r="E464" s="44"/>
      <c r="F464" s="44"/>
      <c r="G464" s="44"/>
      <c r="H464" s="44"/>
      <c r="I464" s="45"/>
      <c r="J464" s="45"/>
      <c r="K464" s="437">
        <f>ROUND(SUM(K465),2)</f>
        <v>20.68</v>
      </c>
      <c r="L464" s="46"/>
      <c r="M464" s="44"/>
    </row>
    <row r="465" spans="2:13" x14ac:dyDescent="0.3">
      <c r="B465" s="27"/>
      <c r="C465" s="531" t="s">
        <v>890</v>
      </c>
      <c r="D465" s="27" t="s">
        <v>19</v>
      </c>
      <c r="E465" s="514">
        <v>10.34</v>
      </c>
      <c r="F465" s="514"/>
      <c r="G465" s="514"/>
      <c r="H465" s="514">
        <v>2</v>
      </c>
      <c r="I465" s="513"/>
      <c r="J465" s="513"/>
      <c r="K465" s="514">
        <f>E465*H465</f>
        <v>20.68</v>
      </c>
      <c r="L465" s="516"/>
      <c r="M465" s="514"/>
    </row>
    <row r="466" spans="2:13" x14ac:dyDescent="0.3">
      <c r="B466" s="43" t="str">
        <f>'PRESUPUESTO OFICIAL (Entidad)'!B173</f>
        <v>C8,4</v>
      </c>
      <c r="C466" s="465" t="str">
        <f>'PRESUPUESTO OFICIAL (Entidad)'!C173</f>
        <v>Suministro e instalación de Correa en perfil metálico de 3"X1 1/2", cal.18.</v>
      </c>
      <c r="D466" s="43" t="str">
        <f>'PRESUPUESTO OFICIAL (Entidad)'!D173</f>
        <v>ML</v>
      </c>
      <c r="E466" s="44"/>
      <c r="F466" s="44"/>
      <c r="G466" s="44"/>
      <c r="H466" s="44"/>
      <c r="I466" s="45"/>
      <c r="J466" s="45"/>
      <c r="K466" s="437">
        <f>ROUND(SUM(K467),2)</f>
        <v>140.4</v>
      </c>
      <c r="L466" s="46"/>
      <c r="M466" s="44"/>
    </row>
    <row r="467" spans="2:13" x14ac:dyDescent="0.3">
      <c r="B467" s="27"/>
      <c r="C467" s="531" t="s">
        <v>891</v>
      </c>
      <c r="D467" s="27" t="s">
        <v>8</v>
      </c>
      <c r="E467" s="514">
        <v>15.6</v>
      </c>
      <c r="F467" s="514"/>
      <c r="G467" s="514"/>
      <c r="H467" s="514">
        <v>9</v>
      </c>
      <c r="I467" s="513"/>
      <c r="J467" s="513"/>
      <c r="K467" s="514">
        <f>E467*H467</f>
        <v>140.4</v>
      </c>
      <c r="L467" s="516"/>
      <c r="M467" s="514"/>
    </row>
    <row r="468" spans="2:13" ht="31.2" x14ac:dyDescent="0.3">
      <c r="B468" s="43" t="str">
        <f>'PRESUPUESTO OFICIAL (Entidad)'!B174</f>
        <v>C8,5</v>
      </c>
      <c r="C468" s="48" t="str">
        <f>'PRESUPUESTO OFICIAL (Entidad)'!C174</f>
        <v>Suministro e instalación de Bajante ALL PVC 4". Incluye accesorios y mano de obra.</v>
      </c>
      <c r="D468" s="43" t="str">
        <f>'PRESUPUESTO OFICIAL (Entidad)'!D174</f>
        <v>ML</v>
      </c>
      <c r="E468" s="44"/>
      <c r="F468" s="44"/>
      <c r="G468" s="44"/>
      <c r="H468" s="44"/>
      <c r="I468" s="45"/>
      <c r="J468" s="45"/>
      <c r="K468" s="437">
        <f>ROUND(SUM(K469),2)</f>
        <v>12</v>
      </c>
      <c r="L468" s="60"/>
      <c r="M468" s="51"/>
    </row>
    <row r="469" spans="2:13" x14ac:dyDescent="0.3">
      <c r="B469" s="27"/>
      <c r="C469" s="531" t="s">
        <v>1099</v>
      </c>
      <c r="D469" s="27" t="s">
        <v>19</v>
      </c>
      <c r="E469" s="514">
        <v>6</v>
      </c>
      <c r="F469" s="514"/>
      <c r="G469" s="514"/>
      <c r="H469" s="514">
        <v>2</v>
      </c>
      <c r="I469" s="513"/>
      <c r="J469" s="513"/>
      <c r="K469" s="514">
        <f>E469*H469</f>
        <v>12</v>
      </c>
      <c r="L469" s="516"/>
      <c r="M469" s="514"/>
    </row>
    <row r="470" spans="2:13" x14ac:dyDescent="0.3">
      <c r="B470" s="39" t="str">
        <f>'PRESUPUESTO OFICIAL (Entidad)'!B175</f>
        <v>C9</v>
      </c>
      <c r="C470" s="466" t="str">
        <f>'PRESUPUESTO OFICIAL (Entidad)'!C175</f>
        <v>PISOS Y ENCHAPE</v>
      </c>
      <c r="D470" s="438"/>
      <c r="E470" s="439"/>
      <c r="F470" s="439"/>
      <c r="G470" s="439"/>
      <c r="H470" s="439"/>
      <c r="I470" s="440"/>
      <c r="J470" s="440"/>
      <c r="K470" s="439"/>
      <c r="L470" s="42"/>
      <c r="M470" s="40"/>
    </row>
    <row r="471" spans="2:13" x14ac:dyDescent="0.3">
      <c r="B471" s="43" t="str">
        <f>'PRESUPUESTO OFICIAL (Entidad)'!B176</f>
        <v>C9,1</v>
      </c>
      <c r="C471" s="465" t="str">
        <f>'PRESUPUESTO OFICIAL (Entidad)'!C176</f>
        <v>Construccion de Placa en concreto de 3000 PSI e=0,10 m.</v>
      </c>
      <c r="D471" s="43" t="str">
        <f>'PRESUPUESTO OFICIAL (Entidad)'!D176</f>
        <v>M2</v>
      </c>
      <c r="E471" s="44"/>
      <c r="F471" s="44"/>
      <c r="G471" s="44"/>
      <c r="H471" s="44"/>
      <c r="I471" s="45"/>
      <c r="J471" s="45"/>
      <c r="K471" s="437">
        <f>ROUND(SUM(K472:K473),2)</f>
        <v>115.79</v>
      </c>
      <c r="L471" s="46"/>
      <c r="M471" s="44"/>
    </row>
    <row r="472" spans="2:13" x14ac:dyDescent="0.3">
      <c r="B472" s="12"/>
      <c r="C472" s="533" t="s">
        <v>1087</v>
      </c>
      <c r="D472" s="27" t="s">
        <v>8</v>
      </c>
      <c r="E472" s="514">
        <v>6.9</v>
      </c>
      <c r="F472" s="514">
        <v>8.3000000000000007</v>
      </c>
      <c r="G472" s="514"/>
      <c r="H472" s="514"/>
      <c r="I472" s="513"/>
      <c r="J472" s="513"/>
      <c r="K472" s="514">
        <f>E472*F472</f>
        <v>57.27000000000001</v>
      </c>
      <c r="L472" s="516"/>
      <c r="M472" s="514"/>
    </row>
    <row r="473" spans="2:13" x14ac:dyDescent="0.3">
      <c r="B473" s="12"/>
      <c r="C473" s="533" t="s">
        <v>1088</v>
      </c>
      <c r="D473" s="27" t="s">
        <v>8</v>
      </c>
      <c r="E473" s="514">
        <v>7.05</v>
      </c>
      <c r="F473" s="514">
        <v>8.3000000000000007</v>
      </c>
      <c r="G473" s="514"/>
      <c r="H473" s="514"/>
      <c r="I473" s="513"/>
      <c r="J473" s="513"/>
      <c r="K473" s="514">
        <f>E473*F473</f>
        <v>58.515000000000001</v>
      </c>
      <c r="L473" s="516"/>
      <c r="M473" s="514"/>
    </row>
    <row r="474" spans="2:13" x14ac:dyDescent="0.3">
      <c r="B474" s="43" t="str">
        <f>'PRESUPUESTO OFICIAL (Entidad)'!B177</f>
        <v>C9,2</v>
      </c>
      <c r="C474" s="465" t="str">
        <f>'PRESUPUESTO OFICIAL (Entidad)'!C177</f>
        <v>Alistado de piso en mortero e= 0,05m.</v>
      </c>
      <c r="D474" s="43" t="str">
        <f>'PRESUPUESTO OFICIAL (Entidad)'!D177</f>
        <v>M2</v>
      </c>
      <c r="E474" s="44"/>
      <c r="F474" s="44"/>
      <c r="G474" s="44"/>
      <c r="H474" s="44"/>
      <c r="I474" s="45"/>
      <c r="J474" s="45"/>
      <c r="K474" s="437">
        <f>ROUND(SUM(K475:K476),2)</f>
        <v>115.79</v>
      </c>
      <c r="L474" s="46"/>
      <c r="M474" s="44"/>
    </row>
    <row r="475" spans="2:13" x14ac:dyDescent="0.3">
      <c r="B475" s="12"/>
      <c r="C475" s="533" t="s">
        <v>1089</v>
      </c>
      <c r="D475" s="27" t="s">
        <v>8</v>
      </c>
      <c r="E475" s="514">
        <v>6.9</v>
      </c>
      <c r="F475" s="514">
        <v>8.3000000000000007</v>
      </c>
      <c r="G475" s="57"/>
      <c r="H475" s="58"/>
      <c r="I475" s="57"/>
      <c r="J475" s="513"/>
      <c r="K475" s="514">
        <f>E475*F475</f>
        <v>57.27000000000001</v>
      </c>
      <c r="L475" s="516"/>
      <c r="M475" s="514"/>
    </row>
    <row r="476" spans="2:13" x14ac:dyDescent="0.3">
      <c r="B476" s="12"/>
      <c r="C476" s="533" t="s">
        <v>1090</v>
      </c>
      <c r="D476" s="27" t="s">
        <v>8</v>
      </c>
      <c r="E476" s="514">
        <v>7.05</v>
      </c>
      <c r="F476" s="514">
        <v>8.3000000000000007</v>
      </c>
      <c r="G476" s="57"/>
      <c r="H476" s="58"/>
      <c r="I476" s="57"/>
      <c r="J476" s="513"/>
      <c r="K476" s="514">
        <f>E476*F476</f>
        <v>58.515000000000001</v>
      </c>
      <c r="L476" s="516"/>
      <c r="M476" s="514"/>
    </row>
    <row r="477" spans="2:13" x14ac:dyDescent="0.3">
      <c r="B477" s="43" t="str">
        <f>'PRESUPUESTO OFICIAL (Entidad)'!B178</f>
        <v>C9,3</v>
      </c>
      <c r="C477" s="465" t="str">
        <f>'PRESUPUESTO OFICIAL (Entidad)'!C178</f>
        <v>Suministro e instalacion de Piso en ceramica t-5</v>
      </c>
      <c r="D477" s="43" t="str">
        <f>'PRESUPUESTO OFICIAL (Entidad)'!D178</f>
        <v>M2</v>
      </c>
      <c r="E477" s="44"/>
      <c r="F477" s="44"/>
      <c r="G477" s="44"/>
      <c r="H477" s="44"/>
      <c r="I477" s="45"/>
      <c r="J477" s="45"/>
      <c r="K477" s="437">
        <f>ROUND(SUM(K478:K479),2)</f>
        <v>115.79</v>
      </c>
      <c r="L477" s="46"/>
      <c r="M477" s="44"/>
    </row>
    <row r="478" spans="2:13" x14ac:dyDescent="0.3">
      <c r="B478" s="27"/>
      <c r="C478" s="533" t="s">
        <v>1091</v>
      </c>
      <c r="D478" s="27" t="s">
        <v>8</v>
      </c>
      <c r="E478" s="514">
        <v>6.9</v>
      </c>
      <c r="F478" s="514">
        <v>8.3000000000000007</v>
      </c>
      <c r="G478" s="514"/>
      <c r="H478" s="514"/>
      <c r="I478" s="513"/>
      <c r="J478" s="513"/>
      <c r="K478" s="514">
        <f>E478*F478</f>
        <v>57.27000000000001</v>
      </c>
      <c r="L478" s="516"/>
      <c r="M478" s="514"/>
    </row>
    <row r="479" spans="2:13" x14ac:dyDescent="0.3">
      <c r="B479" s="27"/>
      <c r="C479" s="533" t="s">
        <v>1092</v>
      </c>
      <c r="D479" s="27" t="s">
        <v>8</v>
      </c>
      <c r="E479" s="514">
        <v>7.05</v>
      </c>
      <c r="F479" s="514">
        <v>8.3000000000000007</v>
      </c>
      <c r="G479" s="514"/>
      <c r="H479" s="514"/>
      <c r="I479" s="513"/>
      <c r="J479" s="513"/>
      <c r="K479" s="514">
        <f>E479*F479</f>
        <v>58.515000000000001</v>
      </c>
      <c r="L479" s="516"/>
      <c r="M479" s="514"/>
    </row>
    <row r="480" spans="2:13" x14ac:dyDescent="0.3">
      <c r="B480" s="43" t="str">
        <f>'PRESUPUESTO OFICIAL (Entidad)'!B179</f>
        <v>C9,4</v>
      </c>
      <c r="C480" s="465" t="str">
        <f>'PRESUPUESTO OFICIAL (Entidad)'!C179</f>
        <v>Suministro e instalacion de Guardaescoba en cerámica   T-5.</v>
      </c>
      <c r="D480" s="43" t="str">
        <f>'PRESUPUESTO OFICIAL (Entidad)'!D179</f>
        <v>ML</v>
      </c>
      <c r="E480" s="44"/>
      <c r="F480" s="44"/>
      <c r="G480" s="44"/>
      <c r="H480" s="44"/>
      <c r="I480" s="45"/>
      <c r="J480" s="45"/>
      <c r="K480" s="437">
        <f>ROUND(SUM(K481:K482),2)</f>
        <v>59.43</v>
      </c>
      <c r="L480" s="46"/>
      <c r="M480" s="44"/>
    </row>
    <row r="481" spans="2:13" ht="16.5" customHeight="1" x14ac:dyDescent="0.3">
      <c r="B481" s="27"/>
      <c r="C481" s="531" t="s">
        <v>1093</v>
      </c>
      <c r="D481" s="27" t="s">
        <v>19</v>
      </c>
      <c r="E481" s="514">
        <v>29.41</v>
      </c>
      <c r="F481" s="514"/>
      <c r="G481" s="514"/>
      <c r="H481" s="514"/>
      <c r="I481" s="513"/>
      <c r="J481" s="513"/>
      <c r="K481" s="514">
        <f>E481</f>
        <v>29.41</v>
      </c>
      <c r="L481" s="516"/>
      <c r="M481" s="514"/>
    </row>
    <row r="482" spans="2:13" x14ac:dyDescent="0.3">
      <c r="B482" s="27"/>
      <c r="C482" s="531" t="s">
        <v>1094</v>
      </c>
      <c r="D482" s="27" t="s">
        <v>19</v>
      </c>
      <c r="E482" s="514">
        <v>30.02</v>
      </c>
      <c r="F482" s="514"/>
      <c r="G482" s="514"/>
      <c r="H482" s="514"/>
      <c r="I482" s="513"/>
      <c r="J482" s="513"/>
      <c r="K482" s="514">
        <f>E482+I482</f>
        <v>30.02</v>
      </c>
      <c r="L482" s="516"/>
      <c r="M482" s="514"/>
    </row>
    <row r="483" spans="2:13" x14ac:dyDescent="0.3">
      <c r="B483" s="39" t="str">
        <f>'PRESUPUESTO OFICIAL (Entidad)'!B180</f>
        <v>C10</v>
      </c>
      <c r="C483" s="512" t="str">
        <f>'PRESUPUESTO OFICIAL (Entidad)'!C180</f>
        <v>CARPINTERÍA METÁLICA</v>
      </c>
      <c r="D483" s="438"/>
      <c r="E483" s="439"/>
      <c r="F483" s="439"/>
      <c r="G483" s="439"/>
      <c r="H483" s="439"/>
      <c r="I483" s="440"/>
      <c r="J483" s="440"/>
      <c r="K483" s="439"/>
      <c r="L483" s="42"/>
      <c r="M483" s="40"/>
    </row>
    <row r="484" spans="2:13" ht="31.2" x14ac:dyDescent="0.3">
      <c r="B484" s="43" t="str">
        <f>'PRESUPUESTO OFICIAL (Entidad)'!B181</f>
        <v>C10,1</v>
      </c>
      <c r="C484" s="465" t="str">
        <f>'PRESUPUESTO OFICIAL (Entidad)'!C181</f>
        <v xml:space="preserve">Suministro e instalación ventana en tubo cuadrado de 1" cal. 20, incluye anticorrosivo + pintura y todo lo necesario para su correcto funcionamiento. </v>
      </c>
      <c r="D484" s="43" t="str">
        <f>'PRESUPUESTO OFICIAL (Entidad)'!D181</f>
        <v>M2</v>
      </c>
      <c r="E484" s="44"/>
      <c r="F484" s="44"/>
      <c r="G484" s="44"/>
      <c r="H484" s="44"/>
      <c r="I484" s="45"/>
      <c r="J484" s="45"/>
      <c r="K484" s="437">
        <f>ROUND(SUM(K485:K487),2)</f>
        <v>37.659999999999997</v>
      </c>
      <c r="L484" s="46"/>
      <c r="M484" s="44"/>
    </row>
    <row r="485" spans="2:13" x14ac:dyDescent="0.3">
      <c r="B485" s="12"/>
      <c r="C485" s="531" t="s">
        <v>1095</v>
      </c>
      <c r="D485" s="27" t="s">
        <v>8</v>
      </c>
      <c r="E485" s="514">
        <v>3.3</v>
      </c>
      <c r="F485" s="514"/>
      <c r="G485" s="514">
        <v>1.4</v>
      </c>
      <c r="H485" s="514">
        <v>2</v>
      </c>
      <c r="I485" s="513"/>
      <c r="J485" s="513"/>
      <c r="K485" s="514">
        <f>E485*G485*H485</f>
        <v>9.2399999999999984</v>
      </c>
      <c r="L485" s="25"/>
      <c r="M485" s="13"/>
    </row>
    <row r="486" spans="2:13" x14ac:dyDescent="0.3">
      <c r="B486" s="12"/>
      <c r="C486" s="531" t="s">
        <v>1096</v>
      </c>
      <c r="D486" s="27" t="s">
        <v>8</v>
      </c>
      <c r="E486" s="514">
        <v>2.15</v>
      </c>
      <c r="F486" s="514"/>
      <c r="G486" s="514">
        <v>1.4</v>
      </c>
      <c r="H486" s="514">
        <v>2</v>
      </c>
      <c r="I486" s="513"/>
      <c r="J486" s="513"/>
      <c r="K486" s="514">
        <f t="shared" ref="K486:K487" si="34">E486*G486*H486</f>
        <v>6.02</v>
      </c>
      <c r="L486" s="25"/>
      <c r="M486" s="13"/>
    </row>
    <row r="487" spans="2:13" x14ac:dyDescent="0.3">
      <c r="B487" s="12"/>
      <c r="C487" s="531" t="s">
        <v>1097</v>
      </c>
      <c r="D487" s="27" t="s">
        <v>8</v>
      </c>
      <c r="E487" s="514">
        <v>4</v>
      </c>
      <c r="F487" s="514"/>
      <c r="G487" s="514">
        <v>1.4</v>
      </c>
      <c r="H487" s="514">
        <v>4</v>
      </c>
      <c r="I487" s="513"/>
      <c r="J487" s="513"/>
      <c r="K487" s="514">
        <f t="shared" si="34"/>
        <v>22.4</v>
      </c>
      <c r="L487" s="25"/>
      <c r="M487" s="13"/>
    </row>
    <row r="488" spans="2:13" ht="31.2" x14ac:dyDescent="0.3">
      <c r="B488" s="43" t="str">
        <f>'PRESUPUESTO OFICIAL (Entidad)'!B182</f>
        <v>C10,2</v>
      </c>
      <c r="C488" s="465" t="str">
        <f>'PRESUPUESTO OFICIAL (Entidad)'!C182</f>
        <v>Suministro e instalación de Luceta en lamina C. R. cal. 20 y tubo cuadrado de 1" cal. 20. Incluye anticorrosivo y pintura.</v>
      </c>
      <c r="D488" s="43" t="str">
        <f>'PRESUPUESTO OFICIAL (Entidad)'!D182</f>
        <v>M2</v>
      </c>
      <c r="E488" s="44"/>
      <c r="F488" s="44"/>
      <c r="G488" s="44"/>
      <c r="H488" s="44"/>
      <c r="I488" s="45"/>
      <c r="J488" s="45"/>
      <c r="K488" s="437">
        <f>ROUND(SUM(K489),2)</f>
        <v>0.6</v>
      </c>
      <c r="L488" s="46"/>
      <c r="M488" s="44"/>
    </row>
    <row r="489" spans="2:13" x14ac:dyDescent="0.3">
      <c r="B489" s="27"/>
      <c r="C489" s="531" t="s">
        <v>892</v>
      </c>
      <c r="D489" s="27" t="s">
        <v>8</v>
      </c>
      <c r="E489" s="514">
        <v>1</v>
      </c>
      <c r="F489" s="514"/>
      <c r="G489" s="514">
        <v>0.3</v>
      </c>
      <c r="H489" s="514">
        <v>2</v>
      </c>
      <c r="I489" s="513"/>
      <c r="J489" s="513"/>
      <c r="K489" s="514">
        <f>E489*G489*H489</f>
        <v>0.6</v>
      </c>
      <c r="L489" s="516"/>
      <c r="M489" s="514"/>
    </row>
    <row r="490" spans="2:13" ht="31.2" x14ac:dyDescent="0.3">
      <c r="B490" s="43" t="str">
        <f>'PRESUPUESTO OFICIAL (Entidad)'!B183</f>
        <v>C10,3</v>
      </c>
      <c r="C490" s="465" t="str">
        <f>'PRESUPUESTO OFICIAL (Entidad)'!C183</f>
        <v>Suministro e instalación de Marco y puerta metálicos lamina C. R. cal. 20, de 1,00x2.00 m. Incluye anticorrosivo y pintura.</v>
      </c>
      <c r="D490" s="43" t="str">
        <f>'PRESUPUESTO OFICIAL (Entidad)'!D183</f>
        <v>UND</v>
      </c>
      <c r="E490" s="44"/>
      <c r="F490" s="44"/>
      <c r="G490" s="44"/>
      <c r="H490" s="44"/>
      <c r="I490" s="45"/>
      <c r="J490" s="45"/>
      <c r="K490" s="437">
        <f>ROUND(SUM(K491),2)</f>
        <v>2</v>
      </c>
      <c r="L490" s="46"/>
      <c r="M490" s="44"/>
    </row>
    <row r="491" spans="2:13" x14ac:dyDescent="0.3">
      <c r="B491" s="27"/>
      <c r="C491" s="531" t="s">
        <v>893</v>
      </c>
      <c r="D491" s="27" t="s">
        <v>21</v>
      </c>
      <c r="E491" s="514">
        <v>1</v>
      </c>
      <c r="F491" s="514"/>
      <c r="G491" s="514"/>
      <c r="H491" s="514">
        <v>2</v>
      </c>
      <c r="I491" s="513"/>
      <c r="J491" s="513"/>
      <c r="K491" s="514">
        <f>H491</f>
        <v>2</v>
      </c>
      <c r="L491" s="516"/>
      <c r="M491" s="514"/>
    </row>
    <row r="492" spans="2:13" x14ac:dyDescent="0.3">
      <c r="B492" s="43" t="str">
        <f>'PRESUPUESTO OFICIAL (Entidad)'!B184</f>
        <v>C10,4</v>
      </c>
      <c r="C492" s="43" t="str">
        <f>'PRESUPUESTO OFICIAL (Entidad)'!C184</f>
        <v>Suministro e instalación de Canal en lámina Galvanizada C. 20. Incluye refuerzos en angulo 1" x 1/8"+ pintura.</v>
      </c>
      <c r="D492" s="43" t="str">
        <f>'PRESUPUESTO OFICIAL (Entidad)'!D184</f>
        <v>ML</v>
      </c>
      <c r="E492" s="44"/>
      <c r="F492" s="44"/>
      <c r="G492" s="44"/>
      <c r="H492" s="44"/>
      <c r="I492" s="45"/>
      <c r="J492" s="45"/>
      <c r="K492" s="437">
        <f>ROUND(SUM(K493),2)</f>
        <v>32</v>
      </c>
      <c r="L492" s="46"/>
      <c r="M492" s="44"/>
    </row>
    <row r="493" spans="2:13" x14ac:dyDescent="0.3">
      <c r="B493" s="27"/>
      <c r="C493" s="531" t="s">
        <v>1101</v>
      </c>
      <c r="D493" s="27" t="s">
        <v>19</v>
      </c>
      <c r="E493" s="514">
        <v>16</v>
      </c>
      <c r="F493" s="514"/>
      <c r="G493" s="514"/>
      <c r="H493" s="514">
        <v>2</v>
      </c>
      <c r="I493" s="513"/>
      <c r="J493" s="513"/>
      <c r="K493" s="514">
        <f>E493*H493</f>
        <v>32</v>
      </c>
      <c r="L493" s="516"/>
      <c r="M493" s="514"/>
    </row>
    <row r="494" spans="2:13" x14ac:dyDescent="0.3">
      <c r="B494" s="39" t="str">
        <f>'PRESUPUESTO OFICIAL (Entidad)'!B185</f>
        <v>C11</v>
      </c>
      <c r="C494" s="466" t="str">
        <f>'PRESUPUESTO OFICIAL (Entidad)'!C185</f>
        <v>PINTURA GENERAL</v>
      </c>
      <c r="D494" s="438"/>
      <c r="E494" s="439"/>
      <c r="F494" s="439"/>
      <c r="G494" s="439"/>
      <c r="H494" s="439"/>
      <c r="I494" s="440"/>
      <c r="J494" s="440"/>
      <c r="K494" s="439"/>
      <c r="L494" s="42"/>
      <c r="M494" s="40"/>
    </row>
    <row r="495" spans="2:13" ht="31.2" x14ac:dyDescent="0.3">
      <c r="B495" s="43" t="str">
        <f>'PRESUPUESTO OFICIAL (Entidad)'!B186</f>
        <v>C11,1</v>
      </c>
      <c r="C495" s="465" t="str">
        <f>'PRESUPUESTO OFICIAL (Entidad)'!C186</f>
        <v>Suministro y aplicación de Estuco y pintura vinilo tipo1 tres manos sobre muros.</v>
      </c>
      <c r="D495" s="43" t="str">
        <f>'PRESUPUESTO OFICIAL (Entidad)'!D186</f>
        <v>M2</v>
      </c>
      <c r="E495" s="44"/>
      <c r="F495" s="44"/>
      <c r="G495" s="44"/>
      <c r="H495" s="44"/>
      <c r="I495" s="45"/>
      <c r="J495" s="45"/>
      <c r="K495" s="437">
        <f>ROUND(SUM(K496:K508),2)</f>
        <v>165.2</v>
      </c>
      <c r="L495" s="46"/>
      <c r="M495" s="44"/>
    </row>
    <row r="496" spans="2:13" x14ac:dyDescent="0.3">
      <c r="B496" s="12"/>
      <c r="C496" s="111" t="s">
        <v>1105</v>
      </c>
      <c r="D496" s="27" t="s">
        <v>8</v>
      </c>
      <c r="E496" s="514">
        <f>(2.81+1.83)*2</f>
        <v>9.2800000000000011</v>
      </c>
      <c r="F496" s="514"/>
      <c r="G496" s="514"/>
      <c r="H496" s="514">
        <v>1</v>
      </c>
      <c r="I496" s="27"/>
      <c r="J496" s="27"/>
      <c r="K496" s="514">
        <f>E496*H496</f>
        <v>9.2800000000000011</v>
      </c>
      <c r="L496" s="25"/>
      <c r="M496" s="13"/>
    </row>
    <row r="497" spans="2:13" x14ac:dyDescent="0.3">
      <c r="B497" s="12"/>
      <c r="C497" s="111" t="s">
        <v>1112</v>
      </c>
      <c r="D497" s="27" t="s">
        <v>8</v>
      </c>
      <c r="E497" s="514">
        <f>7.92*4</f>
        <v>31.68</v>
      </c>
      <c r="F497" s="514"/>
      <c r="G497" s="514"/>
      <c r="H497" s="514">
        <v>1</v>
      </c>
      <c r="I497" s="27"/>
      <c r="J497" s="27"/>
      <c r="K497" s="514">
        <f t="shared" ref="K497:K503" si="35">E497*H497</f>
        <v>31.68</v>
      </c>
      <c r="L497" s="25"/>
      <c r="M497" s="13"/>
    </row>
    <row r="498" spans="2:13" x14ac:dyDescent="0.3">
      <c r="B498" s="12"/>
      <c r="C498" s="111" t="s">
        <v>1106</v>
      </c>
      <c r="D498" s="27" t="s">
        <v>8</v>
      </c>
      <c r="E498" s="514">
        <f>4*2</f>
        <v>8</v>
      </c>
      <c r="F498" s="514"/>
      <c r="G498" s="514"/>
      <c r="H498" s="514">
        <v>1</v>
      </c>
      <c r="I498" s="27"/>
      <c r="J498" s="27"/>
      <c r="K498" s="514">
        <f t="shared" si="35"/>
        <v>8</v>
      </c>
      <c r="L498" s="25"/>
      <c r="M498" s="13"/>
    </row>
    <row r="499" spans="2:13" x14ac:dyDescent="0.3">
      <c r="B499" s="12"/>
      <c r="C499" s="111" t="s">
        <v>1107</v>
      </c>
      <c r="D499" s="27" t="s">
        <v>8</v>
      </c>
      <c r="E499" s="514">
        <f>9.6*2</f>
        <v>19.2</v>
      </c>
      <c r="F499" s="514"/>
      <c r="G499" s="514"/>
      <c r="H499" s="514">
        <v>2</v>
      </c>
      <c r="I499" s="27"/>
      <c r="J499" s="27"/>
      <c r="K499" s="514">
        <f t="shared" si="35"/>
        <v>38.4</v>
      </c>
      <c r="L499" s="25"/>
      <c r="M499" s="13"/>
    </row>
    <row r="500" spans="2:13" x14ac:dyDescent="0.3">
      <c r="B500" s="12"/>
      <c r="C500" s="111" t="s">
        <v>1108</v>
      </c>
      <c r="D500" s="27" t="s">
        <v>8</v>
      </c>
      <c r="E500" s="514">
        <f>4*2</f>
        <v>8</v>
      </c>
      <c r="F500" s="514"/>
      <c r="G500" s="514"/>
      <c r="H500" s="514">
        <v>1</v>
      </c>
      <c r="I500" s="27"/>
      <c r="J500" s="27"/>
      <c r="K500" s="514">
        <f t="shared" si="35"/>
        <v>8</v>
      </c>
      <c r="L500" s="25"/>
      <c r="M500" s="13"/>
    </row>
    <row r="501" spans="2:13" x14ac:dyDescent="0.3">
      <c r="B501" s="12"/>
      <c r="C501" s="111" t="s">
        <v>1109</v>
      </c>
      <c r="D501" s="27" t="s">
        <v>8</v>
      </c>
      <c r="E501" s="514">
        <f>2.06*2</f>
        <v>4.12</v>
      </c>
      <c r="F501" s="514"/>
      <c r="G501" s="514"/>
      <c r="H501" s="514">
        <v>1</v>
      </c>
      <c r="I501" s="27"/>
      <c r="J501" s="27"/>
      <c r="K501" s="514">
        <f t="shared" si="35"/>
        <v>4.12</v>
      </c>
      <c r="L501" s="25"/>
      <c r="M501" s="13"/>
    </row>
    <row r="502" spans="2:13" x14ac:dyDescent="0.3">
      <c r="B502" s="12"/>
      <c r="C502" s="111" t="s">
        <v>1110</v>
      </c>
      <c r="D502" s="27" t="s">
        <v>8</v>
      </c>
      <c r="E502" s="514">
        <f>2.06*2</f>
        <v>4.12</v>
      </c>
      <c r="F502" s="514"/>
      <c r="G502" s="514"/>
      <c r="H502" s="514">
        <v>2</v>
      </c>
      <c r="I502" s="27"/>
      <c r="J502" s="27"/>
      <c r="K502" s="514">
        <f t="shared" si="35"/>
        <v>8.24</v>
      </c>
      <c r="L502" s="25"/>
      <c r="M502" s="13"/>
    </row>
    <row r="503" spans="2:13" x14ac:dyDescent="0.3">
      <c r="B503" s="12"/>
      <c r="C503" s="111" t="s">
        <v>1111</v>
      </c>
      <c r="D503" s="27" t="s">
        <v>8</v>
      </c>
      <c r="E503" s="514">
        <f>2.06*2</f>
        <v>4.12</v>
      </c>
      <c r="F503" s="514"/>
      <c r="G503" s="514"/>
      <c r="H503" s="514">
        <v>1</v>
      </c>
      <c r="I503" s="27"/>
      <c r="J503" s="27"/>
      <c r="K503" s="514">
        <f t="shared" si="35"/>
        <v>4.12</v>
      </c>
      <c r="L503" s="25"/>
      <c r="M503" s="13"/>
    </row>
    <row r="504" spans="2:13" x14ac:dyDescent="0.3">
      <c r="B504" s="12"/>
      <c r="C504" s="531" t="s">
        <v>884</v>
      </c>
      <c r="D504" s="27" t="s">
        <v>8</v>
      </c>
      <c r="E504" s="514">
        <f>E454</f>
        <v>56.3</v>
      </c>
      <c r="F504" s="514">
        <f>(0.3+0.3+0.3+0.3)-0.24-0.3</f>
        <v>0.65999999999999992</v>
      </c>
      <c r="G504" s="514"/>
      <c r="H504" s="514"/>
      <c r="I504" s="27"/>
      <c r="J504" s="27"/>
      <c r="K504" s="514">
        <f>E504*F504</f>
        <v>37.157999999999994</v>
      </c>
      <c r="L504" s="25"/>
      <c r="M504" s="13"/>
    </row>
    <row r="505" spans="2:13" x14ac:dyDescent="0.3">
      <c r="B505" s="12"/>
      <c r="C505" s="533" t="s">
        <v>885</v>
      </c>
      <c r="D505" s="27" t="s">
        <v>8</v>
      </c>
      <c r="E505" s="514">
        <f>E455</f>
        <v>30.18</v>
      </c>
      <c r="F505" s="514">
        <f>(0.3+0.3+0.3+0.3)-0.9</f>
        <v>0.29999999999999993</v>
      </c>
      <c r="G505" s="514"/>
      <c r="H505" s="514"/>
      <c r="I505" s="27"/>
      <c r="J505" s="27"/>
      <c r="K505" s="514">
        <f t="shared" ref="K505:K508" si="36">E505*F505</f>
        <v>9.0539999999999985</v>
      </c>
      <c r="L505" s="25"/>
      <c r="M505" s="13"/>
    </row>
    <row r="506" spans="2:13" x14ac:dyDescent="0.3">
      <c r="B506" s="12"/>
      <c r="C506" s="533" t="s">
        <v>886</v>
      </c>
      <c r="D506" s="27" t="s">
        <v>8</v>
      </c>
      <c r="E506" s="514">
        <f>E456</f>
        <v>12</v>
      </c>
      <c r="F506" s="514">
        <f>(0.3+0.3+0.3+0.3)-0.9</f>
        <v>0.29999999999999993</v>
      </c>
      <c r="G506" s="514"/>
      <c r="H506" s="514"/>
      <c r="I506" s="513"/>
      <c r="J506" s="513"/>
      <c r="K506" s="514">
        <f t="shared" si="36"/>
        <v>3.5999999999999992</v>
      </c>
      <c r="L506" s="25"/>
      <c r="M506" s="13"/>
    </row>
    <row r="507" spans="2:13" x14ac:dyDescent="0.3">
      <c r="B507" s="12"/>
      <c r="C507" s="533" t="s">
        <v>887</v>
      </c>
      <c r="D507" s="27" t="s">
        <v>8</v>
      </c>
      <c r="E507" s="514">
        <f>E457</f>
        <v>30.36</v>
      </c>
      <c r="F507" s="86">
        <f>(0.2+0.1+0.2+0.1)-0.54</f>
        <v>5.9999999999999942E-2</v>
      </c>
      <c r="G507" s="514"/>
      <c r="H507" s="514"/>
      <c r="I507" s="513"/>
      <c r="J507" s="513"/>
      <c r="K507" s="514">
        <f t="shared" si="36"/>
        <v>1.8215999999999981</v>
      </c>
      <c r="L507" s="25"/>
      <c r="M507" s="13"/>
    </row>
    <row r="508" spans="2:13" x14ac:dyDescent="0.3">
      <c r="B508" s="12"/>
      <c r="C508" s="533" t="s">
        <v>888</v>
      </c>
      <c r="D508" s="27" t="s">
        <v>8</v>
      </c>
      <c r="E508" s="514">
        <f>E458</f>
        <v>4.8</v>
      </c>
      <c r="F508" s="514">
        <f>(0.2+0.2+0.2+0.2)-0.44</f>
        <v>0.36000000000000004</v>
      </c>
      <c r="G508" s="57"/>
      <c r="H508" s="514"/>
      <c r="I508" s="513"/>
      <c r="J508" s="513"/>
      <c r="K508" s="514">
        <f t="shared" si="36"/>
        <v>1.7280000000000002</v>
      </c>
      <c r="L508" s="25"/>
      <c r="M508" s="13"/>
    </row>
    <row r="509" spans="2:13" x14ac:dyDescent="0.3">
      <c r="B509" s="43" t="str">
        <f>'PRESUPUESTO OFICIAL (Entidad)'!B187</f>
        <v>C11,2</v>
      </c>
      <c r="C509" s="465" t="str">
        <f>'PRESUPUESTO OFICIAL (Entidad)'!C187</f>
        <v>Suministro y aplicación de Esgrafiado en Graniplast.</v>
      </c>
      <c r="D509" s="43" t="str">
        <f>'PRESUPUESTO OFICIAL (Entidad)'!D187</f>
        <v>M2</v>
      </c>
      <c r="E509" s="44"/>
      <c r="F509" s="44"/>
      <c r="G509" s="44"/>
      <c r="H509" s="44"/>
      <c r="I509" s="45"/>
      <c r="J509" s="45"/>
      <c r="K509" s="437">
        <f>ROUND(SUM(K510:K520),2)</f>
        <v>120</v>
      </c>
      <c r="L509" s="46"/>
      <c r="M509" s="44"/>
    </row>
    <row r="510" spans="2:13" x14ac:dyDescent="0.3">
      <c r="B510" s="12"/>
      <c r="C510" s="111" t="s">
        <v>1105</v>
      </c>
      <c r="D510" s="27" t="s">
        <v>8</v>
      </c>
      <c r="E510" s="514">
        <f>(2.81+1.83)*2</f>
        <v>9.2800000000000011</v>
      </c>
      <c r="F510" s="514"/>
      <c r="G510" s="514"/>
      <c r="H510" s="514">
        <v>1</v>
      </c>
      <c r="I510" s="513"/>
      <c r="J510" s="513"/>
      <c r="K510" s="58">
        <f>E510</f>
        <v>9.2800000000000011</v>
      </c>
      <c r="L510" s="25"/>
      <c r="M510" s="13"/>
    </row>
    <row r="511" spans="2:13" x14ac:dyDescent="0.3">
      <c r="B511" s="12"/>
      <c r="C511" s="111" t="s">
        <v>1112</v>
      </c>
      <c r="D511" s="27" t="s">
        <v>8</v>
      </c>
      <c r="E511" s="514">
        <f>7.92*4</f>
        <v>31.68</v>
      </c>
      <c r="F511" s="514"/>
      <c r="G511" s="514"/>
      <c r="H511" s="514">
        <v>1</v>
      </c>
      <c r="I511" s="513"/>
      <c r="J511" s="513"/>
      <c r="K511" s="58">
        <f t="shared" ref="K511:K515" si="37">E511</f>
        <v>31.68</v>
      </c>
      <c r="L511" s="25"/>
      <c r="M511" s="13"/>
    </row>
    <row r="512" spans="2:13" x14ac:dyDescent="0.3">
      <c r="B512" s="12"/>
      <c r="C512" s="111" t="s">
        <v>1106</v>
      </c>
      <c r="D512" s="27" t="s">
        <v>8</v>
      </c>
      <c r="E512" s="514">
        <f>4*2</f>
        <v>8</v>
      </c>
      <c r="F512" s="514"/>
      <c r="G512" s="514"/>
      <c r="H512" s="514">
        <v>1</v>
      </c>
      <c r="I512" s="513"/>
      <c r="J512" s="513"/>
      <c r="K512" s="58">
        <f t="shared" si="37"/>
        <v>8</v>
      </c>
      <c r="L512" s="25"/>
      <c r="M512" s="13"/>
    </row>
    <row r="513" spans="2:13" x14ac:dyDescent="0.3">
      <c r="B513" s="12"/>
      <c r="C513" s="111" t="s">
        <v>1108</v>
      </c>
      <c r="D513" s="27" t="s">
        <v>8</v>
      </c>
      <c r="E513" s="514">
        <f>4*2</f>
        <v>8</v>
      </c>
      <c r="F513" s="514"/>
      <c r="G513" s="514"/>
      <c r="H513" s="514">
        <v>1</v>
      </c>
      <c r="I513" s="513"/>
      <c r="J513" s="513"/>
      <c r="K513" s="58">
        <f t="shared" si="37"/>
        <v>8</v>
      </c>
      <c r="L513" s="25"/>
      <c r="M513" s="13"/>
    </row>
    <row r="514" spans="2:13" x14ac:dyDescent="0.3">
      <c r="B514" s="12"/>
      <c r="C514" s="111" t="s">
        <v>1109</v>
      </c>
      <c r="D514" s="27" t="s">
        <v>8</v>
      </c>
      <c r="E514" s="514">
        <f>2.06*2</f>
        <v>4.12</v>
      </c>
      <c r="F514" s="514"/>
      <c r="G514" s="514"/>
      <c r="H514" s="514">
        <v>1</v>
      </c>
      <c r="I514" s="513"/>
      <c r="J514" s="513"/>
      <c r="K514" s="58">
        <f t="shared" si="37"/>
        <v>4.12</v>
      </c>
      <c r="L514" s="25"/>
      <c r="M514" s="13"/>
    </row>
    <row r="515" spans="2:13" x14ac:dyDescent="0.3">
      <c r="B515" s="12"/>
      <c r="C515" s="111" t="s">
        <v>1111</v>
      </c>
      <c r="D515" s="27" t="s">
        <v>8</v>
      </c>
      <c r="E515" s="514">
        <f>2.06*2</f>
        <v>4.12</v>
      </c>
      <c r="F515" s="514"/>
      <c r="G515" s="514"/>
      <c r="H515" s="514">
        <v>1</v>
      </c>
      <c r="I515" s="513"/>
      <c r="J515" s="513"/>
      <c r="K515" s="58">
        <f t="shared" si="37"/>
        <v>4.12</v>
      </c>
      <c r="L515" s="25"/>
      <c r="M515" s="13"/>
    </row>
    <row r="516" spans="2:13" x14ac:dyDescent="0.3">
      <c r="B516" s="12"/>
      <c r="C516" s="531" t="s">
        <v>884</v>
      </c>
      <c r="D516" s="27" t="s">
        <v>8</v>
      </c>
      <c r="E516" s="514">
        <f>E504</f>
        <v>56.3</v>
      </c>
      <c r="F516" s="514">
        <f>(0.3+0.3+0.3+0.3)-0.24-0.66</f>
        <v>0.29999999999999993</v>
      </c>
      <c r="G516" s="13"/>
      <c r="H516" s="13"/>
      <c r="I516" s="513"/>
      <c r="J516" s="513"/>
      <c r="K516" s="514">
        <f>E516*F516</f>
        <v>16.889999999999997</v>
      </c>
      <c r="L516" s="25"/>
      <c r="M516" s="13"/>
    </row>
    <row r="517" spans="2:13" x14ac:dyDescent="0.3">
      <c r="B517" s="12"/>
      <c r="C517" s="533" t="s">
        <v>885</v>
      </c>
      <c r="D517" s="27" t="s">
        <v>8</v>
      </c>
      <c r="E517" s="514">
        <f>E505</f>
        <v>30.18</v>
      </c>
      <c r="F517" s="514">
        <f>(0.3+0.3+0.3+0.3)-0.24-0.3</f>
        <v>0.65999999999999992</v>
      </c>
      <c r="G517" s="13"/>
      <c r="H517" s="13"/>
      <c r="I517" s="513"/>
      <c r="J517" s="513"/>
      <c r="K517" s="514">
        <f t="shared" ref="K517:K520" si="38">E517*F517</f>
        <v>19.918799999999997</v>
      </c>
      <c r="L517" s="25"/>
      <c r="M517" s="13"/>
    </row>
    <row r="518" spans="2:13" x14ac:dyDescent="0.3">
      <c r="B518" s="12"/>
      <c r="C518" s="533" t="s">
        <v>886</v>
      </c>
      <c r="D518" s="27" t="s">
        <v>8</v>
      </c>
      <c r="E518" s="514">
        <f>E506</f>
        <v>12</v>
      </c>
      <c r="F518" s="514">
        <f>(0.3+0.3+0.3+0.3)-0.24-0.3</f>
        <v>0.65999999999999992</v>
      </c>
      <c r="G518" s="13"/>
      <c r="H518" s="13"/>
      <c r="I518" s="513"/>
      <c r="J518" s="513"/>
      <c r="K518" s="514">
        <f t="shared" si="38"/>
        <v>7.919999999999999</v>
      </c>
      <c r="L518" s="25"/>
      <c r="M518" s="13"/>
    </row>
    <row r="519" spans="2:13" x14ac:dyDescent="0.3">
      <c r="B519" s="12"/>
      <c r="C519" s="533" t="s">
        <v>887</v>
      </c>
      <c r="D519" s="27" t="s">
        <v>8</v>
      </c>
      <c r="E519" s="514">
        <f>E507</f>
        <v>30.36</v>
      </c>
      <c r="F519" s="86">
        <f>(0.2+0.1+0.2+0.1)-0.24-0.06</f>
        <v>0.3</v>
      </c>
      <c r="G519" s="13"/>
      <c r="H519" s="13"/>
      <c r="I519" s="513"/>
      <c r="J519" s="513"/>
      <c r="K519" s="514">
        <f t="shared" si="38"/>
        <v>9.1079999999999988</v>
      </c>
      <c r="L519" s="25"/>
      <c r="M519" s="13"/>
    </row>
    <row r="520" spans="2:13" x14ac:dyDescent="0.3">
      <c r="B520" s="12"/>
      <c r="C520" s="533" t="s">
        <v>888</v>
      </c>
      <c r="D520" s="27" t="s">
        <v>8</v>
      </c>
      <c r="E520" s="514">
        <f>E508</f>
        <v>4.8</v>
      </c>
      <c r="F520" s="514">
        <f>(0.2+0.2+0.2+0.2)-0.24-0.36</f>
        <v>0.20000000000000007</v>
      </c>
      <c r="G520" s="13"/>
      <c r="H520" s="13"/>
      <c r="I520" s="513"/>
      <c r="J520" s="513"/>
      <c r="K520" s="514">
        <f t="shared" si="38"/>
        <v>0.9600000000000003</v>
      </c>
      <c r="L520" s="25"/>
      <c r="M520" s="13"/>
    </row>
    <row r="521" spans="2:13" x14ac:dyDescent="0.3">
      <c r="B521" s="39" t="str">
        <f>'PRESUPUESTO OFICIAL (Entidad)'!B188</f>
        <v>C12</v>
      </c>
      <c r="C521" s="466" t="str">
        <f>'PRESUPUESTO OFICIAL (Entidad)'!C188</f>
        <v>ESTERIORES</v>
      </c>
      <c r="D521" s="443"/>
      <c r="E521" s="439"/>
      <c r="F521" s="439"/>
      <c r="G521" s="439"/>
      <c r="H521" s="439"/>
      <c r="I521" s="440"/>
      <c r="J521" s="440"/>
      <c r="K521" s="444"/>
      <c r="L521" s="42"/>
      <c r="M521" s="40"/>
    </row>
    <row r="522" spans="2:13" x14ac:dyDescent="0.3">
      <c r="B522" s="43" t="str">
        <f>'PRESUPUESTO OFICIAL (Entidad)'!B189</f>
        <v>C12,1</v>
      </c>
      <c r="C522" s="465" t="str">
        <f>'PRESUPUESTO OFICIAL (Entidad)'!C189</f>
        <v>Sardinel en concreto 2500 psi, (0,35*0,15m).</v>
      </c>
      <c r="D522" s="43" t="str">
        <f>'PRESUPUESTO OFICIAL (Entidad)'!D189</f>
        <v>ML</v>
      </c>
      <c r="E522" s="51"/>
      <c r="F522" s="51"/>
      <c r="G522" s="51"/>
      <c r="H522" s="51"/>
      <c r="I522" s="45"/>
      <c r="J522" s="45"/>
      <c r="K522" s="437">
        <f>ROUND(SUM(K523),2)</f>
        <v>15.4</v>
      </c>
      <c r="L522" s="46"/>
      <c r="M522" s="44"/>
    </row>
    <row r="523" spans="2:13" x14ac:dyDescent="0.3">
      <c r="B523" s="27"/>
      <c r="C523" s="531" t="s">
        <v>894</v>
      </c>
      <c r="D523" s="27" t="s">
        <v>19</v>
      </c>
      <c r="E523" s="514">
        <v>15.4</v>
      </c>
      <c r="F523" s="514"/>
      <c r="G523" s="514"/>
      <c r="H523" s="514"/>
      <c r="I523" s="513"/>
      <c r="J523" s="513"/>
      <c r="K523" s="58">
        <f>E523</f>
        <v>15.4</v>
      </c>
      <c r="L523" s="516"/>
      <c r="M523" s="514"/>
    </row>
    <row r="524" spans="2:13" ht="31.2" x14ac:dyDescent="0.3">
      <c r="B524" s="43" t="str">
        <f>'PRESUPUESTO OFICIAL (Entidad)'!B190</f>
        <v>C12,2</v>
      </c>
      <c r="C524" s="465" t="str">
        <f>'PRESUPUESTO OFICIAL (Entidad)'!C190</f>
        <v>Placa de piso para exteriores en concreto 2500 P.S.I., barrido y dilatado e=0.10 m.</v>
      </c>
      <c r="D524" s="43" t="str">
        <f>'PRESUPUESTO OFICIAL (Entidad)'!D190</f>
        <v>M2</v>
      </c>
      <c r="E524" s="51"/>
      <c r="F524" s="51"/>
      <c r="G524" s="51"/>
      <c r="H524" s="51"/>
      <c r="I524" s="45"/>
      <c r="J524" s="45"/>
      <c r="K524" s="437">
        <f>ROUND(SUM(K525:K526),2)</f>
        <v>20.78</v>
      </c>
      <c r="L524" s="46"/>
      <c r="M524" s="44"/>
    </row>
    <row r="525" spans="2:13" x14ac:dyDescent="0.3">
      <c r="B525" s="27"/>
      <c r="C525" s="531" t="s">
        <v>895</v>
      </c>
      <c r="D525" s="27" t="s">
        <v>8</v>
      </c>
      <c r="E525" s="514">
        <v>15.4</v>
      </c>
      <c r="F525" s="514">
        <v>1</v>
      </c>
      <c r="G525" s="514"/>
      <c r="H525" s="514"/>
      <c r="I525" s="513"/>
      <c r="J525" s="513"/>
      <c r="K525" s="58">
        <f>E525*F525</f>
        <v>15.4</v>
      </c>
      <c r="L525" s="516"/>
      <c r="M525" s="514"/>
    </row>
    <row r="526" spans="2:13" x14ac:dyDescent="0.3">
      <c r="B526" s="27"/>
      <c r="C526" s="531" t="s">
        <v>896</v>
      </c>
      <c r="D526" s="27" t="s">
        <v>8</v>
      </c>
      <c r="E526" s="514">
        <v>10.75</v>
      </c>
      <c r="F526" s="514">
        <v>0.5</v>
      </c>
      <c r="G526" s="514"/>
      <c r="H526" s="514"/>
      <c r="I526" s="513"/>
      <c r="J526" s="513"/>
      <c r="K526" s="58">
        <f>E526*F526</f>
        <v>5.375</v>
      </c>
      <c r="L526" s="516"/>
      <c r="M526" s="514"/>
    </row>
    <row r="527" spans="2:13" x14ac:dyDescent="0.3">
      <c r="B527" s="43" t="str">
        <f>'PRESUPUESTO OFICIAL (Entidad)'!B191</f>
        <v>C12,3</v>
      </c>
      <c r="C527" s="465" t="str">
        <f>'PRESUPUESTO OFICIAL (Entidad)'!C191</f>
        <v>Cuneta a.ll. en concreto de 3.000 PSI, Tipo V, a=0.50 m.</v>
      </c>
      <c r="D527" s="43" t="str">
        <f>'PRESUPUESTO OFICIAL (Entidad)'!D191</f>
        <v>ML</v>
      </c>
      <c r="E527" s="51"/>
      <c r="F527" s="51"/>
      <c r="G527" s="51"/>
      <c r="H527" s="51"/>
      <c r="I527" s="45"/>
      <c r="J527" s="45"/>
      <c r="K527" s="437">
        <f>ROUND(SUM(K528),2)</f>
        <v>15.4</v>
      </c>
      <c r="L527" s="46"/>
      <c r="M527" s="44"/>
    </row>
    <row r="528" spans="2:13" x14ac:dyDescent="0.3">
      <c r="B528" s="12"/>
      <c r="C528" s="533" t="s">
        <v>897</v>
      </c>
      <c r="D528" s="27" t="s">
        <v>19</v>
      </c>
      <c r="E528" s="514">
        <f>E525</f>
        <v>15.4</v>
      </c>
      <c r="F528" s="86"/>
      <c r="G528" s="57"/>
      <c r="H528" s="514"/>
      <c r="I528" s="534"/>
      <c r="J528" s="513"/>
      <c r="K528" s="514">
        <f>E528</f>
        <v>15.4</v>
      </c>
      <c r="L528" s="25"/>
      <c r="M528" s="13"/>
    </row>
    <row r="529" spans="2:13" x14ac:dyDescent="0.3">
      <c r="B529" s="39" t="str">
        <f>'PRESUPUESTO OFICIAL (Entidad)'!B192</f>
        <v>C13</v>
      </c>
      <c r="C529" s="466" t="str">
        <f>'PRESUPUESTO OFICIAL (Entidad)'!C192</f>
        <v>LIMPIEZA GENERAL</v>
      </c>
      <c r="D529" s="443"/>
      <c r="E529" s="439"/>
      <c r="F529" s="439"/>
      <c r="G529" s="439"/>
      <c r="H529" s="439"/>
      <c r="I529" s="440"/>
      <c r="J529" s="440"/>
      <c r="K529" s="444"/>
      <c r="L529" s="42"/>
      <c r="M529" s="40"/>
    </row>
    <row r="530" spans="2:13" x14ac:dyDescent="0.3">
      <c r="B530" s="43" t="str">
        <f>'PRESUPUESTO OFICIAL (Entidad)'!B193</f>
        <v>C13,1</v>
      </c>
      <c r="C530" s="465" t="str">
        <f>'PRESUPUESTO OFICIAL (Entidad)'!C193</f>
        <v>Aseo final de obra.</v>
      </c>
      <c r="D530" s="43" t="str">
        <f>'PRESUPUESTO OFICIAL (Entidad)'!D193</f>
        <v>M2</v>
      </c>
      <c r="E530" s="51"/>
      <c r="F530" s="51"/>
      <c r="G530" s="51"/>
      <c r="H530" s="51"/>
      <c r="I530" s="45"/>
      <c r="J530" s="45"/>
      <c r="K530" s="437">
        <f>ROUND(SUM(K531),2)</f>
        <v>149.76</v>
      </c>
      <c r="L530" s="46"/>
      <c r="M530" s="44"/>
    </row>
    <row r="531" spans="2:13" x14ac:dyDescent="0.3">
      <c r="B531" s="12"/>
      <c r="C531" s="533" t="s">
        <v>633</v>
      </c>
      <c r="D531" s="27" t="s">
        <v>8</v>
      </c>
      <c r="E531" s="525">
        <v>15.6</v>
      </c>
      <c r="F531" s="525">
        <v>9.6</v>
      </c>
      <c r="G531" s="514"/>
      <c r="H531" s="514"/>
      <c r="I531" s="513"/>
      <c r="J531" s="513"/>
      <c r="K531" s="514">
        <f>E531*F531</f>
        <v>149.76</v>
      </c>
      <c r="L531" s="25"/>
      <c r="M531" s="13"/>
    </row>
    <row r="532" spans="2:13" ht="6.75" customHeight="1" x14ac:dyDescent="0.3">
      <c r="B532" s="838"/>
      <c r="C532" s="838"/>
      <c r="D532" s="838"/>
      <c r="E532" s="838"/>
      <c r="F532" s="838"/>
      <c r="G532" s="838"/>
      <c r="H532" s="838"/>
      <c r="I532" s="838"/>
      <c r="J532" s="838"/>
      <c r="K532" s="838"/>
      <c r="L532" s="838"/>
      <c r="M532" s="838"/>
    </row>
    <row r="533" spans="2:13" x14ac:dyDescent="0.3">
      <c r="B533" s="16" t="str">
        <f>'PRESUPUESTO OFICIAL (Entidad)'!B194</f>
        <v>D</v>
      </c>
      <c r="C533" s="839" t="str">
        <f>'PRESUPUESTO OFICIAL (Entidad)'!C194:F194</f>
        <v>CAMBIO DE CUBIERTA Y PINTURAEN LA  INSTITUCIÓN EDUCATIVA NUESTRA SEÑORA DEL CARMEN SEDE ALTO LIBANO</v>
      </c>
      <c r="D533" s="839"/>
      <c r="E533" s="839"/>
      <c r="F533" s="839"/>
      <c r="G533" s="839"/>
      <c r="H533" s="839"/>
      <c r="I533" s="839"/>
      <c r="J533" s="839"/>
      <c r="K533" s="839"/>
      <c r="L533" s="839"/>
      <c r="M533" s="839"/>
    </row>
    <row r="534" spans="2:13" x14ac:dyDescent="0.3">
      <c r="B534" s="39" t="str">
        <f>'PRESUPUESTO OFICIAL (Entidad)'!B197</f>
        <v>D2</v>
      </c>
      <c r="C534" s="47" t="str">
        <f>'PRESUPUESTO OFICIAL (Entidad)'!C195</f>
        <v>DEMOLICIONES Y DESMONTE DE ELEMENTOS</v>
      </c>
      <c r="D534" s="39"/>
      <c r="E534" s="40"/>
      <c r="F534" s="40"/>
      <c r="G534" s="40"/>
      <c r="H534" s="40"/>
      <c r="I534" s="41"/>
      <c r="J534" s="41"/>
      <c r="K534" s="40"/>
      <c r="L534" s="42"/>
      <c r="M534" s="40"/>
    </row>
    <row r="535" spans="2:13" ht="35.25" customHeight="1" x14ac:dyDescent="0.3">
      <c r="B535" s="43" t="str">
        <f>'PRESUPUESTO OFICIAL (Entidad)'!B198</f>
        <v>D2,1</v>
      </c>
      <c r="C535" s="465" t="str">
        <f>'PRESUPUESTO OFICIAL (Entidad)'!C198</f>
        <v xml:space="preserve">Suministro e instalación de cubierta en teja master 1000 Arquitectónica color, CAL 28. Incluye tornillos autoperforantes. </v>
      </c>
      <c r="D535" s="43" t="str">
        <f>'PRESUPUESTO OFICIAL (Entidad)'!D198</f>
        <v>M2</v>
      </c>
      <c r="E535" s="44"/>
      <c r="F535" s="44"/>
      <c r="G535" s="44"/>
      <c r="H535" s="44"/>
      <c r="I535" s="45"/>
      <c r="J535" s="45"/>
      <c r="K535" s="55">
        <f>ROUND(SUM(K536:K538),2)</f>
        <v>306.31</v>
      </c>
      <c r="L535" s="46"/>
      <c r="M535" s="44"/>
    </row>
    <row r="536" spans="2:13" x14ac:dyDescent="0.3">
      <c r="B536" s="27"/>
      <c r="C536" s="531" t="s">
        <v>971</v>
      </c>
      <c r="D536" s="27" t="str">
        <f>+D541</f>
        <v>M2</v>
      </c>
      <c r="E536" s="514">
        <v>17</v>
      </c>
      <c r="F536" s="514">
        <v>9.77</v>
      </c>
      <c r="G536" s="514"/>
      <c r="H536" s="514"/>
      <c r="I536" s="513"/>
      <c r="J536" s="513"/>
      <c r="K536" s="514">
        <f>E536*F536</f>
        <v>166.09</v>
      </c>
      <c r="L536" s="516"/>
      <c r="M536" s="514"/>
    </row>
    <row r="537" spans="2:13" x14ac:dyDescent="0.3">
      <c r="B537" s="27"/>
      <c r="C537" s="531" t="s">
        <v>972</v>
      </c>
      <c r="D537" s="27" t="s">
        <v>8</v>
      </c>
      <c r="E537" s="514">
        <v>17</v>
      </c>
      <c r="F537" s="514">
        <v>7.95</v>
      </c>
      <c r="G537" s="514"/>
      <c r="H537" s="514"/>
      <c r="I537" s="513"/>
      <c r="J537" s="513"/>
      <c r="K537" s="514">
        <f>E537*F537</f>
        <v>135.15</v>
      </c>
      <c r="L537" s="516"/>
      <c r="M537" s="514"/>
    </row>
    <row r="538" spans="2:13" x14ac:dyDescent="0.3">
      <c r="B538" s="27"/>
      <c r="C538" s="531" t="s">
        <v>973</v>
      </c>
      <c r="D538" s="27" t="s">
        <v>8</v>
      </c>
      <c r="E538" s="514">
        <v>3</v>
      </c>
      <c r="F538" s="514">
        <v>1.69</v>
      </c>
      <c r="G538" s="514"/>
      <c r="H538" s="514"/>
      <c r="I538" s="513"/>
      <c r="J538" s="513"/>
      <c r="K538" s="514">
        <f>E538*F538</f>
        <v>5.07</v>
      </c>
      <c r="L538" s="516"/>
      <c r="M538" s="514"/>
    </row>
    <row r="539" spans="2:13" x14ac:dyDescent="0.3">
      <c r="B539" s="39" t="str">
        <f>'PRESUPUESTO OFICIAL (Entidad)'!B197</f>
        <v>D2</v>
      </c>
      <c r="C539" s="466" t="str">
        <f>'PRESUPUESTO OFICIAL (Entidad)'!C197</f>
        <v xml:space="preserve">CUBIERTA Y  ESTRUCTURA DE CUBIERTA </v>
      </c>
      <c r="D539" s="39"/>
      <c r="E539" s="40"/>
      <c r="F539" s="40"/>
      <c r="G539" s="40"/>
      <c r="H539" s="40"/>
      <c r="I539" s="41"/>
      <c r="J539" s="41"/>
      <c r="K539" s="40"/>
      <c r="L539" s="42"/>
      <c r="M539" s="40"/>
    </row>
    <row r="540" spans="2:13" ht="31.2" x14ac:dyDescent="0.3">
      <c r="B540" s="43" t="str">
        <f>'PRESUPUESTO OFICIAL (Entidad)'!B198</f>
        <v>D2,1</v>
      </c>
      <c r="C540" s="465" t="str">
        <f>'PRESUPUESTO OFICIAL (Entidad)'!C198</f>
        <v xml:space="preserve">Suministro e instalación de cubierta en teja master 1000 Arquitectónica color, CAL 28. Incluye tornillos autoperforantes. </v>
      </c>
      <c r="D540" s="43" t="str">
        <f>'PRESUPUESTO OFICIAL (Entidad)'!D198</f>
        <v>M2</v>
      </c>
      <c r="E540" s="44"/>
      <c r="F540" s="44"/>
      <c r="G540" s="44"/>
      <c r="H540" s="44"/>
      <c r="I540" s="45"/>
      <c r="J540" s="45"/>
      <c r="K540" s="55">
        <f>ROUND(SUM(K541:K543),2)</f>
        <v>309.37</v>
      </c>
      <c r="L540" s="46"/>
      <c r="M540" s="44"/>
    </row>
    <row r="541" spans="2:13" x14ac:dyDescent="0.3">
      <c r="B541" s="27"/>
      <c r="C541" s="531" t="s">
        <v>974</v>
      </c>
      <c r="D541" s="27" t="s">
        <v>8</v>
      </c>
      <c r="E541" s="514">
        <f>E536</f>
        <v>17</v>
      </c>
      <c r="F541" s="514">
        <f>5.15+4.75</f>
        <v>9.9</v>
      </c>
      <c r="G541" s="514"/>
      <c r="H541" s="514"/>
      <c r="I541" s="513"/>
      <c r="J541" s="513"/>
      <c r="K541" s="514">
        <f>E541*F541</f>
        <v>168.3</v>
      </c>
      <c r="L541" s="516"/>
      <c r="M541" s="514"/>
    </row>
    <row r="542" spans="2:13" x14ac:dyDescent="0.3">
      <c r="B542" s="27"/>
      <c r="C542" s="531" t="s">
        <v>975</v>
      </c>
      <c r="D542" s="27" t="s">
        <v>8</v>
      </c>
      <c r="E542" s="514">
        <f t="shared" ref="E542:E543" si="39">E537</f>
        <v>17</v>
      </c>
      <c r="F542" s="514">
        <f>4+4</f>
        <v>8</v>
      </c>
      <c r="G542" s="514"/>
      <c r="H542" s="514"/>
      <c r="I542" s="513"/>
      <c r="J542" s="513"/>
      <c r="K542" s="514">
        <f>E542*F542</f>
        <v>136</v>
      </c>
      <c r="L542" s="516"/>
      <c r="M542" s="514"/>
    </row>
    <row r="543" spans="2:13" x14ac:dyDescent="0.3">
      <c r="B543" s="27"/>
      <c r="C543" s="531" t="s">
        <v>976</v>
      </c>
      <c r="D543" s="27" t="s">
        <v>8</v>
      </c>
      <c r="E543" s="514">
        <f t="shared" si="39"/>
        <v>3</v>
      </c>
      <c r="F543" s="514">
        <f>F538</f>
        <v>1.69</v>
      </c>
      <c r="G543" s="514"/>
      <c r="H543" s="514"/>
      <c r="I543" s="513"/>
      <c r="J543" s="513"/>
      <c r="K543" s="514">
        <f>E543*F543</f>
        <v>5.07</v>
      </c>
      <c r="L543" s="516"/>
      <c r="M543" s="514"/>
    </row>
    <row r="544" spans="2:13" ht="31.2" x14ac:dyDescent="0.3">
      <c r="B544" s="43" t="str">
        <f>'PRESUPUESTO OFICIAL (Entidad)'!B199</f>
        <v>D2,2</v>
      </c>
      <c r="C544" s="465" t="str">
        <f>'PRESUPUESTO OFICIAL (Entidad)'!C199</f>
        <v>Suministro e instalación de Caballete en teja Master 1000.  Incluye tornillos autoperforantes.</v>
      </c>
      <c r="D544" s="43" t="str">
        <f>'PRESUPUESTO OFICIAL (Entidad)'!D199</f>
        <v>ML</v>
      </c>
      <c r="E544" s="44"/>
      <c r="F544" s="44"/>
      <c r="G544" s="44"/>
      <c r="H544" s="44"/>
      <c r="I544" s="45"/>
      <c r="J544" s="45"/>
      <c r="K544" s="55">
        <f>ROUND(SUM(K545:K546),2)</f>
        <v>33.44</v>
      </c>
      <c r="L544" s="46"/>
      <c r="M544" s="44"/>
    </row>
    <row r="545" spans="2:13" x14ac:dyDescent="0.3">
      <c r="B545" s="27"/>
      <c r="C545" s="531" t="s">
        <v>977</v>
      </c>
      <c r="D545" s="27" t="s">
        <v>19</v>
      </c>
      <c r="E545" s="514">
        <v>16.72</v>
      </c>
      <c r="F545" s="514"/>
      <c r="G545" s="514"/>
      <c r="H545" s="514"/>
      <c r="I545" s="513"/>
      <c r="J545" s="513"/>
      <c r="K545" s="514">
        <f>+E545</f>
        <v>16.72</v>
      </c>
      <c r="L545" s="516"/>
      <c r="M545" s="514"/>
    </row>
    <row r="546" spans="2:13" x14ac:dyDescent="0.3">
      <c r="B546" s="27"/>
      <c r="C546" s="531" t="s">
        <v>978</v>
      </c>
      <c r="D546" s="27" t="s">
        <v>19</v>
      </c>
      <c r="E546" s="514">
        <v>16.72</v>
      </c>
      <c r="F546" s="514"/>
      <c r="G546" s="514"/>
      <c r="H546" s="514"/>
      <c r="I546" s="513"/>
      <c r="J546" s="513"/>
      <c r="K546" s="514">
        <f>+E546</f>
        <v>16.72</v>
      </c>
      <c r="L546" s="516"/>
      <c r="M546" s="514"/>
    </row>
    <row r="547" spans="2:13" x14ac:dyDescent="0.3">
      <c r="B547" s="39" t="str">
        <f>'PRESUPUESTO OFICIAL (Entidad)'!B200</f>
        <v>D3</v>
      </c>
      <c r="C547" s="466" t="str">
        <f>'PRESUPUESTO OFICIAL (Entidad)'!C200</f>
        <v>PINTURA GENERAL Y ACABADOS</v>
      </c>
      <c r="D547" s="39"/>
      <c r="E547" s="40"/>
      <c r="F547" s="40"/>
      <c r="G547" s="40"/>
      <c r="H547" s="40"/>
      <c r="I547" s="41"/>
      <c r="J547" s="41"/>
      <c r="K547" s="40"/>
      <c r="L547" s="42"/>
      <c r="M547" s="40"/>
    </row>
    <row r="548" spans="2:13" ht="31.2" x14ac:dyDescent="0.3">
      <c r="B548" s="43" t="str">
        <f>'PRESUPUESTO OFICIAL (Entidad)'!B201</f>
        <v>D3,1</v>
      </c>
      <c r="C548" s="465" t="str">
        <f>'PRESUPUESTO OFICIAL (Entidad)'!C201</f>
        <v>Suministro y aplicación de pintura de Correa en perfil metálica .04x.08 mts Cal. 18. Existente (Incluye lijada de perfil)</v>
      </c>
      <c r="D548" s="43" t="str">
        <f>'PRESUPUESTO OFICIAL (Entidad)'!D201</f>
        <v>ML</v>
      </c>
      <c r="E548" s="44"/>
      <c r="F548" s="44"/>
      <c r="G548" s="44"/>
      <c r="H548" s="44"/>
      <c r="I548" s="45"/>
      <c r="J548" s="45"/>
      <c r="K548" s="55">
        <f>ROUND(SUM(K549:K551),2)</f>
        <v>257.04000000000002</v>
      </c>
      <c r="L548" s="46"/>
      <c r="M548" s="44"/>
    </row>
    <row r="549" spans="2:13" x14ac:dyDescent="0.3">
      <c r="B549" s="12"/>
      <c r="C549" s="62" t="s">
        <v>979</v>
      </c>
      <c r="D549" s="27" t="s">
        <v>19</v>
      </c>
      <c r="E549" s="58">
        <f>E545</f>
        <v>16.72</v>
      </c>
      <c r="F549" s="13"/>
      <c r="G549" s="58"/>
      <c r="H549" s="58">
        <v>8</v>
      </c>
      <c r="I549" s="27"/>
      <c r="J549" s="513"/>
      <c r="K549" s="514">
        <f>E549*H549</f>
        <v>133.76</v>
      </c>
      <c r="L549" s="25"/>
      <c r="M549" s="13"/>
    </row>
    <row r="550" spans="2:13" x14ac:dyDescent="0.3">
      <c r="B550" s="12"/>
      <c r="C550" s="62" t="s">
        <v>980</v>
      </c>
      <c r="D550" s="27" t="s">
        <v>19</v>
      </c>
      <c r="E550" s="58">
        <f>E546</f>
        <v>16.72</v>
      </c>
      <c r="F550" s="13"/>
      <c r="G550" s="58"/>
      <c r="H550" s="58">
        <v>7</v>
      </c>
      <c r="I550" s="27"/>
      <c r="J550" s="513"/>
      <c r="K550" s="514">
        <f t="shared" ref="K550:K554" si="40">E550*H550</f>
        <v>117.03999999999999</v>
      </c>
      <c r="L550" s="25"/>
      <c r="M550" s="13"/>
    </row>
    <row r="551" spans="2:13" x14ac:dyDescent="0.3">
      <c r="B551" s="12"/>
      <c r="C551" s="62" t="s">
        <v>981</v>
      </c>
      <c r="D551" s="27" t="s">
        <v>19</v>
      </c>
      <c r="E551" s="58">
        <v>3.12</v>
      </c>
      <c r="F551" s="13"/>
      <c r="G551" s="58"/>
      <c r="H551" s="58">
        <v>2</v>
      </c>
      <c r="I551" s="27"/>
      <c r="J551" s="513"/>
      <c r="K551" s="514">
        <f t="shared" si="40"/>
        <v>6.24</v>
      </c>
      <c r="L551" s="25"/>
      <c r="M551" s="13"/>
    </row>
    <row r="552" spans="2:13" x14ac:dyDescent="0.3">
      <c r="B552" s="43" t="str">
        <f>'PRESUPUESTO OFICIAL (Entidad)'!B202</f>
        <v>D3,2</v>
      </c>
      <c r="C552" s="465" t="str">
        <f>'PRESUPUESTO OFICIAL (Entidad)'!C202</f>
        <v>Suministro y aplicación de pintura de cerchal metálica existente. (Incluye lijada)</v>
      </c>
      <c r="D552" s="43" t="str">
        <f>'PRESUPUESTO OFICIAL (Entidad)'!D202</f>
        <v>ML</v>
      </c>
      <c r="E552" s="44"/>
      <c r="F552" s="44"/>
      <c r="G552" s="44"/>
      <c r="H552" s="44"/>
      <c r="I552" s="45"/>
      <c r="J552" s="45"/>
      <c r="K552" s="55">
        <f>ROUND(SUM(K553:K554),2)</f>
        <v>25.53</v>
      </c>
      <c r="L552" s="46"/>
      <c r="M552" s="44"/>
    </row>
    <row r="553" spans="2:13" x14ac:dyDescent="0.3">
      <c r="B553" s="12"/>
      <c r="C553" s="62" t="s">
        <v>982</v>
      </c>
      <c r="D553" s="27" t="s">
        <v>19</v>
      </c>
      <c r="E553" s="58">
        <v>9.1199999999999992</v>
      </c>
      <c r="F553" s="13"/>
      <c r="G553" s="58"/>
      <c r="H553" s="58">
        <v>2</v>
      </c>
      <c r="I553" s="27"/>
      <c r="J553" s="513"/>
      <c r="K553" s="514">
        <f t="shared" si="40"/>
        <v>18.239999999999998</v>
      </c>
      <c r="L553" s="25"/>
      <c r="M553" s="13"/>
    </row>
    <row r="554" spans="2:13" x14ac:dyDescent="0.3">
      <c r="B554" s="12"/>
      <c r="C554" s="62" t="s">
        <v>983</v>
      </c>
      <c r="D554" s="27" t="s">
        <v>19</v>
      </c>
      <c r="E554" s="58">
        <v>7.29</v>
      </c>
      <c r="F554" s="13"/>
      <c r="G554" s="58"/>
      <c r="H554" s="58">
        <v>1</v>
      </c>
      <c r="I554" s="27"/>
      <c r="J554" s="513"/>
      <c r="K554" s="514">
        <f t="shared" si="40"/>
        <v>7.29</v>
      </c>
      <c r="L554" s="25"/>
      <c r="M554" s="13"/>
    </row>
    <row r="555" spans="2:13" x14ac:dyDescent="0.3">
      <c r="B555" s="43" t="str">
        <f>'PRESUPUESTO OFICIAL (Entidad)'!B203</f>
        <v>D3,3</v>
      </c>
      <c r="C555" s="465" t="str">
        <f>'PRESUPUESTO OFICIAL (Entidad)'!C203</f>
        <v>Suministro y aplicación de pintura vinilo tipo1 tres manos sobre muros.</v>
      </c>
      <c r="D555" s="43" t="str">
        <f>'PRESUPUESTO OFICIAL (Entidad)'!D203</f>
        <v>M2</v>
      </c>
      <c r="E555" s="460"/>
      <c r="F555" s="44"/>
      <c r="G555" s="460"/>
      <c r="H555" s="460"/>
      <c r="I555" s="433"/>
      <c r="J555" s="45"/>
      <c r="K555" s="55">
        <f>ROUND(SUM(K556:K566),2)</f>
        <v>695</v>
      </c>
      <c r="L555" s="46"/>
      <c r="M555" s="44"/>
    </row>
    <row r="556" spans="2:13" x14ac:dyDescent="0.3">
      <c r="B556" s="12"/>
      <c r="C556" s="62" t="s">
        <v>984</v>
      </c>
      <c r="D556" s="27" t="s">
        <v>8</v>
      </c>
      <c r="E556" s="58">
        <v>27.72</v>
      </c>
      <c r="F556" s="514"/>
      <c r="G556" s="58"/>
      <c r="H556" s="58">
        <v>6</v>
      </c>
      <c r="I556" s="27"/>
      <c r="J556" s="513"/>
      <c r="K556" s="514">
        <f>E556*H556</f>
        <v>166.32</v>
      </c>
      <c r="L556" s="25"/>
      <c r="M556" s="13"/>
    </row>
    <row r="557" spans="2:13" x14ac:dyDescent="0.3">
      <c r="B557" s="12"/>
      <c r="C557" s="62" t="s">
        <v>985</v>
      </c>
      <c r="D557" s="27" t="s">
        <v>8</v>
      </c>
      <c r="E557" s="58">
        <v>48.42</v>
      </c>
      <c r="F557" s="514"/>
      <c r="G557" s="58"/>
      <c r="H557" s="58">
        <v>2</v>
      </c>
      <c r="I557" s="27"/>
      <c r="J557" s="513">
        <f>((1.98*4)+(2.4*2))*2</f>
        <v>25.439999999999998</v>
      </c>
      <c r="K557" s="514">
        <f>(E557*H557)-J557</f>
        <v>71.400000000000006</v>
      </c>
      <c r="L557" s="25"/>
      <c r="M557" s="13"/>
    </row>
    <row r="558" spans="2:13" x14ac:dyDescent="0.3">
      <c r="B558" s="12"/>
      <c r="C558" s="62" t="s">
        <v>986</v>
      </c>
      <c r="D558" s="27" t="s">
        <v>8</v>
      </c>
      <c r="E558" s="58">
        <v>48.42</v>
      </c>
      <c r="F558" s="514"/>
      <c r="G558" s="58"/>
      <c r="H558" s="58">
        <v>2</v>
      </c>
      <c r="I558" s="27"/>
      <c r="J558" s="513">
        <f>((1.98*4)*2)</f>
        <v>15.84</v>
      </c>
      <c r="K558" s="514">
        <f>(E558*H558)-J558</f>
        <v>81</v>
      </c>
      <c r="L558" s="25"/>
      <c r="M558" s="13"/>
    </row>
    <row r="559" spans="2:13" x14ac:dyDescent="0.3">
      <c r="B559" s="12"/>
      <c r="C559" s="62" t="s">
        <v>987</v>
      </c>
      <c r="D559" s="27" t="s">
        <v>8</v>
      </c>
      <c r="E559" s="58">
        <v>19.239999999999998</v>
      </c>
      <c r="F559" s="514"/>
      <c r="G559" s="58"/>
      <c r="H559" s="58">
        <v>2</v>
      </c>
      <c r="I559" s="27"/>
      <c r="J559" s="513">
        <f>((2.1+1.78+1.78+0.69+0.35+0.35)*2)</f>
        <v>14.099999999999998</v>
      </c>
      <c r="K559" s="514">
        <f>(E559*H559)-J559</f>
        <v>24.38</v>
      </c>
      <c r="L559" s="25"/>
      <c r="M559" s="13"/>
    </row>
    <row r="560" spans="2:13" x14ac:dyDescent="0.3">
      <c r="B560" s="12"/>
      <c r="C560" s="62" t="s">
        <v>988</v>
      </c>
      <c r="D560" s="27" t="s">
        <v>8</v>
      </c>
      <c r="E560" s="58">
        <v>6.76</v>
      </c>
      <c r="F560" s="514"/>
      <c r="G560" s="58"/>
      <c r="H560" s="58">
        <v>6</v>
      </c>
      <c r="I560" s="27"/>
      <c r="J560" s="513"/>
      <c r="K560" s="514">
        <f>(E560*H560)</f>
        <v>40.56</v>
      </c>
      <c r="L560" s="25"/>
      <c r="M560" s="13"/>
    </row>
    <row r="561" spans="2:13" x14ac:dyDescent="0.3">
      <c r="B561" s="12"/>
      <c r="C561" s="62" t="s">
        <v>988</v>
      </c>
      <c r="D561" s="27" t="s">
        <v>8</v>
      </c>
      <c r="E561" s="58">
        <v>2.3199999999999998</v>
      </c>
      <c r="F561" s="514"/>
      <c r="G561" s="58"/>
      <c r="H561" s="58">
        <v>2</v>
      </c>
      <c r="I561" s="27"/>
      <c r="J561" s="513"/>
      <c r="K561" s="514">
        <f>(E561*H561)</f>
        <v>4.6399999999999997</v>
      </c>
      <c r="L561" s="25"/>
      <c r="M561" s="13"/>
    </row>
    <row r="562" spans="2:13" x14ac:dyDescent="0.3">
      <c r="B562" s="12"/>
      <c r="C562" s="62" t="s">
        <v>989</v>
      </c>
      <c r="D562" s="27" t="s">
        <v>8</v>
      </c>
      <c r="E562" s="58">
        <v>18.940000000000001</v>
      </c>
      <c r="F562" s="514"/>
      <c r="G562" s="58"/>
      <c r="H562" s="58">
        <v>4</v>
      </c>
      <c r="I562" s="27"/>
      <c r="J562" s="513">
        <f>((2.36+4.84)*2)</f>
        <v>14.399999999999999</v>
      </c>
      <c r="K562" s="514">
        <f>(E562*H562)-J562</f>
        <v>61.360000000000007</v>
      </c>
      <c r="L562" s="25"/>
      <c r="M562" s="13"/>
    </row>
    <row r="563" spans="2:13" x14ac:dyDescent="0.3">
      <c r="B563" s="12"/>
      <c r="C563" s="62" t="s">
        <v>990</v>
      </c>
      <c r="D563" s="27" t="s">
        <v>8</v>
      </c>
      <c r="E563" s="58">
        <v>23.48</v>
      </c>
      <c r="F563" s="514"/>
      <c r="G563" s="58"/>
      <c r="H563" s="58">
        <v>3</v>
      </c>
      <c r="I563" s="27"/>
      <c r="J563" s="513">
        <f>(0.73+1.78+1.88+1.88)</f>
        <v>6.27</v>
      </c>
      <c r="K563" s="514">
        <f>(E563*H563)-J563</f>
        <v>64.17</v>
      </c>
      <c r="L563" s="25"/>
      <c r="M563" s="13"/>
    </row>
    <row r="564" spans="2:13" x14ac:dyDescent="0.3">
      <c r="B564" s="12"/>
      <c r="C564" s="62" t="s">
        <v>991</v>
      </c>
      <c r="D564" s="27" t="s">
        <v>8</v>
      </c>
      <c r="E564" s="58">
        <v>3.98</v>
      </c>
      <c r="F564" s="514"/>
      <c r="G564" s="58"/>
      <c r="H564" s="58">
        <v>4</v>
      </c>
      <c r="I564" s="27"/>
      <c r="J564" s="513"/>
      <c r="K564" s="514">
        <f t="shared" ref="K564:K566" si="41">(E564*H564)</f>
        <v>15.92</v>
      </c>
      <c r="L564" s="25"/>
      <c r="M564" s="13"/>
    </row>
    <row r="565" spans="2:13" x14ac:dyDescent="0.3">
      <c r="B565" s="12"/>
      <c r="C565" s="62" t="s">
        <v>992</v>
      </c>
      <c r="D565" s="27" t="s">
        <v>8</v>
      </c>
      <c r="E565" s="58">
        <v>49.67</v>
      </c>
      <c r="F565" s="514"/>
      <c r="G565" s="58"/>
      <c r="H565" s="58">
        <v>4</v>
      </c>
      <c r="I565" s="27"/>
      <c r="J565" s="513">
        <f>((1.98+0.25+1.98+1.98+1.98+1.98+2.36+1.6+1.6)*2)+12.96+12.69</f>
        <v>57.069999999999993</v>
      </c>
      <c r="K565" s="514">
        <f>(E565*H565)-J565</f>
        <v>141.61000000000001</v>
      </c>
      <c r="L565" s="25"/>
      <c r="M565" s="13"/>
    </row>
    <row r="566" spans="2:13" x14ac:dyDescent="0.3">
      <c r="B566" s="12"/>
      <c r="C566" s="62" t="s">
        <v>993</v>
      </c>
      <c r="D566" s="27" t="s">
        <v>8</v>
      </c>
      <c r="E566" s="58">
        <v>11.82</v>
      </c>
      <c r="F566" s="514"/>
      <c r="G566" s="58"/>
      <c r="H566" s="58">
        <v>2</v>
      </c>
      <c r="I566" s="27"/>
      <c r="J566" s="513"/>
      <c r="K566" s="514">
        <f t="shared" si="41"/>
        <v>23.64</v>
      </c>
      <c r="L566" s="25"/>
      <c r="M566" s="13"/>
    </row>
    <row r="567" spans="2:13" x14ac:dyDescent="0.3">
      <c r="B567" s="43" t="str">
        <f>'PRESUPUESTO OFICIAL (Entidad)'!B204</f>
        <v>D3,4</v>
      </c>
      <c r="C567" s="465" t="str">
        <f>'PRESUPUESTO OFICIAL (Entidad)'!C204</f>
        <v>Suministro y Aplicación de Esmalte sobre lámina llena.</v>
      </c>
      <c r="D567" s="43" t="str">
        <f>'PRESUPUESTO OFICIAL (Entidad)'!D204</f>
        <v>M2</v>
      </c>
      <c r="E567" s="44"/>
      <c r="F567" s="44"/>
      <c r="G567" s="44"/>
      <c r="H567" s="44"/>
      <c r="I567" s="45"/>
      <c r="J567" s="45"/>
      <c r="K567" s="55">
        <f>ROUND(SUM(K568:K570),2)</f>
        <v>35.6</v>
      </c>
      <c r="L567" s="461"/>
      <c r="M567" s="462"/>
    </row>
    <row r="568" spans="2:13" x14ac:dyDescent="0.3">
      <c r="B568" s="27"/>
      <c r="C568" s="531" t="s">
        <v>994</v>
      </c>
      <c r="D568" s="27" t="s">
        <v>8</v>
      </c>
      <c r="E568" s="514">
        <f>1.9+1.9</f>
        <v>3.8</v>
      </c>
      <c r="F568" s="514"/>
      <c r="G568" s="514"/>
      <c r="H568" s="514">
        <v>2</v>
      </c>
      <c r="I568" s="513"/>
      <c r="J568" s="513"/>
      <c r="K568" s="30">
        <f>E568*H568</f>
        <v>7.6</v>
      </c>
      <c r="L568" s="535"/>
      <c r="M568" s="536"/>
    </row>
    <row r="569" spans="2:13" x14ac:dyDescent="0.3">
      <c r="B569" s="27"/>
      <c r="C569" s="531" t="s">
        <v>995</v>
      </c>
      <c r="D569" s="27" t="s">
        <v>8</v>
      </c>
      <c r="E569" s="514">
        <f>1.62+1.62+1.91</f>
        <v>5.15</v>
      </c>
      <c r="F569" s="514"/>
      <c r="G569" s="514"/>
      <c r="H569" s="514">
        <v>2</v>
      </c>
      <c r="I569" s="513"/>
      <c r="J569" s="513"/>
      <c r="K569" s="30">
        <f t="shared" ref="K569:K570" si="42">E569*H569</f>
        <v>10.3</v>
      </c>
      <c r="L569" s="535"/>
      <c r="M569" s="536"/>
    </row>
    <row r="570" spans="2:13" x14ac:dyDescent="0.3">
      <c r="B570" s="27"/>
      <c r="C570" s="531" t="s">
        <v>996</v>
      </c>
      <c r="D570" s="27" t="s">
        <v>8</v>
      </c>
      <c r="E570" s="514">
        <f>1.88+1.89+1.6+1.6+1.88</f>
        <v>8.8499999999999979</v>
      </c>
      <c r="F570" s="514"/>
      <c r="G570" s="514"/>
      <c r="H570" s="514">
        <v>2</v>
      </c>
      <c r="I570" s="513"/>
      <c r="J570" s="513"/>
      <c r="K570" s="30">
        <f t="shared" si="42"/>
        <v>17.699999999999996</v>
      </c>
      <c r="L570" s="535"/>
      <c r="M570" s="536"/>
    </row>
    <row r="571" spans="2:13" x14ac:dyDescent="0.3">
      <c r="B571" s="43" t="str">
        <f>'PRESUPUESTO OFICIAL (Entidad)'!B205</f>
        <v>D3,5</v>
      </c>
      <c r="C571" s="465" t="str">
        <f>'PRESUPUESTO OFICIAL (Entidad)'!C205</f>
        <v>Suministro y Aplicación de Esmalte para marcos de puertas y Ventanas.</v>
      </c>
      <c r="D571" s="43" t="str">
        <f>'PRESUPUESTO OFICIAL (Entidad)'!D205</f>
        <v>UND</v>
      </c>
      <c r="E571" s="44"/>
      <c r="F571" s="44"/>
      <c r="G571" s="44"/>
      <c r="H571" s="44"/>
      <c r="I571" s="324"/>
      <c r="J571" s="324"/>
      <c r="K571" s="55">
        <f>ROUND(SUM(K572:K574),2)</f>
        <v>25</v>
      </c>
      <c r="L571" s="46"/>
      <c r="M571" s="44"/>
    </row>
    <row r="572" spans="2:13" x14ac:dyDescent="0.3">
      <c r="B572" s="12"/>
      <c r="C572" s="531" t="s">
        <v>994</v>
      </c>
      <c r="D572" s="27" t="s">
        <v>21</v>
      </c>
      <c r="E572" s="514"/>
      <c r="F572" s="514"/>
      <c r="G572" s="514"/>
      <c r="H572" s="514">
        <v>10</v>
      </c>
      <c r="I572" s="513"/>
      <c r="J572" s="513"/>
      <c r="K572" s="514">
        <f>H572</f>
        <v>10</v>
      </c>
      <c r="L572" s="25"/>
      <c r="M572" s="13"/>
    </row>
    <row r="573" spans="2:13" x14ac:dyDescent="0.3">
      <c r="B573" s="12"/>
      <c r="C573" s="531" t="s">
        <v>995</v>
      </c>
      <c r="D573" s="27" t="s">
        <v>21</v>
      </c>
      <c r="E573" s="514"/>
      <c r="F573" s="514"/>
      <c r="G573" s="514"/>
      <c r="H573" s="514">
        <v>3</v>
      </c>
      <c r="I573" s="513"/>
      <c r="J573" s="513"/>
      <c r="K573" s="514">
        <f>H573</f>
        <v>3</v>
      </c>
      <c r="L573" s="25"/>
      <c r="M573" s="13"/>
    </row>
    <row r="574" spans="2:13" x14ac:dyDescent="0.3">
      <c r="B574" s="12"/>
      <c r="C574" s="531" t="s">
        <v>996</v>
      </c>
      <c r="D574" s="27" t="s">
        <v>21</v>
      </c>
      <c r="E574" s="514"/>
      <c r="F574" s="514"/>
      <c r="G574" s="514"/>
      <c r="H574" s="514">
        <v>12</v>
      </c>
      <c r="I574" s="513"/>
      <c r="J574" s="513"/>
      <c r="K574" s="514">
        <f>H574</f>
        <v>12</v>
      </c>
      <c r="L574" s="25"/>
      <c r="M574" s="13"/>
    </row>
    <row r="575" spans="2:13" x14ac:dyDescent="0.3">
      <c r="B575" s="43" t="str">
        <f>'PRESUPUESTO OFICIAL (Entidad)'!B206</f>
        <v>D3,6</v>
      </c>
      <c r="C575" s="465" t="str">
        <f>'PRESUPUESTO OFICIAL (Entidad)'!C206</f>
        <v>Suministro y Aplicación de Esmalte para rejas.</v>
      </c>
      <c r="D575" s="43" t="str">
        <f>'PRESUPUESTO OFICIAL (Entidad)'!D206</f>
        <v>M2</v>
      </c>
      <c r="E575" s="44"/>
      <c r="F575" s="44"/>
      <c r="G575" s="44"/>
      <c r="H575" s="44"/>
      <c r="I575" s="324"/>
      <c r="J575" s="324"/>
      <c r="K575" s="55">
        <f>ROUND(SUM(K576:K579),2)</f>
        <v>63.7</v>
      </c>
      <c r="L575" s="46"/>
      <c r="M575" s="44"/>
    </row>
    <row r="576" spans="2:13" x14ac:dyDescent="0.3">
      <c r="B576" s="12"/>
      <c r="C576" s="531" t="s">
        <v>994</v>
      </c>
      <c r="D576" s="27" t="s">
        <v>8</v>
      </c>
      <c r="E576" s="514">
        <f>1.98*8</f>
        <v>15.84</v>
      </c>
      <c r="F576" s="514"/>
      <c r="G576" s="514"/>
      <c r="H576" s="514">
        <v>2</v>
      </c>
      <c r="I576" s="513"/>
      <c r="J576" s="513"/>
      <c r="K576" s="514">
        <f>E576*H576</f>
        <v>31.68</v>
      </c>
      <c r="L576" s="25"/>
      <c r="M576" s="13"/>
    </row>
    <row r="577" spans="2:13" x14ac:dyDescent="0.3">
      <c r="B577" s="12"/>
      <c r="C577" s="531" t="s">
        <v>994</v>
      </c>
      <c r="D577" s="27" t="s">
        <v>8</v>
      </c>
      <c r="E577" s="514">
        <f>0.5+0.5</f>
        <v>1</v>
      </c>
      <c r="F577" s="514"/>
      <c r="G577" s="514"/>
      <c r="H577" s="514">
        <v>2</v>
      </c>
      <c r="I577" s="513"/>
      <c r="J577" s="513"/>
      <c r="K577" s="514">
        <f t="shared" ref="K577:K579" si="43">E577*H577</f>
        <v>2</v>
      </c>
      <c r="L577" s="25"/>
      <c r="M577" s="13"/>
    </row>
    <row r="578" spans="2:13" x14ac:dyDescent="0.3">
      <c r="B578" s="12"/>
      <c r="C578" s="531" t="s">
        <v>995</v>
      </c>
      <c r="D578" s="27" t="s">
        <v>8</v>
      </c>
      <c r="E578" s="514">
        <f>0.19+0.16+0.16+0.69+0.34+0.34</f>
        <v>1.8800000000000001</v>
      </c>
      <c r="F578" s="514"/>
      <c r="G578" s="514"/>
      <c r="H578" s="514">
        <v>2</v>
      </c>
      <c r="I578" s="513"/>
      <c r="J578" s="513"/>
      <c r="K578" s="514">
        <f t="shared" si="43"/>
        <v>3.7600000000000002</v>
      </c>
      <c r="L578" s="25"/>
      <c r="M578" s="13"/>
    </row>
    <row r="579" spans="2:13" x14ac:dyDescent="0.3">
      <c r="B579" s="12"/>
      <c r="C579" s="531" t="s">
        <v>996</v>
      </c>
      <c r="D579" s="27" t="s">
        <v>8</v>
      </c>
      <c r="E579" s="514">
        <f>1.98+1.98+1.98+1.98+1.98+0.24+0.48+0.73+1.78</f>
        <v>13.13</v>
      </c>
      <c r="F579" s="514"/>
      <c r="G579" s="514"/>
      <c r="H579" s="514">
        <v>2</v>
      </c>
      <c r="I579" s="513"/>
      <c r="J579" s="513"/>
      <c r="K579" s="514">
        <f t="shared" si="43"/>
        <v>26.26</v>
      </c>
      <c r="L579" s="25"/>
      <c r="M579" s="13"/>
    </row>
    <row r="580" spans="2:13" x14ac:dyDescent="0.3">
      <c r="B580" s="39" t="str">
        <f>'PRESUPUESTO OFICIAL (Entidad)'!B207</f>
        <v>D4</v>
      </c>
      <c r="C580" s="466" t="str">
        <f>'PRESUPUESTO OFICIAL (Entidad)'!C207</f>
        <v>PAÑETES</v>
      </c>
      <c r="D580" s="39"/>
      <c r="E580" s="463"/>
      <c r="F580" s="463"/>
      <c r="G580" s="463"/>
      <c r="H580" s="463"/>
      <c r="I580" s="41"/>
      <c r="J580" s="41"/>
      <c r="K580" s="463"/>
      <c r="L580" s="42"/>
      <c r="M580" s="40"/>
    </row>
    <row r="581" spans="2:13" ht="31.2" x14ac:dyDescent="0.3">
      <c r="B581" s="428" t="str">
        <f>'PRESUPUESTO OFICIAL (Entidad)'!B208</f>
        <v>D4,1</v>
      </c>
      <c r="C581" s="464" t="str">
        <f>'PRESUPUESTO OFICIAL (Entidad)'!C208</f>
        <v>Suministro y aplicación de Pañete muros  1:4 Incluye Filos, carteras y Dilataciones. (Incluye Estuco)</v>
      </c>
      <c r="D581" s="428" t="str">
        <f>'PRESUPUESTO OFICIAL (Entidad)'!D208</f>
        <v>M2</v>
      </c>
      <c r="E581" s="435"/>
      <c r="F581" s="435"/>
      <c r="G581" s="435"/>
      <c r="H581" s="435"/>
      <c r="I581" s="430"/>
      <c r="J581" s="430"/>
      <c r="K581" s="55">
        <f>ROUND(SUM(K582),2)</f>
        <v>43.38</v>
      </c>
      <c r="L581" s="432"/>
      <c r="M581" s="429"/>
    </row>
    <row r="582" spans="2:13" x14ac:dyDescent="0.3">
      <c r="B582" s="524"/>
      <c r="C582" s="523" t="s">
        <v>997</v>
      </c>
      <c r="D582" s="524" t="s">
        <v>8</v>
      </c>
      <c r="E582" s="525">
        <f>23.48+9.95+9.95</f>
        <v>43.379999999999995</v>
      </c>
      <c r="F582" s="525"/>
      <c r="G582" s="525"/>
      <c r="H582" s="525"/>
      <c r="I582" s="526"/>
      <c r="J582" s="526"/>
      <c r="K582" s="525">
        <f>E582</f>
        <v>43.379999999999995</v>
      </c>
      <c r="L582" s="529"/>
      <c r="M582" s="525"/>
    </row>
    <row r="583" spans="2:13" ht="9" customHeight="1" x14ac:dyDescent="0.3">
      <c r="B583" s="838"/>
      <c r="C583" s="838"/>
      <c r="D583" s="838"/>
      <c r="E583" s="838"/>
      <c r="F583" s="838"/>
      <c r="G583" s="838"/>
      <c r="H583" s="838"/>
      <c r="I583" s="838"/>
      <c r="J583" s="838"/>
      <c r="K583" s="838"/>
      <c r="L583" s="838"/>
      <c r="M583" s="838"/>
    </row>
    <row r="584" spans="2:13" ht="17.25" customHeight="1" x14ac:dyDescent="0.3">
      <c r="B584" s="16" t="str">
        <f>'PRESUPUESTO OFICIAL (Entidad)'!B210</f>
        <v>E</v>
      </c>
      <c r="C584" s="839" t="str">
        <f>'PRESUPUESTO OFICIAL (Entidad)'!C210:F210</f>
        <v>CONSTRUCCIÓN DE CERRAMIENTO A  LA INSTITUCIÓN EDUCATIVA EL CAUCHAL (SEDE EL RECREO)</v>
      </c>
      <c r="D584" s="839"/>
      <c r="E584" s="839"/>
      <c r="F584" s="839"/>
      <c r="G584" s="839"/>
      <c r="H584" s="839"/>
      <c r="I584" s="839"/>
      <c r="J584" s="839"/>
      <c r="K584" s="839"/>
      <c r="L584" s="839"/>
      <c r="M584" s="839"/>
    </row>
    <row r="585" spans="2:13" ht="17.25" customHeight="1" x14ac:dyDescent="0.3">
      <c r="B585" s="540" t="str">
        <f>'PRESUPUESTO OFICIAL (Entidad)'!B211</f>
        <v>E1</v>
      </c>
      <c r="C585" s="837" t="str">
        <f>'PRESUPUESTO OFICIAL (Entidad)'!C211</f>
        <v xml:space="preserve">PRELIMINARES </v>
      </c>
      <c r="D585" s="837"/>
      <c r="E585" s="837"/>
      <c r="F585" s="837"/>
      <c r="G585" s="837"/>
      <c r="H585" s="837"/>
      <c r="I585" s="837"/>
      <c r="J585" s="837"/>
      <c r="K585" s="837"/>
      <c r="L585" s="837"/>
      <c r="M585" s="837"/>
    </row>
    <row r="586" spans="2:13" ht="17.25" customHeight="1" x14ac:dyDescent="0.3">
      <c r="B586" s="326" t="str">
        <f>'PRESUPUESTO OFICIAL (Entidad)'!B212</f>
        <v>E1,1</v>
      </c>
      <c r="C586" s="336" t="str">
        <f>'PRESUPUESTO OFICIAL (Entidad)'!C212</f>
        <v>Localización y Replanteo manual.</v>
      </c>
      <c r="D586" s="326" t="str">
        <f>'PRESUPUESTO OFICIAL (Entidad)'!D212</f>
        <v>M2</v>
      </c>
      <c r="E586" s="326"/>
      <c r="F586" s="326"/>
      <c r="G586" s="326"/>
      <c r="H586" s="326"/>
      <c r="I586" s="332"/>
      <c r="J586" s="332"/>
      <c r="K586" s="55">
        <f>ROUND(K587,2)</f>
        <v>55.3</v>
      </c>
      <c r="L586" s="332"/>
      <c r="M586" s="332"/>
    </row>
    <row r="587" spans="2:13" ht="17.25" customHeight="1" x14ac:dyDescent="0.3">
      <c r="B587" s="29"/>
      <c r="C587" s="276" t="s">
        <v>7</v>
      </c>
      <c r="D587" s="29" t="s">
        <v>8</v>
      </c>
      <c r="E587" s="29">
        <f>18+16+2.3+13+6</f>
        <v>55.3</v>
      </c>
      <c r="F587" s="29">
        <v>1</v>
      </c>
      <c r="G587" s="29"/>
      <c r="H587" s="29"/>
      <c r="I587" s="328"/>
      <c r="J587" s="328"/>
      <c r="K587" s="30">
        <f>E587*F587</f>
        <v>55.3</v>
      </c>
      <c r="L587" s="328"/>
      <c r="M587" s="328"/>
    </row>
    <row r="588" spans="2:13" ht="17.25" customHeight="1" x14ac:dyDescent="0.3">
      <c r="B588" s="540" t="str">
        <f>'PRESUPUESTO OFICIAL (Entidad)'!B213</f>
        <v>E2</v>
      </c>
      <c r="C588" s="837" t="str">
        <f>'PRESUPUESTO OFICIAL (Entidad)'!C213</f>
        <v xml:space="preserve">MOVIMIENTO DE TIERRA </v>
      </c>
      <c r="D588" s="837"/>
      <c r="E588" s="837"/>
      <c r="F588" s="837"/>
      <c r="G588" s="837"/>
      <c r="H588" s="837"/>
      <c r="I588" s="837"/>
      <c r="J588" s="837"/>
      <c r="K588" s="837"/>
      <c r="L588" s="837"/>
      <c r="M588" s="837"/>
    </row>
    <row r="589" spans="2:13" ht="17.25" customHeight="1" x14ac:dyDescent="0.3">
      <c r="B589" s="326" t="str">
        <f>'PRESUPUESTO OFICIAL (Entidad)'!B214</f>
        <v>E2,1</v>
      </c>
      <c r="C589" s="336" t="str">
        <f>'PRESUPUESTO OFICIAL (Entidad)'!C214</f>
        <v>Relleno en recebo compactado mecánicamente.</v>
      </c>
      <c r="D589" s="326" t="str">
        <f>'PRESUPUESTO OFICIAL (Entidad)'!D214</f>
        <v>M3</v>
      </c>
      <c r="E589" s="326"/>
      <c r="F589" s="326"/>
      <c r="G589" s="326"/>
      <c r="H589" s="326"/>
      <c r="I589" s="332"/>
      <c r="J589" s="332"/>
      <c r="K589" s="55">
        <f>ROUND(K590,2)</f>
        <v>10.199999999999999</v>
      </c>
      <c r="L589" s="332"/>
      <c r="M589" s="332"/>
    </row>
    <row r="590" spans="2:13" ht="17.25" customHeight="1" x14ac:dyDescent="0.3">
      <c r="B590" s="29"/>
      <c r="C590" s="276" t="s">
        <v>1141</v>
      </c>
      <c r="D590" s="29" t="s">
        <v>9</v>
      </c>
      <c r="E590" s="29">
        <f>18+16</f>
        <v>34</v>
      </c>
      <c r="F590" s="29">
        <v>1</v>
      </c>
      <c r="G590" s="29">
        <v>0.3</v>
      </c>
      <c r="H590" s="29"/>
      <c r="I590" s="328"/>
      <c r="J590" s="328"/>
      <c r="K590" s="30">
        <f>E590*F590*G590</f>
        <v>10.199999999999999</v>
      </c>
      <c r="L590" s="328"/>
      <c r="M590" s="328"/>
    </row>
    <row r="591" spans="2:13" ht="17.25" customHeight="1" x14ac:dyDescent="0.3">
      <c r="B591" s="326" t="str">
        <f>'PRESUPUESTO OFICIAL (Entidad)'!B215</f>
        <v>E2,2</v>
      </c>
      <c r="C591" s="336" t="str">
        <f>'PRESUPUESTO OFICIAL (Entidad)'!C215</f>
        <v xml:space="preserve">Excavacion manual. Incluye retiro del material. </v>
      </c>
      <c r="D591" s="326" t="str">
        <f>'PRESUPUESTO OFICIAL (Entidad)'!D215</f>
        <v>M3</v>
      </c>
      <c r="E591" s="326"/>
      <c r="F591" s="326"/>
      <c r="G591" s="326"/>
      <c r="H591" s="326"/>
      <c r="I591" s="332"/>
      <c r="J591" s="332"/>
      <c r="K591" s="55">
        <f>ROUND(K592,2)</f>
        <v>4.9800000000000004</v>
      </c>
      <c r="L591" s="332"/>
      <c r="M591" s="332"/>
    </row>
    <row r="592" spans="2:13" ht="17.25" customHeight="1" x14ac:dyDescent="0.3">
      <c r="B592" s="29"/>
      <c r="C592" s="276" t="s">
        <v>1142</v>
      </c>
      <c r="D592" s="29" t="s">
        <v>9</v>
      </c>
      <c r="E592" s="29">
        <f>18+16+2.3+13+6</f>
        <v>55.3</v>
      </c>
      <c r="F592" s="29">
        <v>0.3</v>
      </c>
      <c r="G592" s="29">
        <v>0.3</v>
      </c>
      <c r="H592" s="29"/>
      <c r="I592" s="328"/>
      <c r="J592" s="328"/>
      <c r="K592" s="30">
        <f>E592*F592*G592</f>
        <v>4.9769999999999994</v>
      </c>
      <c r="L592" s="328"/>
      <c r="M592" s="328"/>
    </row>
    <row r="593" spans="2:13" ht="17.25" customHeight="1" x14ac:dyDescent="0.3">
      <c r="B593" s="540" t="str">
        <f>'PRESUPUESTO OFICIAL (Entidad)'!B216</f>
        <v>E3</v>
      </c>
      <c r="C593" s="837" t="str">
        <f>'PRESUPUESTO OFICIAL (Entidad)'!C216</f>
        <v>CONSTRUCCION DE CERRAMIENTO</v>
      </c>
      <c r="D593" s="837"/>
      <c r="E593" s="837"/>
      <c r="F593" s="837"/>
      <c r="G593" s="837"/>
      <c r="H593" s="837"/>
      <c r="I593" s="837"/>
      <c r="J593" s="837"/>
      <c r="K593" s="837"/>
      <c r="L593" s="837"/>
      <c r="M593" s="837"/>
    </row>
    <row r="594" spans="2:13" s="367" customFormat="1" ht="27.75" customHeight="1" x14ac:dyDescent="0.3">
      <c r="B594" s="541" t="str">
        <f>'PRESUPUESTO OFICIAL (Entidad)'!B217</f>
        <v>E3,1</v>
      </c>
      <c r="C594" s="334" t="str">
        <f>'PRESUPUESTO OFICIAL (Entidad)'!C217</f>
        <v>Concreto ciclópeo (40% en piedra media zonga y 60% concreto 2500 PSI de 0,30*0,30 m).</v>
      </c>
      <c r="D594" s="541" t="str">
        <f>'PRESUPUESTO OFICIAL (Entidad)'!D217</f>
        <v>M3</v>
      </c>
      <c r="E594" s="541"/>
      <c r="F594" s="541"/>
      <c r="G594" s="541"/>
      <c r="H594" s="541"/>
      <c r="I594" s="331"/>
      <c r="J594" s="331"/>
      <c r="K594" s="542">
        <f>ROUND(K595,2)</f>
        <v>4.9800000000000004</v>
      </c>
      <c r="L594" s="331"/>
      <c r="M594" s="331"/>
    </row>
    <row r="595" spans="2:13" ht="17.25" customHeight="1" x14ac:dyDescent="0.3">
      <c r="B595" s="29"/>
      <c r="C595" s="276" t="s">
        <v>1143</v>
      </c>
      <c r="D595" s="29" t="s">
        <v>9</v>
      </c>
      <c r="E595" s="29">
        <f>18+16+2.3+13+6</f>
        <v>55.3</v>
      </c>
      <c r="F595" s="29">
        <v>0.3</v>
      </c>
      <c r="G595" s="29">
        <v>0.3</v>
      </c>
      <c r="H595" s="29"/>
      <c r="I595" s="328"/>
      <c r="J595" s="328"/>
      <c r="K595" s="30">
        <f>E595*F595*G595</f>
        <v>4.9769999999999994</v>
      </c>
      <c r="L595" s="328"/>
      <c r="M595" s="328"/>
    </row>
    <row r="596" spans="2:13" s="367" customFormat="1" ht="27.75" customHeight="1" x14ac:dyDescent="0.3">
      <c r="B596" s="541" t="str">
        <f>'PRESUPUESTO OFICIAL (Entidad)'!B218</f>
        <v>E3,2</v>
      </c>
      <c r="C596" s="334" t="str">
        <f>'PRESUPUESTO OFICIAL (Entidad)'!C218</f>
        <v>Cerramiento en malla eslabonada y tubo h= 2.85 m, antepecho en ladrillo a la vista de h=0.90m, pedestal en concreto de 0.15x0.20m, viga cinta de 0.10x0.15m y viga de cimiento de ,20x,20 incluye acero incluye acero 1/2" y estribos en 3/8", según diseño.</v>
      </c>
      <c r="D596" s="541" t="str">
        <f>'PRESUPUESTO OFICIAL (Entidad)'!D218</f>
        <v>ML</v>
      </c>
      <c r="E596" s="541"/>
      <c r="F596" s="541"/>
      <c r="G596" s="541"/>
      <c r="H596" s="541"/>
      <c r="I596" s="331"/>
      <c r="J596" s="331"/>
      <c r="K596" s="542">
        <f>ROUND(K597,2)</f>
        <v>50.6</v>
      </c>
      <c r="L596" s="331"/>
      <c r="M596" s="331"/>
    </row>
    <row r="597" spans="2:13" ht="17.25" customHeight="1" x14ac:dyDescent="0.3">
      <c r="B597" s="29"/>
      <c r="C597" s="276" t="s">
        <v>1144</v>
      </c>
      <c r="D597" s="29" t="s">
        <v>19</v>
      </c>
      <c r="E597" s="29">
        <f>((18+16+2.3+13+6)-(3.5+1.2))</f>
        <v>50.599999999999994</v>
      </c>
      <c r="F597" s="29"/>
      <c r="G597" s="29"/>
      <c r="H597" s="29"/>
      <c r="I597" s="328"/>
      <c r="J597" s="328"/>
      <c r="K597" s="30">
        <f>E597</f>
        <v>50.599999999999994</v>
      </c>
      <c r="L597" s="328"/>
      <c r="M597" s="328"/>
    </row>
    <row r="598" spans="2:13" s="367" customFormat="1" ht="27.75" customHeight="1" x14ac:dyDescent="0.3">
      <c r="B598" s="541" t="str">
        <f>'PRESUPUESTO OFICIAL (Entidad)'!B219</f>
        <v>E3,3</v>
      </c>
      <c r="C598" s="334" t="str">
        <f>'PRESUPUESTO OFICIAL (Entidad)'!C219</f>
        <v>Portón metálico en malla eslabonada, ángulo de 1/8x1", acabado en anticorrosivo y esmalte .</v>
      </c>
      <c r="D598" s="541" t="str">
        <f>'PRESUPUESTO OFICIAL (Entidad)'!D219</f>
        <v>M2</v>
      </c>
      <c r="E598" s="541"/>
      <c r="F598" s="541"/>
      <c r="G598" s="541"/>
      <c r="H598" s="541"/>
      <c r="I598" s="331"/>
      <c r="J598" s="331"/>
      <c r="K598" s="542">
        <f>ROUND(K599,2)</f>
        <v>9.98</v>
      </c>
      <c r="L598" s="331"/>
      <c r="M598" s="331"/>
    </row>
    <row r="599" spans="2:13" ht="17.25" customHeight="1" x14ac:dyDescent="0.3">
      <c r="B599" s="29"/>
      <c r="C599" s="276" t="s">
        <v>1145</v>
      </c>
      <c r="D599" s="29" t="s">
        <v>99</v>
      </c>
      <c r="E599" s="29">
        <v>3.5</v>
      </c>
      <c r="F599" s="29">
        <v>2.85</v>
      </c>
      <c r="G599" s="1"/>
      <c r="H599" s="29"/>
      <c r="I599" s="328"/>
      <c r="J599" s="328"/>
      <c r="K599" s="30">
        <f>F599*E599</f>
        <v>9.9749999999999996</v>
      </c>
      <c r="L599" s="328"/>
      <c r="M599" s="328"/>
    </row>
    <row r="600" spans="2:13" s="367" customFormat="1" ht="27.75" customHeight="1" x14ac:dyDescent="0.3">
      <c r="B600" s="541" t="str">
        <f>'PRESUPUESTO OFICIAL (Entidad)'!B220</f>
        <v>E3,4</v>
      </c>
      <c r="C600" s="334" t="str">
        <f>'PRESUPUESTO OFICIAL (Entidad)'!C220</f>
        <v>Puerta metálica en malla eslabonada, ángulo de 1/8x1", acabado en anticorrosivo y esmalte .</v>
      </c>
      <c r="D600" s="541" t="str">
        <f>'PRESUPUESTO OFICIAL (Entidad)'!D220</f>
        <v>M2</v>
      </c>
      <c r="E600" s="541"/>
      <c r="F600" s="541"/>
      <c r="G600" s="541"/>
      <c r="H600" s="541"/>
      <c r="I600" s="331"/>
      <c r="J600" s="331"/>
      <c r="K600" s="542">
        <f>ROUND(K601,2)</f>
        <v>3.42</v>
      </c>
      <c r="L600" s="331"/>
      <c r="M600" s="331"/>
    </row>
    <row r="601" spans="2:13" ht="17.25" customHeight="1" x14ac:dyDescent="0.3">
      <c r="B601" s="29"/>
      <c r="C601" s="276" t="s">
        <v>1146</v>
      </c>
      <c r="D601" s="29" t="s">
        <v>99</v>
      </c>
      <c r="E601" s="29">
        <v>1.2</v>
      </c>
      <c r="F601" s="29">
        <v>2.85</v>
      </c>
      <c r="G601" s="52"/>
      <c r="H601" s="29"/>
      <c r="I601" s="328"/>
      <c r="J601" s="328"/>
      <c r="K601" s="30">
        <f>F601*E601</f>
        <v>3.42</v>
      </c>
      <c r="L601" s="328"/>
      <c r="M601" s="328"/>
    </row>
    <row r="602" spans="2:13" ht="17.25" customHeight="1" x14ac:dyDescent="0.3">
      <c r="B602" s="540" t="str">
        <f>'PRESUPUESTO OFICIAL (Entidad)'!B221</f>
        <v>E4</v>
      </c>
      <c r="C602" s="837" t="str">
        <f>'PRESUPUESTO OFICIAL (Entidad)'!C221</f>
        <v>LIMPIEZA GENERAL</v>
      </c>
      <c r="D602" s="837"/>
      <c r="E602" s="837"/>
      <c r="F602" s="837"/>
      <c r="G602" s="837"/>
      <c r="H602" s="837"/>
      <c r="I602" s="837"/>
      <c r="J602" s="837"/>
      <c r="K602" s="837"/>
      <c r="L602" s="837"/>
      <c r="M602" s="837"/>
    </row>
    <row r="603" spans="2:13" ht="17.25" customHeight="1" x14ac:dyDescent="0.3">
      <c r="B603" s="541" t="str">
        <f>'PRESUPUESTO OFICIAL (Entidad)'!B222</f>
        <v>E4,1</v>
      </c>
      <c r="C603" s="334" t="str">
        <f>'PRESUPUESTO OFICIAL (Entidad)'!C222</f>
        <v>Aseo final de obra.</v>
      </c>
      <c r="D603" s="541" t="str">
        <f>'PRESUPUESTO OFICIAL (Entidad)'!D222</f>
        <v>M2</v>
      </c>
      <c r="E603" s="43"/>
      <c r="F603" s="43"/>
      <c r="G603" s="43"/>
      <c r="H603" s="43"/>
      <c r="I603" s="43"/>
      <c r="J603" s="43"/>
      <c r="K603" s="542">
        <f>ROUND(K604,2)</f>
        <v>55.3</v>
      </c>
      <c r="L603" s="43"/>
      <c r="M603" s="43"/>
    </row>
    <row r="604" spans="2:13" ht="17.25" customHeight="1" x14ac:dyDescent="0.3">
      <c r="B604" s="12"/>
      <c r="C604" s="513" t="s">
        <v>1158</v>
      </c>
      <c r="D604" s="12" t="s">
        <v>8</v>
      </c>
      <c r="E604" s="29">
        <f>18+16+2.3+13+6</f>
        <v>55.3</v>
      </c>
      <c r="F604" s="29">
        <v>1</v>
      </c>
      <c r="G604" s="12"/>
      <c r="H604" s="12"/>
      <c r="I604" s="12"/>
      <c r="J604" s="12"/>
      <c r="K604" s="30">
        <f>F604*E604</f>
        <v>55.3</v>
      </c>
      <c r="L604" s="12"/>
      <c r="M604" s="12"/>
    </row>
    <row r="605" spans="2:13" ht="12" customHeight="1" x14ac:dyDescent="0.3">
      <c r="B605" s="636"/>
      <c r="C605" s="636"/>
      <c r="D605" s="636"/>
      <c r="E605" s="636"/>
      <c r="F605" s="636"/>
      <c r="G605" s="636"/>
      <c r="H605" s="636"/>
      <c r="I605" s="636"/>
      <c r="J605" s="636"/>
      <c r="K605" s="636"/>
      <c r="L605" s="636"/>
      <c r="M605" s="636"/>
    </row>
    <row r="606" spans="2:13" ht="17.25" customHeight="1" x14ac:dyDescent="0.3">
      <c r="B606" s="560" t="str">
        <f>'PRESUPUESTO OFICIAL (Entidad)'!B224</f>
        <v>F</v>
      </c>
      <c r="C606" s="560" t="str">
        <f>'PRESUPUESTO OFICIAL (Entidad)'!C224</f>
        <v>ADECUACION Y MEJORAMIENTO DEL COMEDOR  A  LA INSTITUCIÓN EDUCATIVA SAN ANTONIO (SEDE LA MESA)</v>
      </c>
      <c r="D606" s="560"/>
      <c r="E606" s="560"/>
      <c r="F606" s="560"/>
      <c r="G606" s="560"/>
      <c r="H606" s="560"/>
      <c r="I606" s="560"/>
      <c r="J606" s="560"/>
      <c r="K606" s="560"/>
      <c r="L606" s="560"/>
      <c r="M606" s="560"/>
    </row>
    <row r="607" spans="2:13" ht="17.25" customHeight="1" x14ac:dyDescent="0.3">
      <c r="B607" s="540" t="str">
        <f>'PRESUPUESTO OFICIAL (Entidad)'!B225</f>
        <v>F1</v>
      </c>
      <c r="C607" s="837" t="str">
        <f>'PRESUPUESTO OFICIAL (Entidad)'!C225</f>
        <v xml:space="preserve">PRELIMINARES </v>
      </c>
      <c r="D607" s="837"/>
      <c r="E607" s="837"/>
      <c r="F607" s="837"/>
      <c r="G607" s="837"/>
      <c r="H607" s="837"/>
      <c r="I607" s="837"/>
      <c r="J607" s="837"/>
      <c r="K607" s="837"/>
      <c r="L607" s="837"/>
      <c r="M607" s="837"/>
    </row>
    <row r="608" spans="2:13" ht="17.25" customHeight="1" x14ac:dyDescent="0.3">
      <c r="B608" s="541" t="str">
        <f>'PRESUPUESTO OFICIAL (Entidad)'!B226</f>
        <v>F1,1</v>
      </c>
      <c r="C608" s="331" t="str">
        <f>'PRESUPUESTO OFICIAL (Entidad)'!C226</f>
        <v>Localización y Replanteo manual.</v>
      </c>
      <c r="D608" s="541" t="str">
        <f>'PRESUPUESTO OFICIAL (Entidad)'!D226</f>
        <v>M2</v>
      </c>
      <c r="E608" s="43"/>
      <c r="F608" s="43"/>
      <c r="G608" s="43"/>
      <c r="H608" s="43"/>
      <c r="I608" s="43"/>
      <c r="J608" s="43"/>
      <c r="K608" s="542">
        <f>ROUND(K609,2)</f>
        <v>54.39</v>
      </c>
      <c r="L608" s="43"/>
      <c r="M608" s="43"/>
    </row>
    <row r="609" spans="2:13" ht="17.25" customHeight="1" x14ac:dyDescent="0.3">
      <c r="B609" s="156"/>
      <c r="C609" s="276" t="s">
        <v>651</v>
      </c>
      <c r="D609" s="156" t="s">
        <v>8</v>
      </c>
      <c r="E609" s="27">
        <v>7.35</v>
      </c>
      <c r="F609" s="27">
        <v>7.4</v>
      </c>
      <c r="G609" s="27"/>
      <c r="H609" s="27"/>
      <c r="I609" s="27"/>
      <c r="J609" s="27"/>
      <c r="K609" s="165">
        <f>E609*F609</f>
        <v>54.39</v>
      </c>
      <c r="L609" s="27"/>
      <c r="M609" s="27"/>
    </row>
    <row r="610" spans="2:13" ht="17.25" customHeight="1" x14ac:dyDescent="0.3">
      <c r="B610" s="561" t="str">
        <f>'PRESUPUESTO OFICIAL (Entidad)'!B227</f>
        <v>F2</v>
      </c>
      <c r="C610" s="562" t="str">
        <f>'PRESUPUESTO OFICIAL (Entidad)'!C227</f>
        <v>DEMOLICIONES Y DESMONTE DE ELEMENTOS</v>
      </c>
      <c r="D610" s="561"/>
      <c r="E610" s="564"/>
      <c r="F610" s="564"/>
      <c r="G610" s="564"/>
      <c r="H610" s="564"/>
      <c r="I610" s="564"/>
      <c r="J610" s="564"/>
      <c r="K610" s="338"/>
      <c r="L610" s="564"/>
      <c r="M610" s="564"/>
    </row>
    <row r="611" spans="2:13" ht="17.25" customHeight="1" x14ac:dyDescent="0.3">
      <c r="B611" s="541" t="str">
        <f>'PRESUPUESTO OFICIAL (Entidad)'!B228</f>
        <v>F2,1</v>
      </c>
      <c r="C611" s="331" t="str">
        <f>'PRESUPUESTO OFICIAL (Entidad)'!C228</f>
        <v>Demolición placa de piso concreto e=0.10m, incluye retiro</v>
      </c>
      <c r="D611" s="541" t="str">
        <f>'PRESUPUESTO OFICIAL (Entidad)'!D228</f>
        <v>M2</v>
      </c>
      <c r="E611" s="43"/>
      <c r="F611" s="43"/>
      <c r="G611" s="43"/>
      <c r="H611" s="43"/>
      <c r="I611" s="43"/>
      <c r="J611" s="43"/>
      <c r="K611" s="55">
        <f>ROUND(SUM(K612:K613),2)</f>
        <v>50.36</v>
      </c>
      <c r="L611" s="43"/>
      <c r="M611" s="43"/>
    </row>
    <row r="612" spans="2:13" ht="17.25" customHeight="1" x14ac:dyDescent="0.3">
      <c r="B612" s="563"/>
      <c r="C612" s="276" t="s">
        <v>1233</v>
      </c>
      <c r="D612" s="156" t="s">
        <v>8</v>
      </c>
      <c r="E612" s="27">
        <v>7.05</v>
      </c>
      <c r="F612" s="27">
        <v>6.1</v>
      </c>
      <c r="G612" s="12"/>
      <c r="H612" s="12"/>
      <c r="I612" s="12"/>
      <c r="J612" s="12"/>
      <c r="K612" s="165">
        <f>E612*F612</f>
        <v>43.004999999999995</v>
      </c>
      <c r="L612" s="12"/>
      <c r="M612" s="12"/>
    </row>
    <row r="613" spans="2:13" ht="17.25" customHeight="1" x14ac:dyDescent="0.3">
      <c r="B613" s="563"/>
      <c r="C613" s="276" t="s">
        <v>1234</v>
      </c>
      <c r="D613" s="156" t="s">
        <v>8</v>
      </c>
      <c r="E613" s="27">
        <v>7.35</v>
      </c>
      <c r="F613" s="27">
        <v>1</v>
      </c>
      <c r="G613" s="12"/>
      <c r="H613" s="12"/>
      <c r="I613" s="12"/>
      <c r="J613" s="12"/>
      <c r="K613" s="165">
        <f>E613*F613</f>
        <v>7.35</v>
      </c>
      <c r="L613" s="12"/>
      <c r="M613" s="12"/>
    </row>
    <row r="614" spans="2:13" ht="17.25" customHeight="1" x14ac:dyDescent="0.3">
      <c r="B614" s="541" t="str">
        <f>'PRESUPUESTO OFICIAL (Entidad)'!B229</f>
        <v>F2,2</v>
      </c>
      <c r="C614" s="331" t="str">
        <f>'PRESUPUESTO OFICIAL (Entidad)'!C229</f>
        <v>Demolición pañete muro</v>
      </c>
      <c r="D614" s="541" t="str">
        <f>'PRESUPUESTO OFICIAL (Entidad)'!D229</f>
        <v>M2</v>
      </c>
      <c r="E614" s="43"/>
      <c r="F614" s="43"/>
      <c r="G614" s="43"/>
      <c r="H614" s="43"/>
      <c r="I614" s="43"/>
      <c r="J614" s="43"/>
      <c r="K614" s="55">
        <f>ROUND(SUM(K615:K617),2)</f>
        <v>133.34</v>
      </c>
      <c r="L614" s="43"/>
      <c r="M614" s="43"/>
    </row>
    <row r="615" spans="2:13" ht="17.25" customHeight="1" x14ac:dyDescent="0.3">
      <c r="B615" s="563"/>
      <c r="C615" s="276" t="s">
        <v>1235</v>
      </c>
      <c r="D615" s="156" t="s">
        <v>8</v>
      </c>
      <c r="E615" s="27">
        <v>7.35</v>
      </c>
      <c r="F615" s="27">
        <v>3.05</v>
      </c>
      <c r="G615" s="27"/>
      <c r="H615" s="27">
        <v>2</v>
      </c>
      <c r="I615" s="27">
        <f>(2.44)+(1.7)</f>
        <v>4.1399999999999997</v>
      </c>
      <c r="J615" s="27"/>
      <c r="K615" s="27">
        <f>E615*F615*H615-I615</f>
        <v>40.694999999999993</v>
      </c>
      <c r="L615" s="12"/>
      <c r="M615" s="12"/>
    </row>
    <row r="616" spans="2:13" ht="17.25" customHeight="1" x14ac:dyDescent="0.3">
      <c r="B616" s="563"/>
      <c r="C616" s="276" t="s">
        <v>1236</v>
      </c>
      <c r="D616" s="156" t="s">
        <v>8</v>
      </c>
      <c r="E616" s="27">
        <v>17.63</v>
      </c>
      <c r="F616" s="27"/>
      <c r="G616" s="27"/>
      <c r="H616" s="27">
        <v>3</v>
      </c>
      <c r="I616" s="27"/>
      <c r="J616" s="27"/>
      <c r="K616" s="27">
        <f>E616*H616</f>
        <v>52.89</v>
      </c>
      <c r="L616" s="12"/>
      <c r="M616" s="12"/>
    </row>
    <row r="617" spans="2:13" ht="17.25" customHeight="1" x14ac:dyDescent="0.3">
      <c r="B617" s="563"/>
      <c r="C617" s="276" t="s">
        <v>1237</v>
      </c>
      <c r="D617" s="156" t="s">
        <v>8</v>
      </c>
      <c r="E617" s="27">
        <v>7.35</v>
      </c>
      <c r="F617" s="27">
        <v>2.82</v>
      </c>
      <c r="G617" s="27"/>
      <c r="H617" s="27">
        <v>2</v>
      </c>
      <c r="I617" s="27">
        <v>1.7</v>
      </c>
      <c r="J617" s="27"/>
      <c r="K617" s="27">
        <f>E617*F617*H617-I617</f>
        <v>39.753999999999991</v>
      </c>
      <c r="L617" s="12"/>
      <c r="M617" s="12"/>
    </row>
    <row r="618" spans="2:13" ht="17.25" customHeight="1" x14ac:dyDescent="0.3">
      <c r="B618" s="541" t="str">
        <f>'PRESUPUESTO OFICIAL (Entidad)'!B230</f>
        <v>F2,3</v>
      </c>
      <c r="C618" s="331" t="str">
        <f>'PRESUPUESTO OFICIAL (Entidad)'!C230</f>
        <v>Desmonte marcos y puertas</v>
      </c>
      <c r="D618" s="541" t="str">
        <f>'PRESUPUESTO OFICIAL (Entidad)'!D230</f>
        <v>UN</v>
      </c>
      <c r="E618" s="43"/>
      <c r="F618" s="43"/>
      <c r="G618" s="43"/>
      <c r="H618" s="43"/>
      <c r="I618" s="43"/>
      <c r="J618" s="43"/>
      <c r="K618" s="542">
        <f>ROUND(K619,2)</f>
        <v>3</v>
      </c>
      <c r="L618" s="43"/>
      <c r="M618" s="43"/>
    </row>
    <row r="619" spans="2:13" ht="17.25" customHeight="1" x14ac:dyDescent="0.3">
      <c r="B619" s="563"/>
      <c r="C619" s="276" t="s">
        <v>1166</v>
      </c>
      <c r="D619" s="156" t="s">
        <v>1014</v>
      </c>
      <c r="E619" s="27"/>
      <c r="F619" s="27"/>
      <c r="G619" s="27"/>
      <c r="H619" s="27">
        <v>3</v>
      </c>
      <c r="I619" s="27"/>
      <c r="J619" s="27"/>
      <c r="K619" s="27">
        <f>H619</f>
        <v>3</v>
      </c>
      <c r="L619" s="12"/>
      <c r="M619" s="12"/>
    </row>
    <row r="620" spans="2:13" ht="17.25" customHeight="1" x14ac:dyDescent="0.3">
      <c r="B620" s="541" t="str">
        <f>'PRESUPUESTO OFICIAL (Entidad)'!B231</f>
        <v>F2,4</v>
      </c>
      <c r="C620" s="331" t="str">
        <f>'PRESUPUESTO OFICIAL (Entidad)'!C231</f>
        <v>Desmonte ventanas</v>
      </c>
      <c r="D620" s="541" t="str">
        <f>'PRESUPUESTO OFICIAL (Entidad)'!D231</f>
        <v>M2</v>
      </c>
      <c r="E620" s="43"/>
      <c r="F620" s="43"/>
      <c r="G620" s="43"/>
      <c r="H620" s="43"/>
      <c r="I620" s="43"/>
      <c r="J620" s="43"/>
      <c r="K620" s="542">
        <f>ROUND(K621,2)</f>
        <v>4.1399999999999997</v>
      </c>
      <c r="L620" s="43"/>
      <c r="M620" s="43"/>
    </row>
    <row r="621" spans="2:13" ht="17.25" customHeight="1" x14ac:dyDescent="0.3">
      <c r="B621" s="156"/>
      <c r="C621" s="276" t="s">
        <v>1167</v>
      </c>
      <c r="D621" s="156" t="s">
        <v>8</v>
      </c>
      <c r="E621" s="27">
        <v>2.0699999999999998</v>
      </c>
      <c r="F621" s="27">
        <v>1</v>
      </c>
      <c r="G621" s="27"/>
      <c r="H621" s="27">
        <v>2</v>
      </c>
      <c r="I621" s="27"/>
      <c r="J621" s="27"/>
      <c r="K621" s="27">
        <f>E621*F621*H621</f>
        <v>4.1399999999999997</v>
      </c>
      <c r="L621" s="27"/>
      <c r="M621" s="27"/>
    </row>
    <row r="622" spans="2:13" ht="17.25" customHeight="1" x14ac:dyDescent="0.3">
      <c r="B622" s="541" t="str">
        <f>'PRESUPUESTO OFICIAL (Entidad)'!B232</f>
        <v>F2,5</v>
      </c>
      <c r="C622" s="331" t="str">
        <f>'PRESUPUESTO OFICIAL (Entidad)'!C232</f>
        <v>Demolición muros e-0.15m, con retiro</v>
      </c>
      <c r="D622" s="541" t="str">
        <f>'PRESUPUESTO OFICIAL (Entidad)'!D232</f>
        <v>M2</v>
      </c>
      <c r="E622" s="43"/>
      <c r="F622" s="43"/>
      <c r="G622" s="43"/>
      <c r="H622" s="43"/>
      <c r="I622" s="43"/>
      <c r="J622" s="43"/>
      <c r="K622" s="55">
        <f>ROUND(SUM(K623:K624),2)</f>
        <v>8.1999999999999993</v>
      </c>
      <c r="L622" s="43"/>
      <c r="M622" s="43"/>
    </row>
    <row r="623" spans="2:13" ht="17.25" customHeight="1" x14ac:dyDescent="0.3">
      <c r="B623" s="563"/>
      <c r="C623" s="276" t="s">
        <v>1238</v>
      </c>
      <c r="D623" s="156" t="s">
        <v>8</v>
      </c>
      <c r="E623" s="27">
        <v>3</v>
      </c>
      <c r="F623" s="27">
        <v>0.8</v>
      </c>
      <c r="G623" s="27"/>
      <c r="H623" s="27">
        <v>2</v>
      </c>
      <c r="I623" s="27"/>
      <c r="J623" s="27"/>
      <c r="K623" s="27">
        <f>E623*F623*H623</f>
        <v>4.8000000000000007</v>
      </c>
      <c r="L623" s="12"/>
      <c r="M623" s="12"/>
    </row>
    <row r="624" spans="2:13" ht="17.25" customHeight="1" x14ac:dyDescent="0.3">
      <c r="B624" s="563"/>
      <c r="C624" s="276" t="s">
        <v>1239</v>
      </c>
      <c r="D624" s="156" t="s">
        <v>8</v>
      </c>
      <c r="E624" s="27">
        <v>1.7</v>
      </c>
      <c r="F624" s="27"/>
      <c r="G624" s="27"/>
      <c r="H624" s="27">
        <v>2</v>
      </c>
      <c r="I624" s="27"/>
      <c r="J624" s="27"/>
      <c r="K624" s="27">
        <f>E624*H624</f>
        <v>3.4</v>
      </c>
      <c r="L624" s="12"/>
      <c r="M624" s="12"/>
    </row>
    <row r="625" spans="2:13" ht="17.25" customHeight="1" x14ac:dyDescent="0.3">
      <c r="B625" s="561" t="str">
        <f>'PRESUPUESTO OFICIAL (Entidad)'!B233</f>
        <v>F3</v>
      </c>
      <c r="C625" s="562" t="str">
        <f>'PRESUPUESTO OFICIAL (Entidad)'!C233</f>
        <v xml:space="preserve">MOVIMIENTO DE TIERRA </v>
      </c>
      <c r="D625" s="561"/>
      <c r="E625" s="564"/>
      <c r="F625" s="564"/>
      <c r="G625" s="564"/>
      <c r="H625" s="564"/>
      <c r="I625" s="564"/>
      <c r="J625" s="564"/>
      <c r="K625" s="564"/>
      <c r="L625" s="564"/>
      <c r="M625" s="564"/>
    </row>
    <row r="626" spans="2:13" ht="22.5" customHeight="1" x14ac:dyDescent="0.3">
      <c r="B626" s="541" t="str">
        <f>'PRESUPUESTO OFICIAL (Entidad)'!B234</f>
        <v>F3,1</v>
      </c>
      <c r="C626" s="331" t="str">
        <f>'PRESUPUESTO OFICIAL (Entidad)'!C234</f>
        <v xml:space="preserve">Excavacion manual. Incluye retiro del material. </v>
      </c>
      <c r="D626" s="541" t="str">
        <f>'PRESUPUESTO OFICIAL (Entidad)'!D234</f>
        <v>M3</v>
      </c>
      <c r="E626" s="43"/>
      <c r="F626" s="43"/>
      <c r="G626" s="43"/>
      <c r="H626" s="43"/>
      <c r="I626" s="43"/>
      <c r="J626" s="43"/>
      <c r="K626" s="55">
        <f>ROUND(SUM(K627:K628),2)</f>
        <v>12.59</v>
      </c>
      <c r="L626" s="43"/>
      <c r="M626" s="43"/>
    </row>
    <row r="627" spans="2:13" ht="22.5" customHeight="1" x14ac:dyDescent="0.3">
      <c r="B627" s="563"/>
      <c r="C627" s="276" t="s">
        <v>1223</v>
      </c>
      <c r="D627" s="156" t="s">
        <v>9</v>
      </c>
      <c r="E627" s="27">
        <v>7.05</v>
      </c>
      <c r="F627" s="27">
        <v>6.1</v>
      </c>
      <c r="G627" s="27">
        <v>0.25</v>
      </c>
      <c r="H627" s="27"/>
      <c r="I627" s="27"/>
      <c r="J627" s="27"/>
      <c r="K627" s="514">
        <f>E627*F627*G627</f>
        <v>10.751249999999999</v>
      </c>
      <c r="L627" s="12"/>
      <c r="M627" s="12"/>
    </row>
    <row r="628" spans="2:13" ht="22.5" customHeight="1" x14ac:dyDescent="0.3">
      <c r="B628" s="563"/>
      <c r="C628" s="276" t="s">
        <v>1224</v>
      </c>
      <c r="D628" s="156" t="s">
        <v>9</v>
      </c>
      <c r="E628" s="27">
        <v>7.35</v>
      </c>
      <c r="F628" s="27">
        <v>1</v>
      </c>
      <c r="G628" s="27">
        <v>0.25</v>
      </c>
      <c r="H628" s="27"/>
      <c r="I628" s="27"/>
      <c r="J628" s="27"/>
      <c r="K628" s="514">
        <f>E628*F628*G628</f>
        <v>1.8374999999999999</v>
      </c>
      <c r="L628" s="12"/>
      <c r="M628" s="12"/>
    </row>
    <row r="629" spans="2:13" ht="17.25" customHeight="1" x14ac:dyDescent="0.3">
      <c r="B629" s="541" t="str">
        <f>'PRESUPUESTO OFICIAL (Entidad)'!B235</f>
        <v>F3,2</v>
      </c>
      <c r="C629" s="331" t="str">
        <f>'PRESUPUESTO OFICIAL (Entidad)'!C235</f>
        <v>Relleno en recebo compactado mecánicamente.</v>
      </c>
      <c r="D629" s="541" t="str">
        <f>'PRESUPUESTO OFICIAL (Entidad)'!D235</f>
        <v>M3</v>
      </c>
      <c r="E629" s="43"/>
      <c r="F629" s="43"/>
      <c r="G629" s="43"/>
      <c r="H629" s="43"/>
      <c r="I629" s="43"/>
      <c r="J629" s="43"/>
      <c r="K629" s="55">
        <f>ROUND(SUM(K630:K631),2)</f>
        <v>10.07</v>
      </c>
      <c r="L629" s="43"/>
      <c r="M629" s="43"/>
    </row>
    <row r="630" spans="2:13" ht="17.25" customHeight="1" x14ac:dyDescent="0.3">
      <c r="B630" s="563"/>
      <c r="C630" s="276" t="s">
        <v>1225</v>
      </c>
      <c r="D630" s="156" t="s">
        <v>9</v>
      </c>
      <c r="E630" s="27">
        <v>7.05</v>
      </c>
      <c r="F630" s="27">
        <v>6.1</v>
      </c>
      <c r="G630" s="27">
        <v>0.2</v>
      </c>
      <c r="H630" s="12"/>
      <c r="I630" s="12"/>
      <c r="J630" s="12"/>
      <c r="K630" s="27">
        <f>E630*F630*G630</f>
        <v>8.6009999999999991</v>
      </c>
      <c r="L630" s="12"/>
      <c r="M630" s="12"/>
    </row>
    <row r="631" spans="2:13" ht="17.25" customHeight="1" x14ac:dyDescent="0.3">
      <c r="B631" s="563"/>
      <c r="C631" s="276" t="s">
        <v>1226</v>
      </c>
      <c r="D631" s="156" t="s">
        <v>9</v>
      </c>
      <c r="E631" s="27">
        <v>7.35</v>
      </c>
      <c r="F631" s="27">
        <v>1</v>
      </c>
      <c r="G631" s="27">
        <v>0.2</v>
      </c>
      <c r="H631" s="12"/>
      <c r="I631" s="12"/>
      <c r="J631" s="12"/>
      <c r="K631" s="27">
        <f>E631*F631*G631</f>
        <v>1.47</v>
      </c>
      <c r="L631" s="12"/>
      <c r="M631" s="12"/>
    </row>
    <row r="632" spans="2:13" ht="17.25" customHeight="1" x14ac:dyDescent="0.3">
      <c r="B632" s="561" t="str">
        <f>'PRESUPUESTO OFICIAL (Entidad)'!B236</f>
        <v>F4</v>
      </c>
      <c r="C632" s="562" t="str">
        <f>'PRESUPUESTO OFICIAL (Entidad)'!C236</f>
        <v xml:space="preserve">CIMIENTOS </v>
      </c>
      <c r="D632" s="561"/>
      <c r="E632" s="564"/>
      <c r="F632" s="564"/>
      <c r="G632" s="564"/>
      <c r="H632" s="564"/>
      <c r="I632" s="564"/>
      <c r="J632" s="564"/>
      <c r="K632" s="564"/>
      <c r="L632" s="564"/>
      <c r="M632" s="564"/>
    </row>
    <row r="633" spans="2:13" ht="35.25" customHeight="1" x14ac:dyDescent="0.3">
      <c r="B633" s="541" t="str">
        <f>'PRESUPUESTO OFICIAL (Entidad)'!B237</f>
        <v>F4,1</v>
      </c>
      <c r="C633" s="331" t="str">
        <f>'PRESUPUESTO OFICIAL (Entidad)'!C237</f>
        <v>Viga de cimentacion en concreto de 3000 PSI (0,12 x 0,20 mts).Incluye acero de refuerzo de 60000 PSI. (4Ø3/8" refuerzo y E=Ø1/4" c/d. 0,10 m).</v>
      </c>
      <c r="D633" s="541" t="str">
        <f>'PRESUPUESTO OFICIAL (Entidad)'!D237</f>
        <v>ML</v>
      </c>
      <c r="E633" s="43"/>
      <c r="F633" s="43"/>
      <c r="G633" s="43"/>
      <c r="H633" s="43"/>
      <c r="I633" s="43"/>
      <c r="J633" s="43"/>
      <c r="K633" s="542">
        <f>ROUND(K634,2)</f>
        <v>6.4</v>
      </c>
      <c r="L633" s="43"/>
      <c r="M633" s="43"/>
    </row>
    <row r="634" spans="2:13" ht="30" customHeight="1" x14ac:dyDescent="0.3">
      <c r="B634" s="563"/>
      <c r="C634" s="276" t="s">
        <v>771</v>
      </c>
      <c r="D634" s="156" t="s">
        <v>19</v>
      </c>
      <c r="E634" s="27">
        <v>6.4</v>
      </c>
      <c r="F634" s="27"/>
      <c r="G634" s="27"/>
      <c r="H634" s="27"/>
      <c r="I634" s="27"/>
      <c r="J634" s="27"/>
      <c r="K634" s="27">
        <f>E634</f>
        <v>6.4</v>
      </c>
      <c r="L634" s="12"/>
      <c r="M634" s="12"/>
    </row>
    <row r="635" spans="2:13" ht="17.25" customHeight="1" x14ac:dyDescent="0.3">
      <c r="B635" s="561" t="str">
        <f>'PRESUPUESTO OFICIAL (Entidad)'!B238</f>
        <v>F5</v>
      </c>
      <c r="C635" s="562" t="str">
        <f>'PRESUPUESTO OFICIAL (Entidad)'!C238</f>
        <v>ESTRUCTURA</v>
      </c>
      <c r="D635" s="561"/>
      <c r="E635" s="564"/>
      <c r="F635" s="564"/>
      <c r="G635" s="564"/>
      <c r="H635" s="564"/>
      <c r="I635" s="564"/>
      <c r="J635" s="564"/>
      <c r="K635" s="564"/>
      <c r="L635" s="564"/>
      <c r="M635" s="564"/>
    </row>
    <row r="636" spans="2:13" ht="27" customHeight="1" x14ac:dyDescent="0.3">
      <c r="B636" s="541" t="str">
        <f>'PRESUPUESTO OFICIAL (Entidad)'!B239</f>
        <v>F5,1</v>
      </c>
      <c r="C636" s="331" t="str">
        <f>'PRESUPUESTO OFICIAL (Entidad)'!C239</f>
        <v>Viga aerea en concreto de 3000 PSI (0,12 x 0,20 mts).Incluye acero de refuerzo de 60000 PSI. (4Ø3/8" refuerzo y E=Ø1/4" c/d. 0,10 m).</v>
      </c>
      <c r="D636" s="541" t="str">
        <f>'PRESUPUESTO OFICIAL (Entidad)'!D239</f>
        <v>ML</v>
      </c>
      <c r="E636" s="43"/>
      <c r="F636" s="43"/>
      <c r="G636" s="43"/>
      <c r="H636" s="43"/>
      <c r="I636" s="43"/>
      <c r="J636" s="43"/>
      <c r="K636" s="542">
        <f>ROUND(K637,2)</f>
        <v>6.4</v>
      </c>
      <c r="L636" s="43"/>
      <c r="M636" s="43"/>
    </row>
    <row r="637" spans="2:13" ht="27.75" customHeight="1" x14ac:dyDescent="0.3">
      <c r="B637" s="563"/>
      <c r="C637" s="276" t="s">
        <v>772</v>
      </c>
      <c r="D637" s="156" t="s">
        <v>19</v>
      </c>
      <c r="E637" s="27">
        <v>6.4</v>
      </c>
      <c r="F637" s="12"/>
      <c r="G637" s="12"/>
      <c r="H637" s="12"/>
      <c r="I637" s="12"/>
      <c r="J637" s="12"/>
      <c r="K637" s="27">
        <f>E637</f>
        <v>6.4</v>
      </c>
      <c r="L637" s="12"/>
      <c r="M637" s="12"/>
    </row>
    <row r="638" spans="2:13" ht="36.75" customHeight="1" x14ac:dyDescent="0.3">
      <c r="B638" s="541" t="str">
        <f>'PRESUPUESTO OFICIAL (Entidad)'!B240</f>
        <v>F5,2</v>
      </c>
      <c r="C638" s="331" t="str">
        <f>'PRESUPUESTO OFICIAL (Entidad)'!C240</f>
        <v>Columnas concreto de 3000 PSI (0,12 x 0,20 mts).Incluye acero de refuerzo de 60000 PSI. (4Ø3/8" refuerzo y E=Ø1/4" c/d. 0,10 m).</v>
      </c>
      <c r="D638" s="541" t="str">
        <f>'PRESUPUESTO OFICIAL (Entidad)'!D240</f>
        <v>ML</v>
      </c>
      <c r="E638" s="43"/>
      <c r="F638" s="43"/>
      <c r="G638" s="43"/>
      <c r="H638" s="43"/>
      <c r="I638" s="43"/>
      <c r="J638" s="43"/>
      <c r="K638" s="542">
        <f>ROUND(K639,2)</f>
        <v>9.32</v>
      </c>
      <c r="L638" s="43"/>
      <c r="M638" s="43"/>
    </row>
    <row r="639" spans="2:13" ht="33" customHeight="1" x14ac:dyDescent="0.3">
      <c r="B639" s="563"/>
      <c r="C639" s="276" t="s">
        <v>773</v>
      </c>
      <c r="D639" s="156" t="s">
        <v>19</v>
      </c>
      <c r="E639" s="27">
        <f>2.85+3.85+2.62</f>
        <v>9.32</v>
      </c>
      <c r="F639" s="27"/>
      <c r="G639" s="27"/>
      <c r="H639" s="27"/>
      <c r="I639" s="27"/>
      <c r="J639" s="27"/>
      <c r="K639" s="27">
        <f>E639</f>
        <v>9.32</v>
      </c>
      <c r="L639" s="12"/>
      <c r="M639" s="12"/>
    </row>
    <row r="640" spans="2:13" ht="17.25" customHeight="1" x14ac:dyDescent="0.3">
      <c r="B640" s="561" t="str">
        <f>'PRESUPUESTO OFICIAL (Entidad)'!B241</f>
        <v>F6</v>
      </c>
      <c r="C640" s="562" t="str">
        <f>'PRESUPUESTO OFICIAL (Entidad)'!C241</f>
        <v>MAMPOSTERIA</v>
      </c>
      <c r="D640" s="561"/>
      <c r="E640" s="564"/>
      <c r="F640" s="564"/>
      <c r="G640" s="564"/>
      <c r="H640" s="564"/>
      <c r="I640" s="564"/>
      <c r="J640" s="564"/>
      <c r="K640" s="564"/>
      <c r="L640" s="564"/>
      <c r="M640" s="564"/>
    </row>
    <row r="641" spans="2:20" ht="27.75" customHeight="1" x14ac:dyDescent="0.3">
      <c r="B641" s="541" t="str">
        <f>'PRESUPUESTO OFICIAL (Entidad)'!B242</f>
        <v>F6,1</v>
      </c>
      <c r="C641" s="331" t="str">
        <f>'PRESUPUESTO OFICIAL (Entidad)'!C242</f>
        <v>Construccion de Muro en Bloque de arcilla #5 (12x20x30cm) Incluye mortero de pega y bloque.</v>
      </c>
      <c r="D641" s="541" t="str">
        <f>'PRESUPUESTO OFICIAL (Entidad)'!D242</f>
        <v>M2</v>
      </c>
      <c r="E641" s="43"/>
      <c r="F641" s="43"/>
      <c r="G641" s="43"/>
      <c r="H641" s="43"/>
      <c r="I641" s="43"/>
      <c r="J641" s="43"/>
      <c r="K641" s="55">
        <f>ROUND(SUM(K642:K645),2)</f>
        <v>15.36</v>
      </c>
      <c r="L641" s="43"/>
      <c r="M641" s="43"/>
    </row>
    <row r="642" spans="2:20" ht="24" customHeight="1" x14ac:dyDescent="0.3">
      <c r="B642" s="563"/>
      <c r="C642" s="276" t="s">
        <v>1240</v>
      </c>
      <c r="D642" s="156" t="s">
        <v>8</v>
      </c>
      <c r="E642" s="27">
        <v>1.9</v>
      </c>
      <c r="F642" s="27"/>
      <c r="G642" s="27">
        <v>2.62</v>
      </c>
      <c r="H642" s="27"/>
      <c r="I642" s="27"/>
      <c r="J642" s="27"/>
      <c r="K642" s="27">
        <f>E642*G642</f>
        <v>4.9779999999999998</v>
      </c>
      <c r="L642" s="12"/>
      <c r="M642" s="12"/>
      <c r="R642" s="568"/>
      <c r="S642" s="569"/>
      <c r="T642" s="570"/>
    </row>
    <row r="643" spans="2:20" ht="24" customHeight="1" x14ac:dyDescent="0.3">
      <c r="B643" s="563"/>
      <c r="C643" s="61" t="s">
        <v>1241</v>
      </c>
      <c r="D643" s="27" t="s">
        <v>8</v>
      </c>
      <c r="E643" s="514">
        <f>3+0.3</f>
        <v>3.3</v>
      </c>
      <c r="F643" s="514"/>
      <c r="G643" s="514">
        <v>0.9</v>
      </c>
      <c r="H643" s="27"/>
      <c r="I643" s="27"/>
      <c r="J643" s="27"/>
      <c r="K643" s="27">
        <f>E643*G643</f>
        <v>2.9699999999999998</v>
      </c>
      <c r="L643" s="12"/>
      <c r="M643" s="12"/>
      <c r="R643" s="568"/>
      <c r="S643" s="569"/>
      <c r="T643" s="570"/>
    </row>
    <row r="644" spans="2:20" ht="24" customHeight="1" x14ac:dyDescent="0.3">
      <c r="B644" s="563"/>
      <c r="C644" s="61" t="s">
        <v>1242</v>
      </c>
      <c r="D644" s="27" t="s">
        <v>8</v>
      </c>
      <c r="E644" s="514">
        <v>3.27</v>
      </c>
      <c r="F644" s="514"/>
      <c r="G644" s="514"/>
      <c r="H644" s="12"/>
      <c r="I644" s="12"/>
      <c r="J644" s="12"/>
      <c r="K644" s="514">
        <f>E644</f>
        <v>3.27</v>
      </c>
      <c r="L644" s="12"/>
      <c r="M644" s="12"/>
      <c r="R644" s="568"/>
      <c r="S644" s="569"/>
      <c r="T644" s="570"/>
    </row>
    <row r="645" spans="2:20" ht="24" customHeight="1" x14ac:dyDescent="0.3">
      <c r="B645" s="563"/>
      <c r="C645" s="61" t="s">
        <v>1252</v>
      </c>
      <c r="D645" s="27" t="s">
        <v>8</v>
      </c>
      <c r="E645" s="514">
        <v>2.0699999999999998</v>
      </c>
      <c r="F645" s="514"/>
      <c r="G645" s="514"/>
      <c r="H645" s="12">
        <v>2</v>
      </c>
      <c r="I645" s="12"/>
      <c r="J645" s="12"/>
      <c r="K645" s="514">
        <f>E645*H645</f>
        <v>4.1399999999999997</v>
      </c>
      <c r="L645" s="12"/>
      <c r="M645" s="12"/>
      <c r="R645" s="568"/>
      <c r="S645" s="569"/>
      <c r="T645" s="570"/>
    </row>
    <row r="646" spans="2:20" ht="27" customHeight="1" x14ac:dyDescent="0.3">
      <c r="B646" s="541" t="str">
        <f>'PRESUPUESTO OFICIAL (Entidad)'!B243</f>
        <v>F6,2</v>
      </c>
      <c r="C646" s="331" t="str">
        <f>'PRESUPUESTO OFICIAL (Entidad)'!C243</f>
        <v>Construccion de Mesón en concreto 3000 psi, a=0,60, e=0.10 enchapado, inc. Acero (1Ø1/2"c.015 ambos sentidos).</v>
      </c>
      <c r="D646" s="541" t="str">
        <f>'PRESUPUESTO OFICIAL (Entidad)'!D243</f>
        <v>ML</v>
      </c>
      <c r="E646" s="43"/>
      <c r="F646" s="43"/>
      <c r="G646" s="43"/>
      <c r="H646" s="43"/>
      <c r="I646" s="43"/>
      <c r="J646" s="43"/>
      <c r="K646" s="55">
        <f>ROUND(SUM(K647:K648),2)</f>
        <v>7.85</v>
      </c>
      <c r="L646" s="43"/>
      <c r="M646" s="43"/>
      <c r="R646" s="568"/>
      <c r="S646" s="569"/>
      <c r="T646" s="570"/>
    </row>
    <row r="647" spans="2:20" x14ac:dyDescent="0.3">
      <c r="B647" s="156"/>
      <c r="C647" s="61" t="s">
        <v>300</v>
      </c>
      <c r="D647" s="27" t="s">
        <v>19</v>
      </c>
      <c r="E647" s="514">
        <f>3.25+1.6</f>
        <v>4.8499999999999996</v>
      </c>
      <c r="F647" s="27"/>
      <c r="G647" s="27"/>
      <c r="H647" s="27"/>
      <c r="I647" s="27"/>
      <c r="J647" s="27"/>
      <c r="K647" s="165">
        <f>E647</f>
        <v>4.8499999999999996</v>
      </c>
      <c r="L647" s="27"/>
      <c r="M647" s="27"/>
      <c r="R647" s="568"/>
      <c r="S647" s="569"/>
      <c r="T647" s="570"/>
    </row>
    <row r="648" spans="2:20" x14ac:dyDescent="0.3">
      <c r="B648" s="156"/>
      <c r="C648" s="61" t="s">
        <v>301</v>
      </c>
      <c r="D648" s="27" t="s">
        <v>19</v>
      </c>
      <c r="E648" s="514">
        <v>3</v>
      </c>
      <c r="F648" s="27"/>
      <c r="G648" s="27"/>
      <c r="H648" s="27"/>
      <c r="I648" s="27"/>
      <c r="J648" s="27"/>
      <c r="K648" s="514">
        <f>E648</f>
        <v>3</v>
      </c>
      <c r="L648" s="27"/>
      <c r="M648" s="27"/>
    </row>
    <row r="649" spans="2:20" ht="17.25" customHeight="1" x14ac:dyDescent="0.3">
      <c r="B649" s="561" t="str">
        <f>'PRESUPUESTO OFICIAL (Entidad)'!B244</f>
        <v>F7</v>
      </c>
      <c r="C649" s="562" t="str">
        <f>'PRESUPUESTO OFICIAL (Entidad)'!C244</f>
        <v>INSTALACIONES HIDRAULICAS Y SANITARIAS</v>
      </c>
      <c r="D649" s="561"/>
      <c r="E649" s="564"/>
      <c r="F649" s="564"/>
      <c r="G649" s="564"/>
      <c r="H649" s="564"/>
      <c r="I649" s="564"/>
      <c r="J649" s="564"/>
      <c r="K649" s="564"/>
      <c r="L649" s="564"/>
      <c r="M649" s="564"/>
    </row>
    <row r="650" spans="2:20" ht="17.25" customHeight="1" x14ac:dyDescent="0.3">
      <c r="B650" s="541" t="str">
        <f>'PRESUPUESTO OFICIAL (Entidad)'!B245</f>
        <v>F7,1</v>
      </c>
      <c r="C650" s="331" t="str">
        <f>'PRESUPUESTO OFICIAL (Entidad)'!C245</f>
        <v>Suministro e instalacion de Punto de desague en pvc 2", incluye tuberia.</v>
      </c>
      <c r="D650" s="541" t="str">
        <f>'PRESUPUESTO OFICIAL (Entidad)'!D245</f>
        <v>UND</v>
      </c>
      <c r="E650" s="43"/>
      <c r="F650" s="43"/>
      <c r="G650" s="43"/>
      <c r="H650" s="43"/>
      <c r="I650" s="43"/>
      <c r="J650" s="43"/>
      <c r="K650" s="542">
        <f>ROUND(K651,2)</f>
        <v>1</v>
      </c>
      <c r="L650" s="43"/>
      <c r="M650" s="43"/>
    </row>
    <row r="651" spans="2:20" ht="17.25" customHeight="1" x14ac:dyDescent="0.3">
      <c r="B651" s="563"/>
      <c r="C651" s="276" t="s">
        <v>746</v>
      </c>
      <c r="D651" s="156" t="s">
        <v>21</v>
      </c>
      <c r="E651" s="12"/>
      <c r="F651" s="12"/>
      <c r="G651" s="12"/>
      <c r="H651" s="27">
        <v>1</v>
      </c>
      <c r="I651" s="27"/>
      <c r="J651" s="27"/>
      <c r="K651" s="27">
        <f>H651</f>
        <v>1</v>
      </c>
      <c r="L651" s="12"/>
      <c r="M651" s="12"/>
    </row>
    <row r="652" spans="2:20" ht="17.25" customHeight="1" x14ac:dyDescent="0.3">
      <c r="B652" s="541" t="str">
        <f>'PRESUPUESTO OFICIAL (Entidad)'!B246</f>
        <v>F7,2</v>
      </c>
      <c r="C652" s="331" t="str">
        <f>'PRESUPUESTO OFICIAL (Entidad)'!C246</f>
        <v>Suministro e instalacion de Punto de desague en pvc 3", incluye tuberia.</v>
      </c>
      <c r="D652" s="541" t="str">
        <f>'PRESUPUESTO OFICIAL (Entidad)'!D246</f>
        <v>UND</v>
      </c>
      <c r="E652" s="43"/>
      <c r="F652" s="43"/>
      <c r="G652" s="43"/>
      <c r="H652" s="43"/>
      <c r="I652" s="43"/>
      <c r="J652" s="43"/>
      <c r="K652" s="542">
        <f>ROUND(K653,2)</f>
        <v>1</v>
      </c>
      <c r="L652" s="43"/>
      <c r="M652" s="43"/>
    </row>
    <row r="653" spans="2:20" ht="17.25" customHeight="1" x14ac:dyDescent="0.3">
      <c r="B653" s="563"/>
      <c r="C653" s="276" t="s">
        <v>745</v>
      </c>
      <c r="D653" s="156" t="s">
        <v>21</v>
      </c>
      <c r="E653" s="12"/>
      <c r="F653" s="12"/>
      <c r="G653" s="12"/>
      <c r="H653" s="27">
        <v>1</v>
      </c>
      <c r="I653" s="27"/>
      <c r="J653" s="27"/>
      <c r="K653" s="27">
        <f>H653</f>
        <v>1</v>
      </c>
      <c r="L653" s="12"/>
      <c r="M653" s="12"/>
    </row>
    <row r="654" spans="2:20" ht="17.25" customHeight="1" x14ac:dyDescent="0.3">
      <c r="B654" s="541" t="str">
        <f>'PRESUPUESTO OFICIAL (Entidad)'!B247</f>
        <v>F7,3</v>
      </c>
      <c r="C654" s="331" t="str">
        <f>'PRESUPUESTO OFICIAL (Entidad)'!C247</f>
        <v>Suministro e instalacion de Punto agua fria de ½" PVC, incluye tuberia.</v>
      </c>
      <c r="D654" s="541" t="str">
        <f>'PRESUPUESTO OFICIAL (Entidad)'!D247</f>
        <v>UND</v>
      </c>
      <c r="E654" s="43"/>
      <c r="F654" s="43"/>
      <c r="G654" s="43"/>
      <c r="H654" s="43"/>
      <c r="I654" s="43"/>
      <c r="J654" s="43"/>
      <c r="K654" s="542">
        <f>ROUND(K655,2)</f>
        <v>1</v>
      </c>
      <c r="L654" s="43"/>
      <c r="M654" s="43"/>
    </row>
    <row r="655" spans="2:20" ht="17.25" customHeight="1" x14ac:dyDescent="0.3">
      <c r="B655" s="563"/>
      <c r="C655" s="276" t="s">
        <v>1212</v>
      </c>
      <c r="D655" s="156" t="s">
        <v>21</v>
      </c>
      <c r="E655" s="12"/>
      <c r="F655" s="12"/>
      <c r="G655" s="12"/>
      <c r="H655" s="27">
        <v>1</v>
      </c>
      <c r="I655" s="27"/>
      <c r="J655" s="27"/>
      <c r="K655" s="27">
        <f>H655</f>
        <v>1</v>
      </c>
      <c r="L655" s="12"/>
      <c r="M655" s="12"/>
    </row>
    <row r="656" spans="2:20" ht="17.25" customHeight="1" x14ac:dyDescent="0.3">
      <c r="B656" s="541" t="str">
        <f>'PRESUPUESTO OFICIAL (Entidad)'!B248</f>
        <v>F7,4</v>
      </c>
      <c r="C656" s="331" t="str">
        <f>'PRESUPUESTO OFICIAL (Entidad)'!C248</f>
        <v>Suministro e instalacion de Registro de paso  directo  ½" (bola).</v>
      </c>
      <c r="D656" s="541" t="str">
        <f>'PRESUPUESTO OFICIAL (Entidad)'!D248</f>
        <v>UND</v>
      </c>
      <c r="E656" s="43"/>
      <c r="F656" s="43"/>
      <c r="G656" s="43"/>
      <c r="H656" s="43"/>
      <c r="I656" s="43"/>
      <c r="J656" s="43"/>
      <c r="K656" s="542">
        <f>ROUND(K657,2)</f>
        <v>1</v>
      </c>
      <c r="L656" s="43"/>
      <c r="M656" s="43"/>
    </row>
    <row r="657" spans="2:13" ht="17.25" customHeight="1" x14ac:dyDescent="0.3">
      <c r="B657" s="563"/>
      <c r="C657" s="276" t="s">
        <v>1213</v>
      </c>
      <c r="D657" s="156" t="s">
        <v>21</v>
      </c>
      <c r="E657" s="12"/>
      <c r="F657" s="12"/>
      <c r="G657" s="12"/>
      <c r="H657" s="27">
        <v>1</v>
      </c>
      <c r="I657" s="27"/>
      <c r="J657" s="27"/>
      <c r="K657" s="27">
        <f>H657</f>
        <v>1</v>
      </c>
      <c r="L657" s="12"/>
      <c r="M657" s="12"/>
    </row>
    <row r="658" spans="2:13" ht="17.25" customHeight="1" x14ac:dyDescent="0.3">
      <c r="B658" s="541" t="str">
        <f>'PRESUPUESTO OFICIAL (Entidad)'!B249</f>
        <v>F7,5</v>
      </c>
      <c r="C658" s="331" t="str">
        <f>'PRESUPUESTO OFICIAL (Entidad)'!C249</f>
        <v>Suministro e instalacion de Acometida general de ½".</v>
      </c>
      <c r="D658" s="541" t="str">
        <f>'PRESUPUESTO OFICIAL (Entidad)'!D249</f>
        <v>UND</v>
      </c>
      <c r="E658" s="43"/>
      <c r="F658" s="43"/>
      <c r="G658" s="43"/>
      <c r="H658" s="43"/>
      <c r="I658" s="43"/>
      <c r="J658" s="43"/>
      <c r="K658" s="542">
        <f>ROUND(K659,2)</f>
        <v>1</v>
      </c>
      <c r="L658" s="43"/>
      <c r="M658" s="43"/>
    </row>
    <row r="659" spans="2:13" ht="17.25" customHeight="1" x14ac:dyDescent="0.3">
      <c r="B659" s="563"/>
      <c r="C659" s="276" t="s">
        <v>1214</v>
      </c>
      <c r="D659" s="156" t="s">
        <v>21</v>
      </c>
      <c r="E659" s="12"/>
      <c r="F659" s="12"/>
      <c r="G659" s="12"/>
      <c r="H659" s="27">
        <v>1</v>
      </c>
      <c r="I659" s="27"/>
      <c r="J659" s="27"/>
      <c r="K659" s="27">
        <f>H659</f>
        <v>1</v>
      </c>
      <c r="L659" s="12"/>
      <c r="M659" s="12"/>
    </row>
    <row r="660" spans="2:13" ht="17.25" customHeight="1" x14ac:dyDescent="0.3">
      <c r="B660" s="541" t="str">
        <f>'PRESUPUESTO OFICIAL (Entidad)'!B250</f>
        <v>F7,6</v>
      </c>
      <c r="C660" s="331" t="str">
        <f>'PRESUPUESTO OFICIAL (Entidad)'!C250</f>
        <v>Suministro e instalacion de salida llave terminal de  ½".</v>
      </c>
      <c r="D660" s="541" t="str">
        <f>'PRESUPUESTO OFICIAL (Entidad)'!D250</f>
        <v>UND</v>
      </c>
      <c r="E660" s="43"/>
      <c r="F660" s="43"/>
      <c r="G660" s="43"/>
      <c r="H660" s="43"/>
      <c r="I660" s="43"/>
      <c r="J660" s="43"/>
      <c r="K660" s="542">
        <f>ROUND(K661,2)</f>
        <v>1</v>
      </c>
      <c r="L660" s="43"/>
      <c r="M660" s="43"/>
    </row>
    <row r="661" spans="2:13" ht="17.25" customHeight="1" x14ac:dyDescent="0.3">
      <c r="B661" s="563"/>
      <c r="C661" s="276" t="s">
        <v>1215</v>
      </c>
      <c r="D661" s="156" t="s">
        <v>21</v>
      </c>
      <c r="E661" s="12"/>
      <c r="F661" s="12"/>
      <c r="G661" s="12"/>
      <c r="H661" s="27">
        <v>1</v>
      </c>
      <c r="I661" s="27"/>
      <c r="J661" s="27"/>
      <c r="K661" s="27">
        <f>H661</f>
        <v>1</v>
      </c>
      <c r="L661" s="12"/>
      <c r="M661" s="12"/>
    </row>
    <row r="662" spans="2:13" ht="17.25" customHeight="1" x14ac:dyDescent="0.3">
      <c r="B662" s="541" t="str">
        <f>'PRESUPUESTO OFICIAL (Entidad)'!B251</f>
        <v>F7,7</v>
      </c>
      <c r="C662" s="331" t="str">
        <f>'PRESUPUESTO OFICIAL (Entidad)'!C251</f>
        <v>Suministro e instalación de lavaplatos 60X40 .</v>
      </c>
      <c r="D662" s="541" t="str">
        <f>'PRESUPUESTO OFICIAL (Entidad)'!D251</f>
        <v>UND</v>
      </c>
      <c r="E662" s="43"/>
      <c r="F662" s="43"/>
      <c r="G662" s="43"/>
      <c r="H662" s="43"/>
      <c r="I662" s="43"/>
      <c r="J662" s="43"/>
      <c r="K662" s="542">
        <f>ROUND(K663,2)</f>
        <v>1</v>
      </c>
      <c r="L662" s="43"/>
      <c r="M662" s="43"/>
    </row>
    <row r="663" spans="2:13" ht="17.25" customHeight="1" x14ac:dyDescent="0.3">
      <c r="B663" s="563"/>
      <c r="C663" s="276" t="s">
        <v>1216</v>
      </c>
      <c r="D663" s="156" t="s">
        <v>21</v>
      </c>
      <c r="E663" s="12"/>
      <c r="F663" s="12"/>
      <c r="G663" s="12"/>
      <c r="H663" s="27">
        <v>1</v>
      </c>
      <c r="I663" s="27"/>
      <c r="J663" s="27"/>
      <c r="K663" s="27">
        <f>H663</f>
        <v>1</v>
      </c>
      <c r="L663" s="12"/>
      <c r="M663" s="12"/>
    </row>
    <row r="664" spans="2:13" ht="17.25" customHeight="1" x14ac:dyDescent="0.3">
      <c r="B664" s="561" t="str">
        <f>'PRESUPUESTO OFICIAL (Entidad)'!B252</f>
        <v>F8</v>
      </c>
      <c r="C664" s="562" t="str">
        <f>'PRESUPUESTO OFICIAL (Entidad)'!C252</f>
        <v>PAÑETES</v>
      </c>
      <c r="D664" s="561"/>
      <c r="E664" s="564"/>
      <c r="F664" s="564"/>
      <c r="G664" s="564"/>
      <c r="H664" s="564"/>
      <c r="I664" s="564"/>
      <c r="J664" s="564"/>
      <c r="K664" s="564"/>
      <c r="L664" s="564"/>
      <c r="M664" s="564"/>
    </row>
    <row r="665" spans="2:13" ht="17.25" customHeight="1" x14ac:dyDescent="0.3">
      <c r="B665" s="541" t="str">
        <f>'PRESUPUESTO OFICIAL (Entidad)'!B253</f>
        <v>F8,1</v>
      </c>
      <c r="C665" s="331" t="str">
        <f>'PRESUPUESTO OFICIAL (Entidad)'!C253</f>
        <v>Suministro y aplicación de Pañete muros  1:4 Incluye Filos, carteras y Dilataciones.</v>
      </c>
      <c r="D665" s="541" t="str">
        <f>'PRESUPUESTO OFICIAL (Entidad)'!D253</f>
        <v>M2</v>
      </c>
      <c r="E665" s="43"/>
      <c r="F665" s="43"/>
      <c r="G665" s="43"/>
      <c r="H665" s="43"/>
      <c r="I665" s="43"/>
      <c r="J665" s="43"/>
      <c r="K665" s="55">
        <f>ROUND(SUM(K666:K668),2)</f>
        <v>133.34</v>
      </c>
      <c r="L665" s="43"/>
      <c r="M665" s="43"/>
    </row>
    <row r="666" spans="2:13" ht="17.25" customHeight="1" x14ac:dyDescent="0.3">
      <c r="B666" s="563"/>
      <c r="C666" s="276" t="s">
        <v>1243</v>
      </c>
      <c r="D666" s="156" t="s">
        <v>8</v>
      </c>
      <c r="E666" s="27">
        <v>7.35</v>
      </c>
      <c r="F666" s="27">
        <v>3.05</v>
      </c>
      <c r="G666" s="27"/>
      <c r="H666" s="27">
        <v>2</v>
      </c>
      <c r="I666" s="27">
        <f>(2.44)+(1.7)</f>
        <v>4.1399999999999997</v>
      </c>
      <c r="J666" s="27"/>
      <c r="K666" s="27">
        <f>E666*F666*H666-I666</f>
        <v>40.694999999999993</v>
      </c>
      <c r="L666" s="12"/>
      <c r="M666" s="12"/>
    </row>
    <row r="667" spans="2:13" ht="17.25" customHeight="1" x14ac:dyDescent="0.3">
      <c r="B667" s="563"/>
      <c r="C667" s="276" t="s">
        <v>1244</v>
      </c>
      <c r="D667" s="156" t="s">
        <v>8</v>
      </c>
      <c r="E667" s="27">
        <v>17.63</v>
      </c>
      <c r="F667" s="27"/>
      <c r="G667" s="27"/>
      <c r="H667" s="27">
        <v>3</v>
      </c>
      <c r="I667" s="27"/>
      <c r="J667" s="27"/>
      <c r="K667" s="27">
        <f>E667*H667</f>
        <v>52.89</v>
      </c>
      <c r="L667" s="12"/>
      <c r="M667" s="12"/>
    </row>
    <row r="668" spans="2:13" ht="17.25" customHeight="1" x14ac:dyDescent="0.3">
      <c r="B668" s="563"/>
      <c r="C668" s="276" t="s">
        <v>1245</v>
      </c>
      <c r="D668" s="156" t="s">
        <v>8</v>
      </c>
      <c r="E668" s="27">
        <v>7.35</v>
      </c>
      <c r="F668" s="27">
        <v>2.82</v>
      </c>
      <c r="G668" s="27"/>
      <c r="H668" s="27">
        <v>2</v>
      </c>
      <c r="I668" s="27">
        <v>1.7</v>
      </c>
      <c r="J668" s="27"/>
      <c r="K668" s="27">
        <f>E668*F668*H668-I668</f>
        <v>39.753999999999991</v>
      </c>
      <c r="L668" s="12"/>
      <c r="M668" s="12"/>
    </row>
    <row r="669" spans="2:13" ht="17.25" customHeight="1" x14ac:dyDescent="0.3">
      <c r="B669" s="561" t="str">
        <f>'PRESUPUESTO OFICIAL (Entidad)'!B254</f>
        <v>F9</v>
      </c>
      <c r="C669" s="562" t="str">
        <f>'PRESUPUESTO OFICIAL (Entidad)'!C254</f>
        <v>PISOS Y ENCHAPE</v>
      </c>
      <c r="D669" s="561"/>
      <c r="E669" s="564"/>
      <c r="F669" s="564"/>
      <c r="G669" s="564"/>
      <c r="H669" s="564"/>
      <c r="I669" s="564"/>
      <c r="J669" s="564"/>
      <c r="K669" s="564"/>
      <c r="L669" s="564"/>
      <c r="M669" s="564"/>
    </row>
    <row r="670" spans="2:13" ht="17.25" customHeight="1" x14ac:dyDescent="0.3">
      <c r="B670" s="541" t="str">
        <f>'PRESUPUESTO OFICIAL (Entidad)'!B255</f>
        <v>F9,1</v>
      </c>
      <c r="C670" s="331" t="str">
        <f>'PRESUPUESTO OFICIAL (Entidad)'!C255</f>
        <v>Construccion de Placa en concreto de 3000 PSI e=0,10 m.</v>
      </c>
      <c r="D670" s="541" t="str">
        <f>'PRESUPUESTO OFICIAL (Entidad)'!D255</f>
        <v>M2</v>
      </c>
      <c r="E670" s="43"/>
      <c r="F670" s="43"/>
      <c r="G670" s="43"/>
      <c r="H670" s="43"/>
      <c r="I670" s="43"/>
      <c r="J670" s="43"/>
      <c r="K670" s="542">
        <f>ROUND(K671,2)</f>
        <v>43.01</v>
      </c>
      <c r="L670" s="43"/>
      <c r="M670" s="43"/>
    </row>
    <row r="671" spans="2:13" ht="17.25" customHeight="1" x14ac:dyDescent="0.3">
      <c r="B671" s="156"/>
      <c r="C671" s="276" t="s">
        <v>1217</v>
      </c>
      <c r="D671" s="156" t="s">
        <v>8</v>
      </c>
      <c r="E671" s="27">
        <v>7.05</v>
      </c>
      <c r="F671" s="27">
        <v>6.1</v>
      </c>
      <c r="G671" s="27"/>
      <c r="H671" s="27"/>
      <c r="I671" s="27"/>
      <c r="J671" s="27"/>
      <c r="K671" s="514">
        <f>E671*F671</f>
        <v>43.004999999999995</v>
      </c>
      <c r="L671" s="27"/>
      <c r="M671" s="27"/>
    </row>
    <row r="672" spans="2:13" ht="17.25" customHeight="1" x14ac:dyDescent="0.3">
      <c r="B672" s="541" t="str">
        <f>'PRESUPUESTO OFICIAL (Entidad)'!B256</f>
        <v>F9,2</v>
      </c>
      <c r="C672" s="331" t="str">
        <f>'PRESUPUESTO OFICIAL (Entidad)'!C256</f>
        <v>Alistado de piso en mortero e= 0,05m.</v>
      </c>
      <c r="D672" s="541" t="str">
        <f>'PRESUPUESTO OFICIAL (Entidad)'!D256</f>
        <v>M2</v>
      </c>
      <c r="E672" s="43"/>
      <c r="F672" s="43"/>
      <c r="G672" s="43"/>
      <c r="H672" s="43"/>
      <c r="I672" s="43"/>
      <c r="J672" s="43"/>
      <c r="K672" s="55">
        <f>ROUND(SUM(K673:K674),2)</f>
        <v>50.36</v>
      </c>
      <c r="L672" s="43"/>
      <c r="M672" s="43"/>
    </row>
    <row r="673" spans="2:13" ht="17.25" customHeight="1" x14ac:dyDescent="0.3">
      <c r="B673" s="563"/>
      <c r="C673" s="276" t="s">
        <v>1227</v>
      </c>
      <c r="D673" s="156" t="s">
        <v>8</v>
      </c>
      <c r="E673" s="27">
        <v>7.05</v>
      </c>
      <c r="F673" s="27">
        <v>6.1</v>
      </c>
      <c r="G673" s="27"/>
      <c r="H673" s="27"/>
      <c r="I673" s="27"/>
      <c r="J673" s="27"/>
      <c r="K673" s="27">
        <f>E673*F673</f>
        <v>43.004999999999995</v>
      </c>
      <c r="L673" s="12"/>
      <c r="M673" s="12"/>
    </row>
    <row r="674" spans="2:13" ht="17.25" customHeight="1" x14ac:dyDescent="0.3">
      <c r="B674" s="563"/>
      <c r="C674" s="276" t="s">
        <v>1228</v>
      </c>
      <c r="D674" s="156" t="s">
        <v>8</v>
      </c>
      <c r="E674" s="27">
        <v>7.35</v>
      </c>
      <c r="F674" s="27">
        <v>1</v>
      </c>
      <c r="G674" s="27"/>
      <c r="H674" s="27"/>
      <c r="I674" s="27"/>
      <c r="J674" s="27"/>
      <c r="K674" s="27">
        <f>E674*F674</f>
        <v>7.35</v>
      </c>
      <c r="L674" s="12"/>
      <c r="M674" s="12"/>
    </row>
    <row r="675" spans="2:13" ht="17.25" customHeight="1" x14ac:dyDescent="0.3">
      <c r="B675" s="541" t="str">
        <f>'PRESUPUESTO OFICIAL (Entidad)'!B257</f>
        <v>F9,3</v>
      </c>
      <c r="C675" s="331" t="str">
        <f>'PRESUPUESTO OFICIAL (Entidad)'!C257</f>
        <v>Suministro e instalacion de Piso en ceramica t-5</v>
      </c>
      <c r="D675" s="541" t="str">
        <f>'PRESUPUESTO OFICIAL (Entidad)'!D257</f>
        <v>M2</v>
      </c>
      <c r="E675" s="43"/>
      <c r="F675" s="43"/>
      <c r="G675" s="43"/>
      <c r="H675" s="43"/>
      <c r="I675" s="43"/>
      <c r="J675" s="43"/>
      <c r="K675" s="55">
        <f>ROUND(SUM(K676:K677),2)</f>
        <v>50.36</v>
      </c>
      <c r="L675" s="43"/>
      <c r="M675" s="43"/>
    </row>
    <row r="676" spans="2:13" ht="17.25" customHeight="1" x14ac:dyDescent="0.3">
      <c r="B676" s="563"/>
      <c r="C676" s="276" t="s">
        <v>1229</v>
      </c>
      <c r="D676" s="156" t="s">
        <v>8</v>
      </c>
      <c r="E676" s="27">
        <v>7.05</v>
      </c>
      <c r="F676" s="27">
        <v>6.1</v>
      </c>
      <c r="G676" s="27"/>
      <c r="H676" s="27"/>
      <c r="I676" s="27"/>
      <c r="J676" s="27"/>
      <c r="K676" s="27">
        <f>E676*F676</f>
        <v>43.004999999999995</v>
      </c>
      <c r="L676" s="12"/>
      <c r="M676" s="12"/>
    </row>
    <row r="677" spans="2:13" ht="17.25" customHeight="1" x14ac:dyDescent="0.3">
      <c r="B677" s="563"/>
      <c r="C677" s="276" t="s">
        <v>1230</v>
      </c>
      <c r="D677" s="156" t="s">
        <v>8</v>
      </c>
      <c r="E677" s="27">
        <v>7.35</v>
      </c>
      <c r="F677" s="27">
        <v>1</v>
      </c>
      <c r="G677" s="27"/>
      <c r="H677" s="27"/>
      <c r="I677" s="27"/>
      <c r="J677" s="27"/>
      <c r="K677" s="27">
        <f>E677*F677</f>
        <v>7.35</v>
      </c>
      <c r="L677" s="12"/>
      <c r="M677" s="12"/>
    </row>
    <row r="678" spans="2:13" ht="17.25" customHeight="1" x14ac:dyDescent="0.3">
      <c r="B678" s="541" t="str">
        <f>'PRESUPUESTO OFICIAL (Entidad)'!B258</f>
        <v>F9,4</v>
      </c>
      <c r="C678" s="331" t="str">
        <f>'PRESUPUESTO OFICIAL (Entidad)'!C258</f>
        <v>Suministro e instalacion de Guardaescoba en cerámica   T-5.</v>
      </c>
      <c r="D678" s="541" t="str">
        <f>'PRESUPUESTO OFICIAL (Entidad)'!D258</f>
        <v>ML</v>
      </c>
      <c r="E678" s="43"/>
      <c r="F678" s="43"/>
      <c r="G678" s="43"/>
      <c r="H678" s="43"/>
      <c r="I678" s="43"/>
      <c r="J678" s="43"/>
      <c r="K678" s="55">
        <f>ROUND(SUM(K679:K680),2)</f>
        <v>31.65</v>
      </c>
      <c r="L678" s="43"/>
      <c r="M678" s="43"/>
    </row>
    <row r="679" spans="2:13" ht="17.25" customHeight="1" x14ac:dyDescent="0.3">
      <c r="B679" s="563"/>
      <c r="C679" s="276" t="s">
        <v>1231</v>
      </c>
      <c r="D679" s="156" t="s">
        <v>19</v>
      </c>
      <c r="E679" s="27">
        <v>25.3</v>
      </c>
      <c r="F679" s="27"/>
      <c r="G679" s="27"/>
      <c r="H679" s="27"/>
      <c r="I679" s="27"/>
      <c r="J679" s="27"/>
      <c r="K679" s="27">
        <f>E679</f>
        <v>25.3</v>
      </c>
      <c r="L679" s="12"/>
      <c r="M679" s="12"/>
    </row>
    <row r="680" spans="2:13" ht="17.25" customHeight="1" x14ac:dyDescent="0.3">
      <c r="B680" s="563"/>
      <c r="C680" s="276" t="s">
        <v>1232</v>
      </c>
      <c r="D680" s="156" t="s">
        <v>19</v>
      </c>
      <c r="E680" s="27">
        <f>6.2+0.15</f>
        <v>6.3500000000000005</v>
      </c>
      <c r="F680" s="27"/>
      <c r="G680" s="27"/>
      <c r="H680" s="27"/>
      <c r="I680" s="27"/>
      <c r="J680" s="27"/>
      <c r="K680" s="27">
        <f>E680</f>
        <v>6.3500000000000005</v>
      </c>
      <c r="L680" s="12"/>
      <c r="M680" s="12"/>
    </row>
    <row r="681" spans="2:13" ht="17.25" customHeight="1" x14ac:dyDescent="0.3">
      <c r="B681" s="561" t="str">
        <f>'PRESUPUESTO OFICIAL (Entidad)'!B259</f>
        <v>F10</v>
      </c>
      <c r="C681" s="562" t="str">
        <f>'PRESUPUESTO OFICIAL (Entidad)'!C259</f>
        <v>CARPINTERÍA METÁLICA</v>
      </c>
      <c r="D681" s="561"/>
      <c r="E681" s="564"/>
      <c r="F681" s="564"/>
      <c r="G681" s="564"/>
      <c r="H681" s="564"/>
      <c r="I681" s="564"/>
      <c r="J681" s="564"/>
      <c r="K681" s="564"/>
      <c r="L681" s="564"/>
      <c r="M681" s="564"/>
    </row>
    <row r="682" spans="2:13" ht="30" customHeight="1" x14ac:dyDescent="0.3">
      <c r="B682" s="541" t="str">
        <f>'PRESUPUESTO OFICIAL (Entidad)'!B260</f>
        <v>F10,1</v>
      </c>
      <c r="C682" s="331" t="str">
        <f>'PRESUPUESTO OFICIAL (Entidad)'!C260</f>
        <v xml:space="preserve">Suministro e instalación ventana en lamina C.20 con vidrio 4mm Inc. anticorrosivo + pintura y todo lo necesario para su correcto funcionamiento. </v>
      </c>
      <c r="D682" s="541" t="str">
        <f>'PRESUPUESTO OFICIAL (Entidad)'!D260</f>
        <v>M2</v>
      </c>
      <c r="E682" s="43"/>
      <c r="F682" s="43"/>
      <c r="G682" s="43"/>
      <c r="H682" s="43"/>
      <c r="I682" s="43"/>
      <c r="J682" s="43"/>
      <c r="K682" s="55">
        <f>ROUND(SUM(K683:K684),2)</f>
        <v>3.84</v>
      </c>
      <c r="L682" s="43"/>
      <c r="M682" s="43"/>
    </row>
    <row r="683" spans="2:13" ht="17.25" customHeight="1" x14ac:dyDescent="0.3">
      <c r="B683" s="563"/>
      <c r="C683" s="276" t="s">
        <v>1218</v>
      </c>
      <c r="D683" s="156" t="s">
        <v>8</v>
      </c>
      <c r="E683" s="27">
        <v>1.7</v>
      </c>
      <c r="F683" s="27">
        <v>1</v>
      </c>
      <c r="G683" s="27"/>
      <c r="H683" s="27">
        <v>2</v>
      </c>
      <c r="I683" s="27"/>
      <c r="J683" s="27"/>
      <c r="K683" s="27">
        <f>E683*F683*H683</f>
        <v>3.4</v>
      </c>
      <c r="L683" s="12"/>
      <c r="M683" s="12"/>
    </row>
    <row r="684" spans="2:13" ht="17.25" customHeight="1" x14ac:dyDescent="0.3">
      <c r="B684" s="563"/>
      <c r="C684" s="276"/>
      <c r="D684" s="156" t="s">
        <v>8</v>
      </c>
      <c r="E684" s="27">
        <v>0.44</v>
      </c>
      <c r="F684" s="27">
        <v>1</v>
      </c>
      <c r="G684" s="27"/>
      <c r="H684" s="27"/>
      <c r="I684" s="27"/>
      <c r="J684" s="27"/>
      <c r="K684" s="27">
        <f>E684*F684</f>
        <v>0.44</v>
      </c>
      <c r="L684" s="12"/>
      <c r="M684" s="12"/>
    </row>
    <row r="685" spans="2:13" ht="29.25" customHeight="1" x14ac:dyDescent="0.3">
      <c r="B685" s="541" t="str">
        <f>'PRESUPUESTO OFICIAL (Entidad)'!B261</f>
        <v>F10,2</v>
      </c>
      <c r="C685" s="331" t="str">
        <f>'PRESUPUESTO OFICIAL (Entidad)'!C261</f>
        <v>Suministro e instalación de Marco y puerta metálicos lamina C. R. cal. 20, de 1,00x2.00 m. Incluye anticorrosivo y pintura.</v>
      </c>
      <c r="D685" s="541" t="str">
        <f>'PRESUPUESTO OFICIAL (Entidad)'!D261</f>
        <v>UND</v>
      </c>
      <c r="E685" s="43"/>
      <c r="F685" s="43"/>
      <c r="G685" s="43"/>
      <c r="H685" s="43"/>
      <c r="I685" s="43"/>
      <c r="J685" s="43"/>
      <c r="K685" s="542">
        <f>ROUND(K686,2)</f>
        <v>1</v>
      </c>
      <c r="L685" s="43"/>
      <c r="M685" s="43"/>
    </row>
    <row r="686" spans="2:13" ht="17.25" customHeight="1" x14ac:dyDescent="0.3">
      <c r="B686" s="563"/>
      <c r="C686" s="276" t="s">
        <v>1219</v>
      </c>
      <c r="D686" s="156" t="s">
        <v>21</v>
      </c>
      <c r="E686" s="12"/>
      <c r="F686" s="12"/>
      <c r="G686" s="12"/>
      <c r="H686" s="27">
        <v>1</v>
      </c>
      <c r="I686" s="27"/>
      <c r="J686" s="27"/>
      <c r="K686" s="27">
        <f>H686</f>
        <v>1</v>
      </c>
      <c r="L686" s="12"/>
      <c r="M686" s="12"/>
    </row>
    <row r="687" spans="2:13" ht="17.25" customHeight="1" x14ac:dyDescent="0.3">
      <c r="B687" s="561" t="str">
        <f>'PRESUPUESTO OFICIAL (Entidad)'!B262</f>
        <v>F11</v>
      </c>
      <c r="C687" s="562" t="str">
        <f>'PRESUPUESTO OFICIAL (Entidad)'!C262</f>
        <v>PINTURA GENERAL Y ACABADOS</v>
      </c>
      <c r="D687" s="561"/>
      <c r="E687" s="564"/>
      <c r="F687" s="564"/>
      <c r="G687" s="564"/>
      <c r="H687" s="564"/>
      <c r="I687" s="564"/>
      <c r="J687" s="564"/>
      <c r="K687" s="564"/>
      <c r="L687" s="564"/>
      <c r="M687" s="564"/>
    </row>
    <row r="688" spans="2:13" ht="30.75" customHeight="1" x14ac:dyDescent="0.3">
      <c r="B688" s="541" t="str">
        <f>'PRESUPUESTO OFICIAL (Entidad)'!B263</f>
        <v>F11,1</v>
      </c>
      <c r="C688" s="331" t="str">
        <f>'PRESUPUESTO OFICIAL (Entidad)'!C263</f>
        <v>Suministro y aplicación de pintura de Correa en perfil metálica .04x.08 mts Cal. 18. Existente (Incluye lijada de perfil)</v>
      </c>
      <c r="D688" s="541" t="str">
        <f>'PRESUPUESTO OFICIAL (Entidad)'!D263</f>
        <v>ML</v>
      </c>
      <c r="E688" s="43"/>
      <c r="F688" s="43"/>
      <c r="G688" s="43"/>
      <c r="H688" s="43"/>
      <c r="I688" s="43"/>
      <c r="J688" s="43"/>
      <c r="K688" s="542">
        <f>ROUND(K689,2)</f>
        <v>58.8</v>
      </c>
      <c r="L688" s="43"/>
      <c r="M688" s="43"/>
    </row>
    <row r="689" spans="2:13" ht="17.25" customHeight="1" x14ac:dyDescent="0.3">
      <c r="B689" s="563"/>
      <c r="C689" s="276" t="s">
        <v>1220</v>
      </c>
      <c r="D689" s="156" t="s">
        <v>19</v>
      </c>
      <c r="E689" s="27">
        <v>7.35</v>
      </c>
      <c r="F689" s="27"/>
      <c r="G689" s="27"/>
      <c r="H689" s="27">
        <v>8</v>
      </c>
      <c r="I689" s="27"/>
      <c r="J689" s="27"/>
      <c r="K689" s="27">
        <f>E689*H689</f>
        <v>58.8</v>
      </c>
      <c r="L689" s="12"/>
      <c r="M689" s="12"/>
    </row>
    <row r="690" spans="2:13" ht="17.25" customHeight="1" x14ac:dyDescent="0.3">
      <c r="B690" s="541" t="str">
        <f>'PRESUPUESTO OFICIAL (Entidad)'!B264</f>
        <v>F11,2</v>
      </c>
      <c r="C690" s="331" t="str">
        <f>'PRESUPUESTO OFICIAL (Entidad)'!C264</f>
        <v>Suministro y aplicación de pintura de cerchal metálica existente. (Incluye lijada)</v>
      </c>
      <c r="D690" s="541" t="str">
        <f>'PRESUPUESTO OFICIAL (Entidad)'!D264</f>
        <v>ML</v>
      </c>
      <c r="E690" s="43"/>
      <c r="F690" s="43"/>
      <c r="G690" s="43"/>
      <c r="H690" s="43"/>
      <c r="I690" s="43"/>
      <c r="J690" s="43"/>
      <c r="K690" s="542">
        <f>ROUND(K691,2)</f>
        <v>7.77</v>
      </c>
      <c r="L690" s="43"/>
      <c r="M690" s="43"/>
    </row>
    <row r="691" spans="2:13" ht="17.25" customHeight="1" x14ac:dyDescent="0.3">
      <c r="B691" s="563"/>
      <c r="C691" s="276" t="s">
        <v>1221</v>
      </c>
      <c r="D691" s="156" t="s">
        <v>19</v>
      </c>
      <c r="E691" s="27">
        <v>7.4</v>
      </c>
      <c r="F691" s="27"/>
      <c r="G691" s="27"/>
      <c r="H691" s="27">
        <v>0.05</v>
      </c>
      <c r="I691" s="27"/>
      <c r="J691" s="27"/>
      <c r="K691" s="27">
        <f>E691*H691+E691</f>
        <v>7.7700000000000005</v>
      </c>
      <c r="L691" s="12"/>
      <c r="M691" s="12"/>
    </row>
    <row r="692" spans="2:13" ht="17.25" customHeight="1" x14ac:dyDescent="0.3">
      <c r="B692" s="541" t="str">
        <f>'PRESUPUESTO OFICIAL (Entidad)'!B265</f>
        <v>F11,3</v>
      </c>
      <c r="C692" s="331" t="str">
        <f>'PRESUPUESTO OFICIAL (Entidad)'!C265</f>
        <v>Suministro y aplicación de Estuco y pintura vinilo tipo1 tres manos sobre muros.</v>
      </c>
      <c r="D692" s="541" t="str">
        <f>'PRESUPUESTO OFICIAL (Entidad)'!D265</f>
        <v>M2</v>
      </c>
      <c r="E692" s="43"/>
      <c r="F692" s="43"/>
      <c r="G692" s="43"/>
      <c r="H692" s="43"/>
      <c r="I692" s="43"/>
      <c r="J692" s="43"/>
      <c r="K692" s="55">
        <f>ROUND(SUM(K693:K695),2)</f>
        <v>72.56</v>
      </c>
      <c r="L692" s="43"/>
      <c r="M692" s="43"/>
    </row>
    <row r="693" spans="2:13" ht="17.25" customHeight="1" x14ac:dyDescent="0.3">
      <c r="B693" s="563"/>
      <c r="C693" s="276" t="s">
        <v>1246</v>
      </c>
      <c r="D693" s="156" t="s">
        <v>8</v>
      </c>
      <c r="E693" s="27">
        <v>7.35</v>
      </c>
      <c r="F693" s="27">
        <v>3.05</v>
      </c>
      <c r="G693" s="27"/>
      <c r="H693" s="27">
        <v>1</v>
      </c>
      <c r="I693" s="27">
        <f>(2.44)+(1.7)</f>
        <v>4.1399999999999997</v>
      </c>
      <c r="J693" s="27"/>
      <c r="K693" s="27">
        <f>E693*F693*H693-I693</f>
        <v>18.277499999999996</v>
      </c>
      <c r="L693" s="12"/>
      <c r="M693" s="12"/>
    </row>
    <row r="694" spans="2:13" ht="17.25" customHeight="1" x14ac:dyDescent="0.3">
      <c r="B694" s="563"/>
      <c r="C694" s="276" t="s">
        <v>1247</v>
      </c>
      <c r="D694" s="156" t="s">
        <v>8</v>
      </c>
      <c r="E694" s="27">
        <v>17.63</v>
      </c>
      <c r="F694" s="27"/>
      <c r="G694" s="27"/>
      <c r="H694" s="27">
        <v>2</v>
      </c>
      <c r="I694" s="27"/>
      <c r="J694" s="27"/>
      <c r="K694" s="27">
        <f>E694*H694</f>
        <v>35.26</v>
      </c>
      <c r="L694" s="12"/>
      <c r="M694" s="12"/>
    </row>
    <row r="695" spans="2:13" ht="17.25" customHeight="1" x14ac:dyDescent="0.3">
      <c r="B695" s="563"/>
      <c r="C695" s="276" t="s">
        <v>1248</v>
      </c>
      <c r="D695" s="156" t="s">
        <v>8</v>
      </c>
      <c r="E695" s="27">
        <v>7.35</v>
      </c>
      <c r="F695" s="27">
        <v>2.82</v>
      </c>
      <c r="G695" s="27"/>
      <c r="H695" s="27">
        <v>1</v>
      </c>
      <c r="I695" s="27">
        <v>1.7</v>
      </c>
      <c r="J695" s="27"/>
      <c r="K695" s="27">
        <f>E695*F695*H695-I695</f>
        <v>19.026999999999997</v>
      </c>
      <c r="L695" s="12"/>
      <c r="M695" s="12"/>
    </row>
    <row r="696" spans="2:13" ht="17.25" customHeight="1" x14ac:dyDescent="0.3">
      <c r="B696" s="541" t="str">
        <f>'PRESUPUESTO OFICIAL (Entidad)'!B266</f>
        <v>F11,4</v>
      </c>
      <c r="C696" s="331" t="str">
        <f>'PRESUPUESTO OFICIAL (Entidad)'!C266</f>
        <v>Suministrar y aplicar Esgrafiado en Graniplast.</v>
      </c>
      <c r="D696" s="541" t="str">
        <f>'PRESUPUESTO OFICIAL (Entidad)'!D266</f>
        <v>M2</v>
      </c>
      <c r="E696" s="43"/>
      <c r="F696" s="43"/>
      <c r="G696" s="43"/>
      <c r="H696" s="43"/>
      <c r="I696" s="43"/>
      <c r="J696" s="43"/>
      <c r="K696" s="55">
        <f>ROUND(SUM(K697:K699),2)</f>
        <v>54.93</v>
      </c>
      <c r="L696" s="43"/>
      <c r="M696" s="43"/>
    </row>
    <row r="697" spans="2:13" ht="17.25" customHeight="1" x14ac:dyDescent="0.3">
      <c r="B697" s="563"/>
      <c r="C697" s="276" t="s">
        <v>1249</v>
      </c>
      <c r="D697" s="156" t="s">
        <v>8</v>
      </c>
      <c r="E697" s="27">
        <v>7.35</v>
      </c>
      <c r="F697" s="27">
        <v>3.05</v>
      </c>
      <c r="G697" s="27"/>
      <c r="H697" s="27">
        <v>1</v>
      </c>
      <c r="I697" s="27">
        <f>(2.44)+(1.7)</f>
        <v>4.1399999999999997</v>
      </c>
      <c r="J697" s="27"/>
      <c r="K697" s="27">
        <f>E697*F697*H697-I697</f>
        <v>18.277499999999996</v>
      </c>
      <c r="L697" s="12"/>
      <c r="M697" s="12"/>
    </row>
    <row r="698" spans="2:13" ht="17.25" customHeight="1" x14ac:dyDescent="0.3">
      <c r="B698" s="563"/>
      <c r="C698" s="276" t="s">
        <v>1250</v>
      </c>
      <c r="D698" s="156" t="s">
        <v>8</v>
      </c>
      <c r="E698" s="27">
        <v>17.63</v>
      </c>
      <c r="F698" s="27"/>
      <c r="G698" s="27"/>
      <c r="H698" s="27">
        <v>1</v>
      </c>
      <c r="I698" s="27"/>
      <c r="J698" s="27"/>
      <c r="K698" s="27">
        <f>E698*H698</f>
        <v>17.63</v>
      </c>
      <c r="L698" s="12"/>
      <c r="M698" s="12"/>
    </row>
    <row r="699" spans="2:13" ht="17.25" customHeight="1" x14ac:dyDescent="0.3">
      <c r="B699" s="563"/>
      <c r="C699" s="276" t="s">
        <v>1251</v>
      </c>
      <c r="D699" s="156" t="s">
        <v>8</v>
      </c>
      <c r="E699" s="27">
        <v>7.35</v>
      </c>
      <c r="F699" s="27">
        <v>2.82</v>
      </c>
      <c r="G699" s="27"/>
      <c r="H699" s="27">
        <v>1</v>
      </c>
      <c r="I699" s="27">
        <v>1.7</v>
      </c>
      <c r="J699" s="27"/>
      <c r="K699" s="27">
        <f>E699*F699*H699-I699</f>
        <v>19.026999999999997</v>
      </c>
      <c r="L699" s="12"/>
      <c r="M699" s="12"/>
    </row>
    <row r="700" spans="2:13" ht="17.25" customHeight="1" x14ac:dyDescent="0.3">
      <c r="B700" s="561" t="str">
        <f>'PRESUPUESTO OFICIAL (Entidad)'!B267</f>
        <v>F12</v>
      </c>
      <c r="C700" s="562" t="str">
        <f>'PRESUPUESTO OFICIAL (Entidad)'!C267</f>
        <v>EXTERIORES Y OBRAS COMPLEMENTARIAS</v>
      </c>
      <c r="D700" s="561"/>
      <c r="E700" s="564"/>
      <c r="F700" s="564"/>
      <c r="G700" s="564"/>
      <c r="H700" s="564"/>
      <c r="I700" s="564"/>
      <c r="J700" s="564"/>
      <c r="K700" s="564"/>
      <c r="L700" s="564"/>
      <c r="M700" s="564"/>
    </row>
    <row r="701" spans="2:13" ht="17.25" customHeight="1" x14ac:dyDescent="0.3">
      <c r="B701" s="541" t="str">
        <f>'PRESUPUESTO OFICIAL (Entidad)'!B268</f>
        <v>F12,1</v>
      </c>
      <c r="C701" s="331" t="str">
        <f>'PRESUPUESTO OFICIAL (Entidad)'!C268</f>
        <v>Placa de piso para exteriores en concreto 2500 P.S.I., barrido y dilatado e=0.10 m.</v>
      </c>
      <c r="D701" s="541" t="str">
        <f>'PRESUPUESTO OFICIAL (Entidad)'!D268</f>
        <v>M2</v>
      </c>
      <c r="E701" s="43"/>
      <c r="F701" s="43"/>
      <c r="G701" s="43"/>
      <c r="H701" s="43"/>
      <c r="I701" s="43"/>
      <c r="J701" s="43"/>
      <c r="K701" s="542">
        <f>ROUND(K702,2)</f>
        <v>7.35</v>
      </c>
      <c r="L701" s="43"/>
      <c r="M701" s="43"/>
    </row>
    <row r="702" spans="2:13" ht="17.25" customHeight="1" x14ac:dyDescent="0.3">
      <c r="B702" s="563"/>
      <c r="C702" s="276" t="s">
        <v>1222</v>
      </c>
      <c r="D702" s="156" t="s">
        <v>8</v>
      </c>
      <c r="E702" s="27">
        <v>7.35</v>
      </c>
      <c r="F702" s="27">
        <v>1</v>
      </c>
      <c r="G702" s="27"/>
      <c r="H702" s="27"/>
      <c r="I702" s="27"/>
      <c r="J702" s="27"/>
      <c r="K702" s="27">
        <f>E702*F702</f>
        <v>7.35</v>
      </c>
      <c r="L702" s="12"/>
      <c r="M702" s="12"/>
    </row>
    <row r="703" spans="2:13" ht="17.25" customHeight="1" x14ac:dyDescent="0.3">
      <c r="B703" s="561" t="str">
        <f>'PRESUPUESTO OFICIAL (Entidad)'!B269</f>
        <v>F13</v>
      </c>
      <c r="C703" s="562" t="str">
        <f>'PRESUPUESTO OFICIAL (Entidad)'!C269</f>
        <v>LIMPIEZA GENERAL</v>
      </c>
      <c r="D703" s="561"/>
      <c r="E703" s="564"/>
      <c r="F703" s="564"/>
      <c r="G703" s="564"/>
      <c r="H703" s="564"/>
      <c r="I703" s="564"/>
      <c r="J703" s="564"/>
      <c r="K703" s="564"/>
      <c r="L703" s="564"/>
      <c r="M703" s="564"/>
    </row>
    <row r="704" spans="2:13" ht="17.25" customHeight="1" x14ac:dyDescent="0.3">
      <c r="B704" s="541" t="str">
        <f>'PRESUPUESTO OFICIAL (Entidad)'!B270</f>
        <v>F13,1</v>
      </c>
      <c r="C704" s="331" t="str">
        <f>'PRESUPUESTO OFICIAL (Entidad)'!C270</f>
        <v>Aseo final de obra.</v>
      </c>
      <c r="D704" s="541" t="str">
        <f>'PRESUPUESTO OFICIAL (Entidad)'!D270</f>
        <v>M2</v>
      </c>
      <c r="E704" s="43"/>
      <c r="F704" s="43"/>
      <c r="G704" s="43"/>
      <c r="H704" s="43"/>
      <c r="I704" s="43"/>
      <c r="J704" s="43"/>
      <c r="K704" s="542">
        <f>ROUND(K705,2)</f>
        <v>54.39</v>
      </c>
      <c r="L704" s="43"/>
      <c r="M704" s="43"/>
    </row>
    <row r="705" spans="2:13" ht="17.25" customHeight="1" x14ac:dyDescent="0.3">
      <c r="B705" s="563"/>
      <c r="C705" s="276" t="s">
        <v>640</v>
      </c>
      <c r="D705" s="156" t="s">
        <v>8</v>
      </c>
      <c r="E705" s="27">
        <v>7.35</v>
      </c>
      <c r="F705" s="27">
        <v>7.4</v>
      </c>
      <c r="G705" s="27"/>
      <c r="H705" s="27"/>
      <c r="I705" s="27"/>
      <c r="J705" s="27"/>
      <c r="K705" s="27">
        <f>E705*F705</f>
        <v>54.39</v>
      </c>
      <c r="L705" s="12"/>
      <c r="M705" s="12"/>
    </row>
    <row r="706" spans="2:13" ht="17.25" customHeight="1" x14ac:dyDescent="0.3">
      <c r="B706" s="539"/>
      <c r="C706" s="539"/>
      <c r="D706" s="539"/>
      <c r="E706" s="539"/>
      <c r="F706" s="539"/>
      <c r="G706" s="539"/>
      <c r="H706" s="539"/>
      <c r="I706" s="539"/>
      <c r="J706" s="539"/>
      <c r="K706" s="539"/>
      <c r="L706" s="539"/>
      <c r="M706" s="539"/>
    </row>
    <row r="707" spans="2:13" ht="17.25" customHeight="1" x14ac:dyDescent="0.3">
      <c r="B707" s="539"/>
      <c r="C707" s="539"/>
      <c r="D707" s="539"/>
      <c r="E707" s="539"/>
      <c r="F707" s="539"/>
      <c r="G707" s="539"/>
      <c r="H707" s="539"/>
      <c r="I707" s="539"/>
      <c r="J707" s="539"/>
      <c r="K707" s="539"/>
      <c r="L707" s="539"/>
      <c r="M707" s="539"/>
    </row>
    <row r="708" spans="2:13" ht="17.25" customHeight="1" x14ac:dyDescent="0.3"/>
    <row r="709" spans="2:13" ht="17.25" customHeight="1" x14ac:dyDescent="0.3"/>
    <row r="710" spans="2:13" ht="17.25" customHeight="1" x14ac:dyDescent="0.3"/>
    <row r="712" spans="2:13" x14ac:dyDescent="0.3">
      <c r="C712" s="848"/>
      <c r="D712" s="848"/>
      <c r="G712" s="718"/>
      <c r="H712" s="718"/>
      <c r="I712" s="718"/>
      <c r="J712" s="718"/>
      <c r="K712" s="718"/>
    </row>
    <row r="713" spans="2:13" x14ac:dyDescent="0.3">
      <c r="C713" s="717" t="s">
        <v>691</v>
      </c>
      <c r="D713" s="717"/>
      <c r="G713" s="717" t="s">
        <v>122</v>
      </c>
      <c r="H713" s="717"/>
      <c r="I713" s="717"/>
      <c r="J713" s="717"/>
      <c r="K713" s="717"/>
      <c r="L713" s="38"/>
    </row>
    <row r="714" spans="2:13" x14ac:dyDescent="0.3">
      <c r="C714" s="718" t="s">
        <v>121</v>
      </c>
      <c r="D714" s="718"/>
      <c r="G714" s="718" t="s">
        <v>123</v>
      </c>
      <c r="H714" s="718"/>
      <c r="I714" s="718"/>
      <c r="J714" s="718"/>
      <c r="K714" s="718"/>
    </row>
  </sheetData>
  <mergeCells count="61">
    <mergeCell ref="C713:D713"/>
    <mergeCell ref="G713:K713"/>
    <mergeCell ref="C714:D714"/>
    <mergeCell ref="G714:K714"/>
    <mergeCell ref="B12:M12"/>
    <mergeCell ref="K17:K18"/>
    <mergeCell ref="L17:L18"/>
    <mergeCell ref="C352:M352"/>
    <mergeCell ref="C20:M20"/>
    <mergeCell ref="B248:M248"/>
    <mergeCell ref="C349:M349"/>
    <mergeCell ref="C288:M288"/>
    <mergeCell ref="C299:M299"/>
    <mergeCell ref="C344:M344"/>
    <mergeCell ref="C320:M320"/>
    <mergeCell ref="C330:M330"/>
    <mergeCell ref="C712:D712"/>
    <mergeCell ref="G712:K712"/>
    <mergeCell ref="K1:K2"/>
    <mergeCell ref="L1:L2"/>
    <mergeCell ref="B10:M10"/>
    <mergeCell ref="I1:I3"/>
    <mergeCell ref="J1:J3"/>
    <mergeCell ref="E1:G1"/>
    <mergeCell ref="B4:M4"/>
    <mergeCell ref="B5:M9"/>
    <mergeCell ref="B2:B3"/>
    <mergeCell ref="C2:C3"/>
    <mergeCell ref="D2:D3"/>
    <mergeCell ref="M1:M2"/>
    <mergeCell ref="C355:M355"/>
    <mergeCell ref="C255:M255"/>
    <mergeCell ref="C249:M249"/>
    <mergeCell ref="C274:M274"/>
    <mergeCell ref="C260:M260"/>
    <mergeCell ref="C267:M267"/>
    <mergeCell ref="C325:M325"/>
    <mergeCell ref="C250:M250"/>
    <mergeCell ref="B11:M11"/>
    <mergeCell ref="B14:M14"/>
    <mergeCell ref="B15:M15"/>
    <mergeCell ref="B16:M16"/>
    <mergeCell ref="E17:G17"/>
    <mergeCell ref="I17:I19"/>
    <mergeCell ref="J17:J19"/>
    <mergeCell ref="B13:M13"/>
    <mergeCell ref="M17:M18"/>
    <mergeCell ref="B18:B19"/>
    <mergeCell ref="C18:C19"/>
    <mergeCell ref="D18:D19"/>
    <mergeCell ref="C607:M607"/>
    <mergeCell ref="B583:M583"/>
    <mergeCell ref="B532:M532"/>
    <mergeCell ref="C533:M533"/>
    <mergeCell ref="B358:M358"/>
    <mergeCell ref="C359:M359"/>
    <mergeCell ref="C584:M584"/>
    <mergeCell ref="C585:M585"/>
    <mergeCell ref="C588:M588"/>
    <mergeCell ref="C593:M593"/>
    <mergeCell ref="C602:M602"/>
  </mergeCells>
  <phoneticPr fontId="14" type="noConversion"/>
  <pageMargins left="0.7" right="0.7" top="0.75" bottom="0.75" header="0.3" footer="0.3"/>
  <pageSetup paperSize="9" scale="41" orientation="portrait" r:id="rId1"/>
  <ignoredErrors>
    <ignoredError sqref="K252:K253 K23:K24 K172:K175 K182 K185 K199 K241:K243 K213 K53:K57 K346:K347 K338:K339 K301:K319 K290:K298 K322 K341:K342 K50:K51 K120:K136 K104:K113 K92 K139:K158 K79 E106 K161 K167 K201 K336 K362 E374 K372 K378:K379 K429:K443 K409:K410 K461:K468 K404:K407 K412:K414 E417 E449 E499 K46:K48 K590 K595:K600 K618:K621 K629 K672 K675 K683 K612 K616:K617 K651:K662 K646 K689:K691 K694 K698 K696" formula="1"/>
    <ignoredError sqref="E87" formulaRange="1"/>
  </ignoredError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K111"/>
  <sheetViews>
    <sheetView view="pageBreakPreview" topLeftCell="A16" zoomScale="90" zoomScaleNormal="100" zoomScaleSheetLayoutView="90" workbookViewId="0">
      <selection activeCell="I9" sqref="I9"/>
    </sheetView>
  </sheetViews>
  <sheetFormatPr baseColWidth="10" defaultColWidth="11.44140625" defaultRowHeight="15.6" x14ac:dyDescent="0.3"/>
  <cols>
    <col min="1" max="1" width="11.44140625" style="1"/>
    <col min="2" max="2" width="22.44140625" style="130" customWidth="1"/>
    <col min="3" max="3" width="14.88671875" style="103" customWidth="1"/>
    <col min="4" max="4" width="10.44140625" style="103" customWidth="1"/>
    <col min="5" max="6" width="17.6640625" style="103" customWidth="1"/>
    <col min="7" max="7" width="17.6640625" style="1" customWidth="1"/>
    <col min="8" max="8" width="27.6640625" style="1" customWidth="1"/>
    <col min="9" max="9" width="19.33203125" style="1" customWidth="1"/>
    <col min="10" max="10" width="13.88671875" style="1" customWidth="1"/>
    <col min="11" max="11" width="15.109375" style="1" customWidth="1"/>
    <col min="12" max="16384" width="11.44140625" style="1"/>
  </cols>
  <sheetData>
    <row r="1" spans="2:9" x14ac:dyDescent="0.3">
      <c r="B1" s="741"/>
      <c r="C1" s="741"/>
      <c r="D1" s="741"/>
      <c r="E1" s="741"/>
      <c r="F1" s="741"/>
      <c r="G1" s="741"/>
    </row>
    <row r="2" spans="2:9" x14ac:dyDescent="0.3">
      <c r="B2" s="741"/>
      <c r="C2" s="741"/>
      <c r="D2" s="741"/>
      <c r="E2" s="741"/>
      <c r="F2" s="741"/>
      <c r="G2" s="741"/>
    </row>
    <row r="3" spans="2:9" x14ac:dyDescent="0.3">
      <c r="B3" s="741"/>
      <c r="C3" s="741"/>
      <c r="D3" s="741"/>
      <c r="E3" s="741"/>
      <c r="F3" s="741"/>
      <c r="G3" s="741"/>
    </row>
    <row r="4" spans="2:9" x14ac:dyDescent="0.3">
      <c r="B4" s="741"/>
      <c r="C4" s="741"/>
      <c r="D4" s="741"/>
      <c r="E4" s="741"/>
      <c r="F4" s="741"/>
      <c r="G4" s="741"/>
    </row>
    <row r="5" spans="2:9" x14ac:dyDescent="0.3">
      <c r="B5" s="741"/>
      <c r="C5" s="741"/>
      <c r="D5" s="741"/>
      <c r="E5" s="741"/>
      <c r="F5" s="741"/>
      <c r="G5" s="741"/>
    </row>
    <row r="6" spans="2:9" x14ac:dyDescent="0.3">
      <c r="B6" s="741"/>
      <c r="C6" s="741"/>
      <c r="D6" s="741"/>
      <c r="E6" s="741"/>
      <c r="F6" s="741"/>
      <c r="G6" s="741"/>
    </row>
    <row r="7" spans="2:9" ht="22.5" customHeight="1" x14ac:dyDescent="0.3">
      <c r="B7" s="859" t="s">
        <v>1002</v>
      </c>
      <c r="C7" s="859"/>
      <c r="D7" s="859"/>
      <c r="E7" s="859"/>
      <c r="F7" s="859"/>
    </row>
    <row r="8" spans="2:9" ht="12" customHeight="1" x14ac:dyDescent="0.3">
      <c r="B8" s="860"/>
      <c r="C8" s="860"/>
      <c r="D8" s="860"/>
      <c r="E8" s="860"/>
      <c r="F8" s="860"/>
    </row>
    <row r="9" spans="2:9" ht="67.5" customHeight="1" x14ac:dyDescent="0.3">
      <c r="B9" s="859" t="str">
        <f>'PRESUPUESTO OFICIAL (Entidad)'!B9:G9</f>
        <v>OBJETO:  CONTRATO DE OBRA A TODO COSTO PARA LA CONSTRUCCION, MANTENIMIENTO Y MEJORAMIENTO DE DIFERENTES SEDES EDUCATIVAS DEL MUNICIPIO DE EL PITAL HUILA, CONFORME A LA FICHA TECNICA, EN CUMPLIMIENTO DEL PLAN DE DESARROLLO "UNIDOS SI PODEMOS 2024-2027"</v>
      </c>
      <c r="C9" s="859"/>
      <c r="D9" s="859"/>
      <c r="E9" s="859"/>
      <c r="F9" s="859"/>
    </row>
    <row r="10" spans="2:9" ht="9.75" customHeight="1" x14ac:dyDescent="0.3">
      <c r="B10" s="860"/>
      <c r="C10" s="860"/>
      <c r="D10" s="860"/>
      <c r="E10" s="860"/>
      <c r="F10" s="860"/>
    </row>
    <row r="11" spans="2:9" ht="20.25" customHeight="1" x14ac:dyDescent="0.3">
      <c r="B11" s="859" t="s">
        <v>91</v>
      </c>
      <c r="C11" s="859"/>
      <c r="D11" s="859"/>
      <c r="E11" s="859"/>
      <c r="F11" s="859"/>
    </row>
    <row r="12" spans="2:9" x14ac:dyDescent="0.3">
      <c r="B12" s="861"/>
      <c r="C12" s="861"/>
      <c r="D12" s="861"/>
      <c r="E12" s="861"/>
      <c r="F12" s="861"/>
      <c r="H12" s="113" t="s">
        <v>368</v>
      </c>
      <c r="I12" s="472">
        <v>1750905</v>
      </c>
    </row>
    <row r="13" spans="2:9" x14ac:dyDescent="0.3">
      <c r="B13" s="858" t="s">
        <v>44</v>
      </c>
      <c r="C13" s="858"/>
      <c r="D13" s="858"/>
      <c r="E13" s="858"/>
      <c r="F13" s="858"/>
      <c r="H13" s="53" t="s">
        <v>369</v>
      </c>
      <c r="I13" s="114">
        <f>I12/30</f>
        <v>58363.5</v>
      </c>
    </row>
    <row r="14" spans="2:9" x14ac:dyDescent="0.3">
      <c r="B14" s="115"/>
      <c r="C14" s="116"/>
      <c r="D14" s="116"/>
      <c r="E14" s="117"/>
      <c r="F14" s="118"/>
      <c r="H14" s="119" t="s">
        <v>370</v>
      </c>
      <c r="I14" s="473">
        <v>249095</v>
      </c>
    </row>
    <row r="15" spans="2:9" ht="16.2" thickBot="1" x14ac:dyDescent="0.35">
      <c r="B15" s="120" t="s">
        <v>48</v>
      </c>
      <c r="C15" s="121" t="s">
        <v>23</v>
      </c>
      <c r="D15" s="121" t="s">
        <v>47</v>
      </c>
      <c r="E15" s="122" t="s">
        <v>41</v>
      </c>
      <c r="F15" s="123" t="s">
        <v>46</v>
      </c>
    </row>
    <row r="16" spans="2:9" ht="16.2" thickTop="1" x14ac:dyDescent="0.3">
      <c r="B16" s="124"/>
      <c r="C16" s="125"/>
      <c r="D16" s="125"/>
      <c r="E16" s="126"/>
      <c r="F16" s="127"/>
    </row>
    <row r="17" spans="2:11" x14ac:dyDescent="0.3">
      <c r="B17" s="115" t="s">
        <v>71</v>
      </c>
      <c r="C17" s="116" t="s">
        <v>69</v>
      </c>
      <c r="D17" s="128">
        <v>1</v>
      </c>
      <c r="E17" s="117">
        <f>I13</f>
        <v>58363.5</v>
      </c>
      <c r="F17" s="118">
        <f>D17*E17</f>
        <v>58363.5</v>
      </c>
    </row>
    <row r="18" spans="2:11" x14ac:dyDescent="0.3">
      <c r="B18" s="115"/>
      <c r="C18" s="116"/>
      <c r="D18" s="116"/>
      <c r="E18" s="117"/>
      <c r="F18" s="118"/>
      <c r="I18" s="103"/>
      <c r="J18" s="103"/>
      <c r="K18" s="103"/>
    </row>
    <row r="19" spans="2:11" ht="31.2" x14ac:dyDescent="0.3">
      <c r="B19" s="115" t="s">
        <v>68</v>
      </c>
      <c r="C19" s="116"/>
      <c r="D19" s="116"/>
      <c r="E19" s="117"/>
      <c r="F19" s="118"/>
      <c r="H19" s="86"/>
      <c r="I19" s="129" t="s">
        <v>372</v>
      </c>
      <c r="J19" s="129" t="s">
        <v>373</v>
      </c>
      <c r="K19" s="129" t="s">
        <v>374</v>
      </c>
    </row>
    <row r="20" spans="2:11" x14ac:dyDescent="0.3">
      <c r="B20" s="130" t="s">
        <v>67</v>
      </c>
      <c r="C20" s="116" t="s">
        <v>56</v>
      </c>
      <c r="D20" s="131">
        <f>F20/E20</f>
        <v>0.14226642793298322</v>
      </c>
      <c r="E20" s="117">
        <f>E17</f>
        <v>58363.5</v>
      </c>
      <c r="F20" s="118">
        <f>I14/30</f>
        <v>8303.1666666666661</v>
      </c>
      <c r="H20" s="53" t="s">
        <v>375</v>
      </c>
      <c r="I20" s="132">
        <v>0.16</v>
      </c>
      <c r="J20" s="132">
        <v>0.12</v>
      </c>
      <c r="K20" s="133">
        <f>I20-J20</f>
        <v>4.0000000000000008E-2</v>
      </c>
    </row>
    <row r="21" spans="2:11" x14ac:dyDescent="0.3">
      <c r="B21" s="130" t="s">
        <v>66</v>
      </c>
      <c r="C21" s="116" t="s">
        <v>56</v>
      </c>
      <c r="D21" s="131">
        <v>8.3299999999999999E-2</v>
      </c>
      <c r="E21" s="117">
        <f>E17</f>
        <v>58363.5</v>
      </c>
      <c r="F21" s="118">
        <f>E21*D21</f>
        <v>4861.6795499999998</v>
      </c>
      <c r="H21" s="54" t="s">
        <v>376</v>
      </c>
      <c r="I21" s="132">
        <v>0.125</v>
      </c>
      <c r="J21" s="132">
        <v>8.5000000000000006E-2</v>
      </c>
      <c r="K21" s="133">
        <f>I21-J21</f>
        <v>3.9999999999999994E-2</v>
      </c>
    </row>
    <row r="22" spans="2:11" x14ac:dyDescent="0.3">
      <c r="B22" s="130" t="s">
        <v>65</v>
      </c>
      <c r="C22" s="116" t="s">
        <v>56</v>
      </c>
      <c r="D22" s="131">
        <v>0.01</v>
      </c>
      <c r="E22" s="117">
        <f>E17</f>
        <v>58363.5</v>
      </c>
      <c r="F22" s="118">
        <f t="shared" ref="F22:F25" si="0">E22*D22</f>
        <v>583.63499999999999</v>
      </c>
      <c r="H22" s="54" t="s">
        <v>377</v>
      </c>
      <c r="I22" s="132">
        <v>6.9599999999999995E-2</v>
      </c>
      <c r="J22" s="132">
        <v>6.9599999999999995E-2</v>
      </c>
      <c r="K22" s="133">
        <f>I22-J22</f>
        <v>0</v>
      </c>
    </row>
    <row r="23" spans="2:11" x14ac:dyDescent="0.3">
      <c r="B23" s="130" t="s">
        <v>64</v>
      </c>
      <c r="C23" s="116" t="s">
        <v>56</v>
      </c>
      <c r="D23" s="131">
        <v>8.3299999999999999E-2</v>
      </c>
      <c r="E23" s="117">
        <f>E17</f>
        <v>58363.5</v>
      </c>
      <c r="F23" s="118">
        <f t="shared" si="0"/>
        <v>4861.6795499999998</v>
      </c>
      <c r="H23" s="112"/>
      <c r="I23" s="134">
        <f>SUM(I20:I22)</f>
        <v>0.35460000000000003</v>
      </c>
      <c r="J23" s="134">
        <f>SUM(J20:J22)</f>
        <v>0.27460000000000001</v>
      </c>
      <c r="K23" s="133">
        <f>SUM(K20:K22)</f>
        <v>0.08</v>
      </c>
    </row>
    <row r="24" spans="2:11" x14ac:dyDescent="0.3">
      <c r="B24" s="130" t="s">
        <v>63</v>
      </c>
      <c r="C24" s="116" t="s">
        <v>56</v>
      </c>
      <c r="D24" s="131">
        <v>4.1599999999999998E-2</v>
      </c>
      <c r="E24" s="117">
        <f>E17</f>
        <v>58363.5</v>
      </c>
      <c r="F24" s="118">
        <f t="shared" si="0"/>
        <v>2427.9215999999997</v>
      </c>
    </row>
    <row r="25" spans="2:11" x14ac:dyDescent="0.3">
      <c r="B25" s="130" t="s">
        <v>62</v>
      </c>
      <c r="C25" s="116" t="s">
        <v>56</v>
      </c>
      <c r="D25" s="131">
        <v>0.04</v>
      </c>
      <c r="E25" s="117">
        <f>E17</f>
        <v>58363.5</v>
      </c>
      <c r="F25" s="118">
        <f t="shared" si="0"/>
        <v>2334.54</v>
      </c>
    </row>
    <row r="26" spans="2:11" ht="31.2" x14ac:dyDescent="0.3">
      <c r="B26" s="130" t="s">
        <v>61</v>
      </c>
      <c r="C26" s="116" t="s">
        <v>56</v>
      </c>
      <c r="D26" s="131">
        <f>0.16+0.125+0.0696</f>
        <v>0.35460000000000003</v>
      </c>
      <c r="E26" s="117">
        <f>E17</f>
        <v>58363.5</v>
      </c>
      <c r="F26" s="118">
        <f>E26*D26</f>
        <v>20695.697100000001</v>
      </c>
    </row>
    <row r="27" spans="2:11" ht="31.2" x14ac:dyDescent="0.3">
      <c r="B27" s="130" t="s">
        <v>60</v>
      </c>
      <c r="C27" s="116"/>
      <c r="D27" s="116"/>
      <c r="E27" s="117"/>
      <c r="F27" s="118"/>
    </row>
    <row r="28" spans="2:11" ht="31.2" x14ac:dyDescent="0.3">
      <c r="B28" s="130" t="s">
        <v>59</v>
      </c>
      <c r="C28" s="116" t="s">
        <v>56</v>
      </c>
      <c r="D28" s="135">
        <v>0.04</v>
      </c>
      <c r="E28" s="117">
        <f>E17</f>
        <v>58363.5</v>
      </c>
      <c r="F28" s="118">
        <f>E28*D28</f>
        <v>2334.54</v>
      </c>
    </row>
    <row r="29" spans="2:11" x14ac:dyDescent="0.3">
      <c r="B29" s="130" t="s">
        <v>58</v>
      </c>
      <c r="C29" s="116" t="s">
        <v>56</v>
      </c>
      <c r="D29" s="135">
        <v>0.02</v>
      </c>
      <c r="E29" s="117">
        <f>E17</f>
        <v>58363.5</v>
      </c>
      <c r="F29" s="118">
        <f t="shared" ref="F29:F31" si="1">E29*D29</f>
        <v>1167.27</v>
      </c>
    </row>
    <row r="30" spans="2:11" x14ac:dyDescent="0.3">
      <c r="B30" s="130" t="s">
        <v>57</v>
      </c>
      <c r="C30" s="116" t="s">
        <v>56</v>
      </c>
      <c r="D30" s="135">
        <v>0.03</v>
      </c>
      <c r="E30" s="117">
        <f>E17</f>
        <v>58363.5</v>
      </c>
      <c r="F30" s="118">
        <f t="shared" si="1"/>
        <v>1750.905</v>
      </c>
    </row>
    <row r="31" spans="2:11" x14ac:dyDescent="0.3">
      <c r="B31" s="130" t="s">
        <v>371</v>
      </c>
      <c r="C31" s="116" t="s">
        <v>56</v>
      </c>
      <c r="D31" s="131">
        <v>1.7500000000000002E-2</v>
      </c>
      <c r="E31" s="117">
        <f>E17</f>
        <v>58363.5</v>
      </c>
      <c r="F31" s="118">
        <f t="shared" si="1"/>
        <v>1021.36125</v>
      </c>
    </row>
    <row r="32" spans="2:11" x14ac:dyDescent="0.3">
      <c r="B32" s="115"/>
      <c r="C32" s="116"/>
      <c r="D32" s="116"/>
      <c r="E32" s="117"/>
      <c r="F32" s="118"/>
    </row>
    <row r="33" spans="2:8" ht="16.2" thickBot="1" x14ac:dyDescent="0.35">
      <c r="B33" s="136" t="s">
        <v>55</v>
      </c>
      <c r="C33" s="137"/>
      <c r="D33" s="138">
        <f>SUM(D20:D31)</f>
        <v>0.86256642793298333</v>
      </c>
      <c r="E33" s="139"/>
      <c r="F33" s="140"/>
    </row>
    <row r="34" spans="2:8" ht="16.2" thickTop="1" x14ac:dyDescent="0.3">
      <c r="B34" s="115"/>
      <c r="C34" s="116"/>
      <c r="D34" s="116"/>
      <c r="E34" s="117"/>
      <c r="F34" s="118"/>
    </row>
    <row r="35" spans="2:8" ht="16.2" thickBot="1" x14ac:dyDescent="0.35">
      <c r="B35" s="115"/>
      <c r="C35" s="116" t="s">
        <v>54</v>
      </c>
      <c r="D35" s="116"/>
      <c r="E35" s="122" t="s">
        <v>41</v>
      </c>
      <c r="F35" s="141">
        <f>SUM(F17:F31)</f>
        <v>108705.89571666667</v>
      </c>
    </row>
    <row r="36" spans="2:8" ht="16.2" thickTop="1" x14ac:dyDescent="0.3">
      <c r="B36" s="115"/>
      <c r="C36" s="116" t="s">
        <v>53</v>
      </c>
      <c r="D36" s="116"/>
      <c r="E36" s="117"/>
      <c r="F36" s="118">
        <f>F35/8</f>
        <v>13588.236964583333</v>
      </c>
    </row>
    <row r="37" spans="2:8" x14ac:dyDescent="0.3">
      <c r="B37" s="115"/>
      <c r="C37" s="116"/>
      <c r="D37" s="116"/>
      <c r="E37" s="117"/>
      <c r="F37" s="118"/>
    </row>
    <row r="38" spans="2:8" ht="16.5" customHeight="1" x14ac:dyDescent="0.3">
      <c r="B38" s="857" t="s">
        <v>45</v>
      </c>
      <c r="C38" s="857"/>
      <c r="D38" s="857"/>
      <c r="E38" s="857"/>
      <c r="F38" s="857"/>
    </row>
    <row r="39" spans="2:8" x14ac:dyDescent="0.3">
      <c r="B39" s="115"/>
      <c r="C39" s="116"/>
      <c r="D39" s="116"/>
      <c r="E39" s="117"/>
      <c r="F39" s="118"/>
    </row>
    <row r="40" spans="2:8" ht="16.2" thickBot="1" x14ac:dyDescent="0.35">
      <c r="B40" s="120" t="s">
        <v>48</v>
      </c>
      <c r="C40" s="121" t="s">
        <v>23</v>
      </c>
      <c r="D40" s="121" t="s">
        <v>47</v>
      </c>
      <c r="E40" s="122" t="s">
        <v>41</v>
      </c>
      <c r="F40" s="123" t="s">
        <v>46</v>
      </c>
      <c r="G40" s="1" t="s">
        <v>380</v>
      </c>
    </row>
    <row r="41" spans="2:8" ht="16.2" thickTop="1" x14ac:dyDescent="0.3">
      <c r="B41" s="124"/>
      <c r="C41" s="125"/>
      <c r="D41" s="125"/>
      <c r="E41" s="126"/>
      <c r="F41" s="127"/>
    </row>
    <row r="42" spans="2:8" x14ac:dyDescent="0.3">
      <c r="B42" s="115" t="s">
        <v>70</v>
      </c>
      <c r="C42" s="116" t="s">
        <v>69</v>
      </c>
      <c r="D42" s="635">
        <v>1</v>
      </c>
      <c r="E42" s="117">
        <f>(I13*1.9)</f>
        <v>110890.65</v>
      </c>
      <c r="F42" s="118">
        <f>E42*D42</f>
        <v>110890.65</v>
      </c>
    </row>
    <row r="43" spans="2:8" x14ac:dyDescent="0.3">
      <c r="B43" s="115"/>
      <c r="C43" s="116"/>
      <c r="D43" s="116"/>
      <c r="E43" s="117"/>
      <c r="F43" s="118"/>
    </row>
    <row r="44" spans="2:8" ht="31.2" x14ac:dyDescent="0.3">
      <c r="B44" s="115" t="s">
        <v>68</v>
      </c>
      <c r="C44" s="116"/>
      <c r="D44" s="116"/>
      <c r="E44" s="117"/>
      <c r="F44" s="118"/>
      <c r="H44" s="1" t="s">
        <v>124</v>
      </c>
    </row>
    <row r="45" spans="2:8" x14ac:dyDescent="0.3">
      <c r="B45" s="130" t="s">
        <v>67</v>
      </c>
      <c r="C45" s="116" t="s">
        <v>56</v>
      </c>
      <c r="D45" s="131">
        <f>F45/E45</f>
        <v>7.4877067333149069E-2</v>
      </c>
      <c r="E45" s="117">
        <f t="shared" ref="E45:E51" si="2">E$42</f>
        <v>110890.65</v>
      </c>
      <c r="F45" s="118">
        <f>I14/30</f>
        <v>8303.1666666666661</v>
      </c>
    </row>
    <row r="46" spans="2:8" x14ac:dyDescent="0.3">
      <c r="B46" s="130" t="s">
        <v>66</v>
      </c>
      <c r="C46" s="116" t="s">
        <v>56</v>
      </c>
      <c r="D46" s="131">
        <f t="shared" ref="D46:D51" si="3">D21</f>
        <v>8.3299999999999999E-2</v>
      </c>
      <c r="E46" s="117">
        <f t="shared" si="2"/>
        <v>110890.65</v>
      </c>
      <c r="F46" s="118">
        <f>D46*E46</f>
        <v>9237.1911449999989</v>
      </c>
    </row>
    <row r="47" spans="2:8" x14ac:dyDescent="0.3">
      <c r="B47" s="130" t="s">
        <v>65</v>
      </c>
      <c r="C47" s="116" t="s">
        <v>56</v>
      </c>
      <c r="D47" s="131">
        <f t="shared" si="3"/>
        <v>0.01</v>
      </c>
      <c r="E47" s="117">
        <f t="shared" si="2"/>
        <v>110890.65</v>
      </c>
      <c r="F47" s="118">
        <f t="shared" ref="F47:F56" si="4">D47*E47</f>
        <v>1108.9065000000001</v>
      </c>
    </row>
    <row r="48" spans="2:8" x14ac:dyDescent="0.3">
      <c r="B48" s="130" t="s">
        <v>64</v>
      </c>
      <c r="C48" s="116" t="s">
        <v>56</v>
      </c>
      <c r="D48" s="131">
        <f t="shared" si="3"/>
        <v>8.3299999999999999E-2</v>
      </c>
      <c r="E48" s="117">
        <f t="shared" si="2"/>
        <v>110890.65</v>
      </c>
      <c r="F48" s="118">
        <f t="shared" si="4"/>
        <v>9237.1911449999989</v>
      </c>
    </row>
    <row r="49" spans="2:6" x14ac:dyDescent="0.3">
      <c r="B49" s="130" t="s">
        <v>63</v>
      </c>
      <c r="C49" s="116" t="s">
        <v>56</v>
      </c>
      <c r="D49" s="131">
        <f t="shared" si="3"/>
        <v>4.1599999999999998E-2</v>
      </c>
      <c r="E49" s="117">
        <f t="shared" si="2"/>
        <v>110890.65</v>
      </c>
      <c r="F49" s="118">
        <f t="shared" si="4"/>
        <v>4613.0510399999994</v>
      </c>
    </row>
    <row r="50" spans="2:6" x14ac:dyDescent="0.3">
      <c r="B50" s="130" t="s">
        <v>62</v>
      </c>
      <c r="C50" s="116" t="s">
        <v>56</v>
      </c>
      <c r="D50" s="131">
        <f t="shared" si="3"/>
        <v>0.04</v>
      </c>
      <c r="E50" s="117">
        <f t="shared" si="2"/>
        <v>110890.65</v>
      </c>
      <c r="F50" s="118">
        <f t="shared" si="4"/>
        <v>4435.6260000000002</v>
      </c>
    </row>
    <row r="51" spans="2:6" ht="31.2" x14ac:dyDescent="0.3">
      <c r="B51" s="130" t="s">
        <v>61</v>
      </c>
      <c r="C51" s="116" t="s">
        <v>56</v>
      </c>
      <c r="D51" s="131">
        <f t="shared" si="3"/>
        <v>0.35460000000000003</v>
      </c>
      <c r="E51" s="117">
        <f t="shared" si="2"/>
        <v>110890.65</v>
      </c>
      <c r="F51" s="118">
        <f t="shared" si="4"/>
        <v>39321.824489999999</v>
      </c>
    </row>
    <row r="52" spans="2:6" ht="31.2" x14ac:dyDescent="0.3">
      <c r="B52" s="130" t="s">
        <v>60</v>
      </c>
      <c r="C52" s="116"/>
      <c r="D52" s="116"/>
      <c r="E52" s="117"/>
      <c r="F52" s="118"/>
    </row>
    <row r="53" spans="2:6" ht="31.2" x14ac:dyDescent="0.3">
      <c r="B53" s="130" t="s">
        <v>59</v>
      </c>
      <c r="C53" s="116" t="s">
        <v>56</v>
      </c>
      <c r="D53" s="135">
        <f>D28</f>
        <v>0.04</v>
      </c>
      <c r="E53" s="117">
        <f>E$42</f>
        <v>110890.65</v>
      </c>
      <c r="F53" s="118">
        <f t="shared" si="4"/>
        <v>4435.6260000000002</v>
      </c>
    </row>
    <row r="54" spans="2:6" x14ac:dyDescent="0.3">
      <c r="B54" s="130" t="s">
        <v>58</v>
      </c>
      <c r="C54" s="116" t="s">
        <v>56</v>
      </c>
      <c r="D54" s="135">
        <f t="shared" ref="D54:D56" si="5">D29</f>
        <v>0.02</v>
      </c>
      <c r="E54" s="117">
        <f>E$42</f>
        <v>110890.65</v>
      </c>
      <c r="F54" s="118">
        <f t="shared" si="4"/>
        <v>2217.8130000000001</v>
      </c>
    </row>
    <row r="55" spans="2:6" x14ac:dyDescent="0.3">
      <c r="B55" s="130" t="s">
        <v>57</v>
      </c>
      <c r="C55" s="116" t="s">
        <v>56</v>
      </c>
      <c r="D55" s="135">
        <f t="shared" si="5"/>
        <v>0.03</v>
      </c>
      <c r="E55" s="117">
        <f>E$42</f>
        <v>110890.65</v>
      </c>
      <c r="F55" s="118">
        <f t="shared" si="4"/>
        <v>3326.7194999999997</v>
      </c>
    </row>
    <row r="56" spans="2:6" x14ac:dyDescent="0.3">
      <c r="B56" s="130" t="s">
        <v>371</v>
      </c>
      <c r="C56" s="116" t="s">
        <v>56</v>
      </c>
      <c r="D56" s="131">
        <f t="shared" si="5"/>
        <v>1.7500000000000002E-2</v>
      </c>
      <c r="E56" s="117">
        <f>E$42</f>
        <v>110890.65</v>
      </c>
      <c r="F56" s="118">
        <f t="shared" si="4"/>
        <v>1940.5863750000001</v>
      </c>
    </row>
    <row r="57" spans="2:6" x14ac:dyDescent="0.3">
      <c r="B57" s="115"/>
      <c r="C57" s="116"/>
      <c r="D57" s="116"/>
      <c r="E57" s="117"/>
      <c r="F57" s="118"/>
    </row>
    <row r="58" spans="2:6" ht="16.2" thickBot="1" x14ac:dyDescent="0.35">
      <c r="B58" s="136" t="s">
        <v>55</v>
      </c>
      <c r="C58" s="137"/>
      <c r="D58" s="138">
        <f>SUM(D45:D56)</f>
        <v>0.79517706733314919</v>
      </c>
      <c r="E58" s="139"/>
      <c r="F58" s="140"/>
    </row>
    <row r="59" spans="2:6" ht="16.2" thickTop="1" x14ac:dyDescent="0.3">
      <c r="B59" s="115"/>
      <c r="C59" s="116"/>
      <c r="D59" s="116"/>
      <c r="E59" s="117"/>
      <c r="F59" s="118"/>
    </row>
    <row r="60" spans="2:6" ht="16.2" thickBot="1" x14ac:dyDescent="0.35">
      <c r="B60" s="115"/>
      <c r="C60" s="116" t="s">
        <v>54</v>
      </c>
      <c r="D60" s="116"/>
      <c r="E60" s="122" t="s">
        <v>41</v>
      </c>
      <c r="F60" s="141">
        <f>SUM(F42:F56)</f>
        <v>199068.35186166666</v>
      </c>
    </row>
    <row r="61" spans="2:6" ht="16.2" thickTop="1" x14ac:dyDescent="0.3">
      <c r="B61" s="115"/>
      <c r="C61" s="116" t="s">
        <v>53</v>
      </c>
      <c r="D61" s="116"/>
      <c r="E61" s="117"/>
      <c r="F61" s="118">
        <f>F60/8</f>
        <v>24883.543982708332</v>
      </c>
    </row>
    <row r="62" spans="2:6" x14ac:dyDescent="0.3">
      <c r="B62" s="115"/>
      <c r="C62" s="116"/>
      <c r="D62" s="116"/>
      <c r="E62" s="117"/>
      <c r="F62" s="118"/>
    </row>
    <row r="63" spans="2:6" ht="31.2" x14ac:dyDescent="0.3">
      <c r="B63" s="142" t="s">
        <v>379</v>
      </c>
      <c r="C63" s="143"/>
      <c r="D63" s="143"/>
      <c r="E63" s="144"/>
      <c r="F63" s="145"/>
    </row>
    <row r="64" spans="2:6" x14ac:dyDescent="0.3">
      <c r="B64" s="115"/>
      <c r="C64" s="116"/>
      <c r="D64" s="116"/>
      <c r="E64" s="117"/>
      <c r="F64" s="118"/>
    </row>
    <row r="65" spans="2:6" ht="16.2" thickBot="1" x14ac:dyDescent="0.35">
      <c r="B65" s="120" t="s">
        <v>48</v>
      </c>
      <c r="C65" s="121" t="s">
        <v>23</v>
      </c>
      <c r="D65" s="121" t="s">
        <v>47</v>
      </c>
      <c r="E65" s="122" t="s">
        <v>41</v>
      </c>
      <c r="F65" s="123" t="s">
        <v>46</v>
      </c>
    </row>
    <row r="66" spans="2:6" ht="16.2" thickTop="1" x14ac:dyDescent="0.3">
      <c r="B66" s="124"/>
      <c r="C66" s="125"/>
      <c r="D66" s="125"/>
      <c r="E66" s="126"/>
      <c r="F66" s="127"/>
    </row>
    <row r="67" spans="2:6" ht="31.2" x14ac:dyDescent="0.3">
      <c r="B67" s="115" t="s">
        <v>45</v>
      </c>
      <c r="C67" s="116" t="s">
        <v>43</v>
      </c>
      <c r="D67" s="146">
        <v>1</v>
      </c>
      <c r="E67" s="117">
        <f>$F$61</f>
        <v>24883.543982708332</v>
      </c>
      <c r="F67" s="118">
        <f>E67*D67</f>
        <v>24883.543982708332</v>
      </c>
    </row>
    <row r="68" spans="2:6" ht="31.8" thickBot="1" x14ac:dyDescent="0.35">
      <c r="B68" s="136" t="s">
        <v>44</v>
      </c>
      <c r="C68" s="137" t="s">
        <v>43</v>
      </c>
      <c r="D68" s="147">
        <v>1</v>
      </c>
      <c r="E68" s="139">
        <f>$F$36</f>
        <v>13588.236964583333</v>
      </c>
      <c r="F68" s="140">
        <f>E68*D68</f>
        <v>13588.236964583333</v>
      </c>
    </row>
    <row r="69" spans="2:6" ht="16.2" thickTop="1" x14ac:dyDescent="0.3">
      <c r="B69" s="115"/>
      <c r="C69" s="116"/>
      <c r="D69" s="116"/>
      <c r="E69" s="117"/>
      <c r="F69" s="118"/>
    </row>
    <row r="70" spans="2:6" ht="16.2" thickBot="1" x14ac:dyDescent="0.35">
      <c r="B70" s="115"/>
      <c r="C70" s="116" t="s">
        <v>42</v>
      </c>
      <c r="D70" s="116"/>
      <c r="E70" s="122" t="s">
        <v>41</v>
      </c>
      <c r="F70" s="118">
        <f>ROUND(F67+F68,0)</f>
        <v>38472</v>
      </c>
    </row>
    <row r="71" spans="2:6" ht="16.2" thickTop="1" x14ac:dyDescent="0.3">
      <c r="B71" s="115"/>
      <c r="C71" s="116"/>
      <c r="D71" s="116"/>
      <c r="E71" s="117"/>
      <c r="F71" s="118"/>
    </row>
    <row r="72" spans="2:6" ht="31.2" x14ac:dyDescent="0.3">
      <c r="B72" s="142" t="s">
        <v>52</v>
      </c>
      <c r="C72" s="143"/>
      <c r="D72" s="143"/>
      <c r="E72" s="144"/>
      <c r="F72" s="145"/>
    </row>
    <row r="73" spans="2:6" x14ac:dyDescent="0.3">
      <c r="B73" s="115"/>
      <c r="C73" s="116"/>
      <c r="D73" s="116"/>
      <c r="E73" s="117"/>
      <c r="F73" s="118"/>
    </row>
    <row r="74" spans="2:6" ht="16.2" thickBot="1" x14ac:dyDescent="0.35">
      <c r="B74" s="120" t="s">
        <v>48</v>
      </c>
      <c r="C74" s="121" t="s">
        <v>23</v>
      </c>
      <c r="D74" s="121" t="s">
        <v>47</v>
      </c>
      <c r="E74" s="122" t="s">
        <v>41</v>
      </c>
      <c r="F74" s="123" t="s">
        <v>46</v>
      </c>
    </row>
    <row r="75" spans="2:6" ht="16.2" thickTop="1" x14ac:dyDescent="0.3">
      <c r="B75" s="124"/>
      <c r="C75" s="125"/>
      <c r="D75" s="125"/>
      <c r="E75" s="126"/>
      <c r="F75" s="127"/>
    </row>
    <row r="76" spans="2:6" ht="31.2" x14ac:dyDescent="0.3">
      <c r="B76" s="115" t="s">
        <v>45</v>
      </c>
      <c r="C76" s="116" t="s">
        <v>43</v>
      </c>
      <c r="D76" s="116">
        <v>1.1000000000000001</v>
      </c>
      <c r="E76" s="117">
        <f>$F$61</f>
        <v>24883.543982708332</v>
      </c>
      <c r="F76" s="118">
        <f>E76*D76</f>
        <v>27371.898380979168</v>
      </c>
    </row>
    <row r="77" spans="2:6" ht="31.8" thickBot="1" x14ac:dyDescent="0.35">
      <c r="B77" s="136" t="s">
        <v>44</v>
      </c>
      <c r="C77" s="137" t="s">
        <v>43</v>
      </c>
      <c r="D77" s="137">
        <v>1.1000000000000001</v>
      </c>
      <c r="E77" s="139">
        <f>$F$36</f>
        <v>13588.236964583333</v>
      </c>
      <c r="F77" s="140">
        <f>E77*D77</f>
        <v>14947.060661041667</v>
      </c>
    </row>
    <row r="78" spans="2:6" ht="16.2" thickTop="1" x14ac:dyDescent="0.3">
      <c r="B78" s="115"/>
      <c r="C78" s="116"/>
      <c r="D78" s="116"/>
      <c r="E78" s="117"/>
      <c r="F78" s="118"/>
    </row>
    <row r="79" spans="2:6" ht="16.2" thickBot="1" x14ac:dyDescent="0.35">
      <c r="B79" s="115"/>
      <c r="C79" s="116" t="s">
        <v>42</v>
      </c>
      <c r="D79" s="116"/>
      <c r="E79" s="122" t="s">
        <v>41</v>
      </c>
      <c r="F79" s="118">
        <f>ROUND(F76+F77,0)</f>
        <v>42319</v>
      </c>
    </row>
    <row r="80" spans="2:6" ht="16.2" thickTop="1" x14ac:dyDescent="0.3">
      <c r="B80" s="115"/>
      <c r="C80" s="116"/>
      <c r="D80" s="116"/>
      <c r="E80" s="117"/>
      <c r="F80" s="118"/>
    </row>
    <row r="81" spans="2:6" ht="31.2" x14ac:dyDescent="0.3">
      <c r="B81" s="142" t="s">
        <v>51</v>
      </c>
      <c r="C81" s="143"/>
      <c r="D81" s="143"/>
      <c r="E81" s="144"/>
      <c r="F81" s="145"/>
    </row>
    <row r="82" spans="2:6" x14ac:dyDescent="0.3">
      <c r="B82" s="115"/>
      <c r="C82" s="116"/>
      <c r="D82" s="116"/>
      <c r="E82" s="117"/>
      <c r="F82" s="118"/>
    </row>
    <row r="83" spans="2:6" ht="16.2" thickBot="1" x14ac:dyDescent="0.35">
      <c r="B83" s="120" t="s">
        <v>48</v>
      </c>
      <c r="C83" s="121" t="s">
        <v>23</v>
      </c>
      <c r="D83" s="121" t="s">
        <v>47</v>
      </c>
      <c r="E83" s="122" t="s">
        <v>41</v>
      </c>
      <c r="F83" s="123" t="s">
        <v>46</v>
      </c>
    </row>
    <row r="84" spans="2:6" ht="16.2" thickTop="1" x14ac:dyDescent="0.3">
      <c r="B84" s="124"/>
      <c r="C84" s="125"/>
      <c r="D84" s="125"/>
      <c r="E84" s="126"/>
      <c r="F84" s="127"/>
    </row>
    <row r="85" spans="2:6" ht="31.2" x14ac:dyDescent="0.3">
      <c r="B85" s="115" t="s">
        <v>45</v>
      </c>
      <c r="C85" s="116" t="s">
        <v>43</v>
      </c>
      <c r="D85" s="116">
        <v>1.2</v>
      </c>
      <c r="E85" s="117">
        <f>$F$61</f>
        <v>24883.543982708332</v>
      </c>
      <c r="F85" s="118">
        <f>E85*D85</f>
        <v>29860.252779249997</v>
      </c>
    </row>
    <row r="86" spans="2:6" ht="31.8" thickBot="1" x14ac:dyDescent="0.35">
      <c r="B86" s="136" t="s">
        <v>44</v>
      </c>
      <c r="C86" s="137" t="s">
        <v>43</v>
      </c>
      <c r="D86" s="137">
        <v>1.2</v>
      </c>
      <c r="E86" s="139">
        <f>$F$36</f>
        <v>13588.236964583333</v>
      </c>
      <c r="F86" s="140">
        <f>E86*D86</f>
        <v>16305.884357499999</v>
      </c>
    </row>
    <row r="87" spans="2:6" ht="16.2" thickTop="1" x14ac:dyDescent="0.3">
      <c r="B87" s="115"/>
      <c r="C87" s="116"/>
      <c r="D87" s="116"/>
      <c r="E87" s="117"/>
      <c r="F87" s="118"/>
    </row>
    <row r="88" spans="2:6" ht="16.2" thickBot="1" x14ac:dyDescent="0.35">
      <c r="B88" s="115"/>
      <c r="C88" s="116" t="s">
        <v>42</v>
      </c>
      <c r="D88" s="116"/>
      <c r="E88" s="122" t="s">
        <v>41</v>
      </c>
      <c r="F88" s="118">
        <f>ROUND(F85+F86,0)</f>
        <v>46166</v>
      </c>
    </row>
    <row r="89" spans="2:6" ht="16.2" thickTop="1" x14ac:dyDescent="0.3">
      <c r="B89" s="115"/>
      <c r="C89" s="116"/>
      <c r="D89" s="116"/>
      <c r="E89" s="117"/>
      <c r="F89" s="118"/>
    </row>
    <row r="90" spans="2:6" ht="31.2" x14ac:dyDescent="0.3">
      <c r="B90" s="142" t="s">
        <v>50</v>
      </c>
      <c r="C90" s="143"/>
      <c r="D90" s="143"/>
      <c r="E90" s="144"/>
      <c r="F90" s="145"/>
    </row>
    <row r="91" spans="2:6" x14ac:dyDescent="0.3">
      <c r="B91" s="115"/>
      <c r="C91" s="116"/>
      <c r="D91" s="116"/>
      <c r="E91" s="117"/>
      <c r="F91" s="118"/>
    </row>
    <row r="92" spans="2:6" ht="16.2" thickBot="1" x14ac:dyDescent="0.35">
      <c r="B92" s="120" t="s">
        <v>48</v>
      </c>
      <c r="C92" s="121" t="s">
        <v>23</v>
      </c>
      <c r="D92" s="121" t="s">
        <v>47</v>
      </c>
      <c r="E92" s="122" t="s">
        <v>41</v>
      </c>
      <c r="F92" s="123" t="s">
        <v>46</v>
      </c>
    </row>
    <row r="93" spans="2:6" ht="16.2" thickTop="1" x14ac:dyDescent="0.3">
      <c r="B93" s="124"/>
      <c r="C93" s="125"/>
      <c r="D93" s="125"/>
      <c r="E93" s="126"/>
      <c r="F93" s="127"/>
    </row>
    <row r="94" spans="2:6" ht="31.2" x14ac:dyDescent="0.3">
      <c r="B94" s="115" t="s">
        <v>45</v>
      </c>
      <c r="C94" s="116" t="s">
        <v>43</v>
      </c>
      <c r="D94" s="116">
        <v>1.1499999999999999</v>
      </c>
      <c r="E94" s="117">
        <f>$F$61</f>
        <v>24883.543982708332</v>
      </c>
      <c r="F94" s="118">
        <f>E94*D94</f>
        <v>28616.075580114579</v>
      </c>
    </row>
    <row r="95" spans="2:6" ht="31.8" thickBot="1" x14ac:dyDescent="0.35">
      <c r="B95" s="136" t="s">
        <v>44</v>
      </c>
      <c r="C95" s="137" t="s">
        <v>43</v>
      </c>
      <c r="D95" s="137">
        <v>1.1499999999999999</v>
      </c>
      <c r="E95" s="139">
        <f>$F$36</f>
        <v>13588.236964583333</v>
      </c>
      <c r="F95" s="140">
        <f>E95*D95</f>
        <v>15626.472509270832</v>
      </c>
    </row>
    <row r="96" spans="2:6" ht="16.2" thickTop="1" x14ac:dyDescent="0.3">
      <c r="B96" s="115"/>
      <c r="C96" s="116"/>
      <c r="D96" s="116"/>
      <c r="E96" s="117"/>
      <c r="F96" s="118"/>
    </row>
    <row r="97" spans="2:7" ht="16.2" thickBot="1" x14ac:dyDescent="0.35">
      <c r="B97" s="115"/>
      <c r="C97" s="116" t="s">
        <v>42</v>
      </c>
      <c r="D97" s="116"/>
      <c r="E97" s="122" t="s">
        <v>41</v>
      </c>
      <c r="F97" s="118">
        <f>ROUND(F94+F95,0)</f>
        <v>44243</v>
      </c>
    </row>
    <row r="98" spans="2:7" ht="16.2" thickTop="1" x14ac:dyDescent="0.3">
      <c r="B98" s="115"/>
      <c r="C98" s="116"/>
      <c r="D98" s="116"/>
      <c r="E98" s="117"/>
      <c r="F98" s="118"/>
    </row>
    <row r="99" spans="2:7" ht="31.2" x14ac:dyDescent="0.3">
      <c r="B99" s="142" t="s">
        <v>49</v>
      </c>
      <c r="C99" s="143"/>
      <c r="D99" s="143"/>
      <c r="E99" s="144"/>
      <c r="F99" s="145"/>
    </row>
    <row r="100" spans="2:7" x14ac:dyDescent="0.3">
      <c r="B100" s="115"/>
      <c r="C100" s="116"/>
      <c r="D100" s="116"/>
      <c r="E100" s="117"/>
      <c r="F100" s="118"/>
    </row>
    <row r="101" spans="2:7" ht="16.2" thickBot="1" x14ac:dyDescent="0.35">
      <c r="B101" s="120" t="s">
        <v>48</v>
      </c>
      <c r="C101" s="121" t="s">
        <v>23</v>
      </c>
      <c r="D101" s="121" t="s">
        <v>47</v>
      </c>
      <c r="E101" s="122" t="s">
        <v>41</v>
      </c>
      <c r="F101" s="123" t="s">
        <v>46</v>
      </c>
    </row>
    <row r="102" spans="2:7" ht="16.2" thickTop="1" x14ac:dyDescent="0.3">
      <c r="B102" s="124"/>
      <c r="C102" s="125"/>
      <c r="D102" s="125"/>
      <c r="E102" s="126"/>
      <c r="F102" s="127"/>
    </row>
    <row r="103" spans="2:7" ht="31.2" x14ac:dyDescent="0.3">
      <c r="B103" s="115" t="s">
        <v>45</v>
      </c>
      <c r="C103" s="116" t="s">
        <v>43</v>
      </c>
      <c r="D103" s="116">
        <v>1.3</v>
      </c>
      <c r="E103" s="117">
        <f>$F$61</f>
        <v>24883.543982708332</v>
      </c>
      <c r="F103" s="118">
        <f>E103*D103</f>
        <v>32348.607177520833</v>
      </c>
    </row>
    <row r="104" spans="2:7" ht="31.8" thickBot="1" x14ac:dyDescent="0.35">
      <c r="B104" s="136" t="s">
        <v>44</v>
      </c>
      <c r="C104" s="137" t="s">
        <v>43</v>
      </c>
      <c r="D104" s="137">
        <v>1.3</v>
      </c>
      <c r="E104" s="139">
        <f>$F$36</f>
        <v>13588.236964583333</v>
      </c>
      <c r="F104" s="140">
        <f>E104*D104</f>
        <v>17664.708053958333</v>
      </c>
    </row>
    <row r="105" spans="2:7" ht="16.2" thickTop="1" x14ac:dyDescent="0.3">
      <c r="B105" s="115"/>
      <c r="C105" s="116"/>
      <c r="D105" s="116"/>
      <c r="E105" s="117"/>
      <c r="F105" s="118"/>
    </row>
    <row r="106" spans="2:7" ht="16.2" thickBot="1" x14ac:dyDescent="0.35">
      <c r="B106" s="115"/>
      <c r="C106" s="116" t="s">
        <v>42</v>
      </c>
      <c r="D106" s="116"/>
      <c r="E106" s="122" t="s">
        <v>41</v>
      </c>
      <c r="F106" s="118">
        <f>ROUND(F103+F104,0)</f>
        <v>50013</v>
      </c>
    </row>
    <row r="107" spans="2:7" ht="16.2" thickTop="1" x14ac:dyDescent="0.3">
      <c r="B107" s="115"/>
      <c r="C107" s="116"/>
      <c r="D107" s="116"/>
      <c r="E107" s="117"/>
      <c r="F107" s="118"/>
    </row>
    <row r="108" spans="2:7" x14ac:dyDescent="0.3">
      <c r="B108" s="115"/>
      <c r="C108" s="116"/>
      <c r="D108" s="116"/>
      <c r="E108" s="117"/>
      <c r="F108" s="118"/>
    </row>
    <row r="109" spans="2:7" x14ac:dyDescent="0.3">
      <c r="B109" s="115"/>
      <c r="C109" s="116"/>
      <c r="D109" s="116"/>
      <c r="E109" s="117"/>
      <c r="F109" s="118"/>
    </row>
    <row r="110" spans="2:7" x14ac:dyDescent="0.3">
      <c r="B110" s="856" t="s">
        <v>120</v>
      </c>
      <c r="C110" s="856"/>
      <c r="D110" s="1"/>
      <c r="E110" s="856" t="s">
        <v>122</v>
      </c>
      <c r="F110" s="856"/>
      <c r="G110" s="9"/>
    </row>
    <row r="111" spans="2:7" x14ac:dyDescent="0.3">
      <c r="B111" s="741" t="s">
        <v>121</v>
      </c>
      <c r="C111" s="741"/>
      <c r="D111" s="1"/>
      <c r="E111" s="741" t="s">
        <v>123</v>
      </c>
      <c r="F111" s="741"/>
    </row>
  </sheetData>
  <mergeCells count="14">
    <mergeCell ref="B6:G6"/>
    <mergeCell ref="B1:G5"/>
    <mergeCell ref="B110:C110"/>
    <mergeCell ref="B111:C111"/>
    <mergeCell ref="E111:F111"/>
    <mergeCell ref="E110:F110"/>
    <mergeCell ref="B38:F38"/>
    <mergeCell ref="B13:F13"/>
    <mergeCell ref="B11:F11"/>
    <mergeCell ref="B10:F10"/>
    <mergeCell ref="B7:F7"/>
    <mergeCell ref="B9:F9"/>
    <mergeCell ref="B8:F8"/>
    <mergeCell ref="B12:F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6952A-76D3-4697-BEE8-65518795E94F}">
  <dimension ref="B1:G96"/>
  <sheetViews>
    <sheetView view="pageBreakPreview" topLeftCell="A4" zoomScale="70" zoomScaleNormal="100" zoomScaleSheetLayoutView="70" workbookViewId="0">
      <selection activeCell="I11" sqref="I11"/>
    </sheetView>
  </sheetViews>
  <sheetFormatPr baseColWidth="10" defaultColWidth="11.44140625" defaultRowHeight="15.6" x14ac:dyDescent="0.3"/>
  <cols>
    <col min="1" max="1" width="11.44140625" style="1"/>
    <col min="2" max="2" width="20.44140625" style="28" customWidth="1"/>
    <col min="3" max="4" width="20.44140625" style="71" customWidth="1"/>
    <col min="5" max="5" width="20.44140625" style="72" customWidth="1"/>
    <col min="6" max="6" width="20.44140625" style="1" customWidth="1"/>
    <col min="7" max="7" width="11.44140625" style="1"/>
    <col min="8" max="8" width="18" style="1" customWidth="1"/>
    <col min="9" max="16384" width="11.44140625" style="1"/>
  </cols>
  <sheetData>
    <row r="1" spans="2:7" x14ac:dyDescent="0.3">
      <c r="B1" s="741"/>
      <c r="C1" s="741"/>
      <c r="D1" s="741"/>
      <c r="E1" s="741"/>
      <c r="F1" s="741"/>
    </row>
    <row r="2" spans="2:7" x14ac:dyDescent="0.3">
      <c r="B2" s="831"/>
      <c r="C2" s="831"/>
      <c r="D2" s="831"/>
      <c r="E2" s="831"/>
      <c r="F2" s="831"/>
      <c r="G2" s="831"/>
    </row>
    <row r="3" spans="2:7" x14ac:dyDescent="0.3">
      <c r="B3" s="831"/>
      <c r="C3" s="831"/>
      <c r="D3" s="831"/>
      <c r="E3" s="831"/>
      <c r="F3" s="831"/>
      <c r="G3" s="831"/>
    </row>
    <row r="4" spans="2:7" x14ac:dyDescent="0.3">
      <c r="B4" s="831"/>
      <c r="C4" s="831"/>
      <c r="D4" s="831"/>
      <c r="E4" s="831"/>
      <c r="F4" s="831"/>
      <c r="G4" s="831"/>
    </row>
    <row r="5" spans="2:7" x14ac:dyDescent="0.3">
      <c r="B5" s="831"/>
      <c r="C5" s="831"/>
      <c r="D5" s="831"/>
      <c r="E5" s="831"/>
      <c r="F5" s="831"/>
      <c r="G5" s="831"/>
    </row>
    <row r="6" spans="2:7" x14ac:dyDescent="0.3">
      <c r="B6" s="831"/>
      <c r="C6" s="831"/>
      <c r="D6" s="831"/>
      <c r="E6" s="831"/>
      <c r="F6" s="831"/>
      <c r="G6" s="831"/>
    </row>
    <row r="7" spans="2:7" ht="18" customHeight="1" x14ac:dyDescent="0.3">
      <c r="B7" s="741"/>
      <c r="C7" s="741"/>
      <c r="D7" s="741"/>
      <c r="E7" s="741"/>
      <c r="F7" s="741"/>
      <c r="G7" s="103"/>
    </row>
    <row r="8" spans="2:7" x14ac:dyDescent="0.3">
      <c r="B8" s="862" t="s">
        <v>1003</v>
      </c>
      <c r="C8" s="862"/>
      <c r="D8" s="862"/>
      <c r="E8" s="862"/>
      <c r="F8" s="862"/>
      <c r="G8" s="38"/>
    </row>
    <row r="9" spans="2:7" ht="3.75" customHeight="1" x14ac:dyDescent="0.3">
      <c r="B9" s="868"/>
      <c r="C9" s="868"/>
      <c r="D9" s="868"/>
      <c r="E9" s="868"/>
      <c r="F9" s="868"/>
      <c r="G9" s="38"/>
    </row>
    <row r="10" spans="2:7" ht="61.5" customHeight="1" x14ac:dyDescent="0.3">
      <c r="B10" s="859" t="str">
        <f>'PRESUPUESTO OFICIAL (Entidad)'!B9:G9</f>
        <v>OBJETO:  CONTRATO DE OBRA A TODO COSTO PARA LA CONSTRUCCION, MANTENIMIENTO Y MEJORAMIENTO DE DIFERENTES SEDES EDUCATIVAS DEL MUNICIPIO DE EL PITAL HUILA, CONFORME A LA FICHA TECNICA, EN CUMPLIMIENTO DEL PLAN DE DESARROLLO "UNIDOS SI PODEMOS 2024-2027"</v>
      </c>
      <c r="C10" s="859"/>
      <c r="D10" s="859"/>
      <c r="E10" s="859"/>
      <c r="F10" s="859"/>
    </row>
    <row r="11" spans="2:7" ht="8.25" customHeight="1" thickBot="1" x14ac:dyDescent="0.35"/>
    <row r="12" spans="2:7" ht="16.2" thickBot="1" x14ac:dyDescent="0.35">
      <c r="B12" s="863" t="s">
        <v>381</v>
      </c>
      <c r="C12" s="864"/>
      <c r="D12" s="864"/>
      <c r="E12" s="864"/>
      <c r="F12" s="865"/>
    </row>
    <row r="13" spans="2:7" x14ac:dyDescent="0.3">
      <c r="B13" s="73" t="s">
        <v>382</v>
      </c>
      <c r="C13" s="866" t="s">
        <v>81</v>
      </c>
      <c r="D13" s="867"/>
      <c r="E13" s="74" t="s">
        <v>23</v>
      </c>
      <c r="F13" s="75" t="s">
        <v>383</v>
      </c>
    </row>
    <row r="14" spans="2:7" ht="21" customHeight="1" x14ac:dyDescent="0.3">
      <c r="B14" s="77" t="s">
        <v>384</v>
      </c>
      <c r="C14" s="869" t="s">
        <v>385</v>
      </c>
      <c r="D14" s="870"/>
      <c r="E14" s="290" t="s">
        <v>386</v>
      </c>
      <c r="F14" s="503">
        <v>3000</v>
      </c>
    </row>
    <row r="15" spans="2:7" x14ac:dyDescent="0.3">
      <c r="B15" s="77" t="s">
        <v>387</v>
      </c>
      <c r="C15" s="869" t="s">
        <v>390</v>
      </c>
      <c r="D15" s="870"/>
      <c r="E15" s="290" t="s">
        <v>69</v>
      </c>
      <c r="F15" s="503">
        <v>60000</v>
      </c>
    </row>
    <row r="16" spans="2:7" x14ac:dyDescent="0.3">
      <c r="B16" s="77" t="s">
        <v>388</v>
      </c>
      <c r="C16" s="869" t="s">
        <v>392</v>
      </c>
      <c r="D16" s="870"/>
      <c r="E16" s="290" t="s">
        <v>69</v>
      </c>
      <c r="F16" s="503">
        <v>30000</v>
      </c>
    </row>
    <row r="17" spans="2:7" x14ac:dyDescent="0.3">
      <c r="B17" s="77" t="s">
        <v>389</v>
      </c>
      <c r="C17" s="869" t="s">
        <v>393</v>
      </c>
      <c r="D17" s="870"/>
      <c r="E17" s="290" t="s">
        <v>386</v>
      </c>
      <c r="F17" s="503">
        <v>1000</v>
      </c>
    </row>
    <row r="18" spans="2:7" ht="25.5" customHeight="1" x14ac:dyDescent="0.3">
      <c r="B18" s="77" t="s">
        <v>391</v>
      </c>
      <c r="C18" s="869" t="s">
        <v>395</v>
      </c>
      <c r="D18" s="870"/>
      <c r="E18" s="290" t="s">
        <v>69</v>
      </c>
      <c r="F18" s="503">
        <v>50000</v>
      </c>
    </row>
    <row r="19" spans="2:7" x14ac:dyDescent="0.3">
      <c r="B19" s="77" t="s">
        <v>689</v>
      </c>
      <c r="C19" s="869" t="s">
        <v>397</v>
      </c>
      <c r="D19" s="870"/>
      <c r="E19" s="290" t="s">
        <v>69</v>
      </c>
      <c r="F19" s="503">
        <v>35000</v>
      </c>
    </row>
    <row r="20" spans="2:7" ht="25.5" customHeight="1" x14ac:dyDescent="0.3">
      <c r="B20" s="77" t="s">
        <v>690</v>
      </c>
      <c r="C20" s="869" t="s">
        <v>398</v>
      </c>
      <c r="D20" s="870"/>
      <c r="E20" s="290" t="s">
        <v>69</v>
      </c>
      <c r="F20" s="503">
        <v>50000</v>
      </c>
    </row>
    <row r="21" spans="2:7" ht="25.5" customHeight="1" x14ac:dyDescent="0.3">
      <c r="B21" s="77" t="s">
        <v>394</v>
      </c>
      <c r="C21" s="869" t="s">
        <v>399</v>
      </c>
      <c r="D21" s="870"/>
      <c r="E21" s="290" t="s">
        <v>69</v>
      </c>
      <c r="F21" s="503">
        <v>50000</v>
      </c>
    </row>
    <row r="22" spans="2:7" x14ac:dyDescent="0.3">
      <c r="B22" s="77" t="s">
        <v>396</v>
      </c>
      <c r="C22" s="869" t="s">
        <v>400</v>
      </c>
      <c r="D22" s="870"/>
      <c r="E22" s="290" t="s">
        <v>69</v>
      </c>
      <c r="F22" s="503">
        <v>40000</v>
      </c>
    </row>
    <row r="23" spans="2:7" x14ac:dyDescent="0.3">
      <c r="B23" s="77" t="s">
        <v>1005</v>
      </c>
      <c r="C23" s="871" t="s">
        <v>1004</v>
      </c>
      <c r="D23" s="871"/>
      <c r="E23" s="357" t="s">
        <v>69</v>
      </c>
      <c r="F23" s="504">
        <v>80000</v>
      </c>
    </row>
    <row r="24" spans="2:7" x14ac:dyDescent="0.3">
      <c r="B24" s="77" t="s">
        <v>1048</v>
      </c>
      <c r="C24" s="505" t="s">
        <v>1047</v>
      </c>
      <c r="D24" s="505"/>
      <c r="E24" s="357" t="s">
        <v>69</v>
      </c>
      <c r="F24" s="506">
        <v>100000</v>
      </c>
    </row>
    <row r="25" spans="2:7" x14ac:dyDescent="0.3">
      <c r="B25" s="90"/>
    </row>
    <row r="26" spans="2:7" x14ac:dyDescent="0.3">
      <c r="B26" s="90"/>
    </row>
    <row r="27" spans="2:7" x14ac:dyDescent="0.3">
      <c r="B27" s="90"/>
    </row>
    <row r="28" spans="2:7" x14ac:dyDescent="0.3">
      <c r="B28" s="856" t="s">
        <v>120</v>
      </c>
      <c r="C28" s="856"/>
      <c r="D28" s="1"/>
      <c r="E28" s="856" t="s">
        <v>122</v>
      </c>
      <c r="F28" s="856"/>
      <c r="G28" s="9"/>
    </row>
    <row r="29" spans="2:7" x14ac:dyDescent="0.3">
      <c r="B29" s="741" t="s">
        <v>121</v>
      </c>
      <c r="C29" s="741"/>
      <c r="D29" s="1"/>
      <c r="E29" s="741" t="s">
        <v>123</v>
      </c>
      <c r="F29" s="741"/>
    </row>
    <row r="30" spans="2:7" x14ac:dyDescent="0.3">
      <c r="B30" s="90"/>
    </row>
    <row r="31" spans="2:7" x14ac:dyDescent="0.3">
      <c r="B31" s="90"/>
    </row>
    <row r="32" spans="2:7" x14ac:dyDescent="0.3">
      <c r="B32" s="90"/>
    </row>
    <row r="33" spans="2:2" x14ac:dyDescent="0.3">
      <c r="B33" s="90"/>
    </row>
    <row r="34" spans="2:2" x14ac:dyDescent="0.3">
      <c r="B34" s="90"/>
    </row>
    <row r="35" spans="2:2" x14ac:dyDescent="0.3">
      <c r="B35" s="90"/>
    </row>
    <row r="36" spans="2:2" x14ac:dyDescent="0.3">
      <c r="B36" s="90"/>
    </row>
    <row r="37" spans="2:2" x14ac:dyDescent="0.3">
      <c r="B37" s="90"/>
    </row>
    <row r="38" spans="2:2" x14ac:dyDescent="0.3">
      <c r="B38" s="90"/>
    </row>
    <row r="39" spans="2:2" x14ac:dyDescent="0.3">
      <c r="B39" s="90"/>
    </row>
    <row r="40" spans="2:2" x14ac:dyDescent="0.3">
      <c r="B40" s="90"/>
    </row>
    <row r="41" spans="2:2" x14ac:dyDescent="0.3">
      <c r="B41" s="90"/>
    </row>
    <row r="42" spans="2:2" x14ac:dyDescent="0.3">
      <c r="B42" s="90"/>
    </row>
    <row r="43" spans="2:2" x14ac:dyDescent="0.3">
      <c r="B43" s="90"/>
    </row>
    <row r="44" spans="2:2" x14ac:dyDescent="0.3">
      <c r="B44" s="90"/>
    </row>
    <row r="45" spans="2:2" x14ac:dyDescent="0.3">
      <c r="B45" s="90"/>
    </row>
    <row r="46" spans="2:2" x14ac:dyDescent="0.3">
      <c r="B46" s="90"/>
    </row>
    <row r="47" spans="2:2" x14ac:dyDescent="0.3">
      <c r="B47" s="90"/>
    </row>
    <row r="48" spans="2:2" x14ac:dyDescent="0.3">
      <c r="B48" s="90"/>
    </row>
    <row r="49" spans="2:2" x14ac:dyDescent="0.3">
      <c r="B49" s="90"/>
    </row>
    <row r="50" spans="2:2" x14ac:dyDescent="0.3">
      <c r="B50" s="90"/>
    </row>
    <row r="51" spans="2:2" x14ac:dyDescent="0.3">
      <c r="B51" s="90"/>
    </row>
    <row r="52" spans="2:2" x14ac:dyDescent="0.3">
      <c r="B52" s="90"/>
    </row>
    <row r="53" spans="2:2" x14ac:dyDescent="0.3">
      <c r="B53" s="90"/>
    </row>
    <row r="54" spans="2:2" x14ac:dyDescent="0.3">
      <c r="B54" s="90"/>
    </row>
    <row r="55" spans="2:2" x14ac:dyDescent="0.3">
      <c r="B55" s="90"/>
    </row>
    <row r="56" spans="2:2" x14ac:dyDescent="0.3">
      <c r="B56" s="90"/>
    </row>
    <row r="57" spans="2:2" x14ac:dyDescent="0.3">
      <c r="B57" s="90"/>
    </row>
    <row r="58" spans="2:2" x14ac:dyDescent="0.3">
      <c r="B58" s="90"/>
    </row>
    <row r="59" spans="2:2" x14ac:dyDescent="0.3">
      <c r="B59" s="90"/>
    </row>
    <row r="60" spans="2:2" x14ac:dyDescent="0.3">
      <c r="B60" s="90"/>
    </row>
    <row r="61" spans="2:2" x14ac:dyDescent="0.3">
      <c r="B61" s="90"/>
    </row>
    <row r="62" spans="2:2" x14ac:dyDescent="0.3">
      <c r="B62" s="90"/>
    </row>
    <row r="63" spans="2:2" x14ac:dyDescent="0.3">
      <c r="B63" s="90"/>
    </row>
    <row r="64" spans="2:2" x14ac:dyDescent="0.3">
      <c r="B64" s="90"/>
    </row>
    <row r="65" spans="2:2" x14ac:dyDescent="0.3">
      <c r="B65" s="90"/>
    </row>
    <row r="66" spans="2:2" x14ac:dyDescent="0.3">
      <c r="B66" s="90"/>
    </row>
    <row r="67" spans="2:2" x14ac:dyDescent="0.3">
      <c r="B67" s="90"/>
    </row>
    <row r="68" spans="2:2" x14ac:dyDescent="0.3">
      <c r="B68" s="90"/>
    </row>
    <row r="69" spans="2:2" x14ac:dyDescent="0.3">
      <c r="B69" s="90"/>
    </row>
    <row r="70" spans="2:2" x14ac:dyDescent="0.3">
      <c r="B70" s="90"/>
    </row>
    <row r="71" spans="2:2" x14ac:dyDescent="0.3">
      <c r="B71" s="90"/>
    </row>
    <row r="72" spans="2:2" x14ac:dyDescent="0.3">
      <c r="B72" s="90"/>
    </row>
    <row r="73" spans="2:2" x14ac:dyDescent="0.3">
      <c r="B73" s="90"/>
    </row>
    <row r="74" spans="2:2" x14ac:dyDescent="0.3">
      <c r="B74" s="90"/>
    </row>
    <row r="75" spans="2:2" x14ac:dyDescent="0.3">
      <c r="B75" s="90"/>
    </row>
    <row r="76" spans="2:2" x14ac:dyDescent="0.3">
      <c r="B76" s="90"/>
    </row>
    <row r="77" spans="2:2" x14ac:dyDescent="0.3">
      <c r="B77" s="90"/>
    </row>
    <row r="78" spans="2:2" x14ac:dyDescent="0.3">
      <c r="B78" s="90"/>
    </row>
    <row r="79" spans="2:2" x14ac:dyDescent="0.3">
      <c r="B79" s="90"/>
    </row>
    <row r="80" spans="2:2" x14ac:dyDescent="0.3">
      <c r="B80" s="90"/>
    </row>
    <row r="81" spans="2:2" x14ac:dyDescent="0.3">
      <c r="B81" s="90"/>
    </row>
    <row r="82" spans="2:2" x14ac:dyDescent="0.3">
      <c r="B82" s="90"/>
    </row>
    <row r="83" spans="2:2" x14ac:dyDescent="0.3">
      <c r="B83" s="90"/>
    </row>
    <row r="84" spans="2:2" x14ac:dyDescent="0.3">
      <c r="B84" s="90"/>
    </row>
    <row r="85" spans="2:2" x14ac:dyDescent="0.3">
      <c r="B85" s="90"/>
    </row>
    <row r="86" spans="2:2" x14ac:dyDescent="0.3">
      <c r="B86" s="90"/>
    </row>
    <row r="87" spans="2:2" x14ac:dyDescent="0.3">
      <c r="B87" s="90"/>
    </row>
    <row r="88" spans="2:2" x14ac:dyDescent="0.3">
      <c r="B88" s="90"/>
    </row>
    <row r="89" spans="2:2" x14ac:dyDescent="0.3">
      <c r="B89" s="90"/>
    </row>
    <row r="90" spans="2:2" x14ac:dyDescent="0.3">
      <c r="B90" s="90"/>
    </row>
    <row r="91" spans="2:2" x14ac:dyDescent="0.3">
      <c r="B91" s="90"/>
    </row>
    <row r="92" spans="2:2" x14ac:dyDescent="0.3">
      <c r="B92" s="90"/>
    </row>
    <row r="93" spans="2:2" x14ac:dyDescent="0.3">
      <c r="B93" s="90"/>
    </row>
    <row r="94" spans="2:2" x14ac:dyDescent="0.3">
      <c r="B94" s="90"/>
    </row>
    <row r="95" spans="2:2" x14ac:dyDescent="0.3">
      <c r="B95" s="90"/>
    </row>
    <row r="96" spans="2:2" x14ac:dyDescent="0.3">
      <c r="B96" s="90"/>
    </row>
  </sheetData>
  <mergeCells count="22">
    <mergeCell ref="C22:D22"/>
    <mergeCell ref="C21:D21"/>
    <mergeCell ref="B28:C28"/>
    <mergeCell ref="B29:C29"/>
    <mergeCell ref="E29:F29"/>
    <mergeCell ref="E28:F28"/>
    <mergeCell ref="C23:D23"/>
    <mergeCell ref="B12:F12"/>
    <mergeCell ref="C13:D13"/>
    <mergeCell ref="B9:F9"/>
    <mergeCell ref="C14:D14"/>
    <mergeCell ref="C20:D20"/>
    <mergeCell ref="C19:D19"/>
    <mergeCell ref="C16:D16"/>
    <mergeCell ref="C15:D15"/>
    <mergeCell ref="C18:D18"/>
    <mergeCell ref="C17:D17"/>
    <mergeCell ref="B1:F1"/>
    <mergeCell ref="B2:G6"/>
    <mergeCell ref="B7:F7"/>
    <mergeCell ref="B8:F8"/>
    <mergeCell ref="B10:F10"/>
  </mergeCells>
  <phoneticPr fontId="14" type="noConversion"/>
  <pageMargins left="0.7" right="0.7" top="0.75" bottom="0.75" header="0.3" footer="0.3"/>
  <pageSetup paperSize="9" scale="7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CA1F-01A2-42BE-9F1B-222FB659056D}">
  <sheetPr codeName="Hoja4"/>
  <dimension ref="A1:N156"/>
  <sheetViews>
    <sheetView view="pageBreakPreview" topLeftCell="A103" zoomScale="90" zoomScaleNormal="100" zoomScaleSheetLayoutView="90" workbookViewId="0">
      <selection activeCell="F110" sqref="F110"/>
    </sheetView>
  </sheetViews>
  <sheetFormatPr baseColWidth="10" defaultColWidth="11.44140625" defaultRowHeight="15.6" x14ac:dyDescent="0.3"/>
  <cols>
    <col min="1" max="1" width="6.6640625" style="1" customWidth="1"/>
    <col min="2" max="2" width="20.44140625" style="28" customWidth="1"/>
    <col min="3" max="3" width="53.33203125" style="34" customWidth="1"/>
    <col min="4" max="4" width="14.5546875" style="72" customWidth="1"/>
    <col min="5" max="5" width="26.5546875" style="356" customWidth="1"/>
    <col min="6" max="7" width="11.44140625" style="34" customWidth="1"/>
    <col min="8" max="8" width="17.44140625" style="72" customWidth="1"/>
    <col min="9" max="9" width="14.6640625" style="72" customWidth="1"/>
    <col min="10" max="10" width="35.109375" style="72" customWidth="1"/>
    <col min="11" max="11" width="14.6640625" style="363" customWidth="1"/>
    <col min="12" max="16384" width="11.44140625" style="1"/>
  </cols>
  <sheetData>
    <row r="1" spans="1:11" x14ac:dyDescent="0.3">
      <c r="B1" s="718"/>
      <c r="C1" s="718"/>
      <c r="D1" s="718"/>
      <c r="E1" s="718"/>
      <c r="G1" s="335"/>
    </row>
    <row r="2" spans="1:11" x14ac:dyDescent="0.3">
      <c r="B2" s="718"/>
      <c r="C2" s="718"/>
      <c r="D2" s="718"/>
      <c r="E2" s="718"/>
      <c r="F2" s="718"/>
      <c r="G2" s="718"/>
    </row>
    <row r="3" spans="1:11" x14ac:dyDescent="0.3">
      <c r="B3" s="718"/>
      <c r="C3" s="718"/>
      <c r="D3" s="718"/>
      <c r="E3" s="718"/>
      <c r="F3" s="718"/>
      <c r="G3" s="718"/>
    </row>
    <row r="4" spans="1:11" x14ac:dyDescent="0.3">
      <c r="B4" s="718"/>
      <c r="C4" s="718"/>
      <c r="D4" s="718"/>
      <c r="E4" s="718"/>
      <c r="F4" s="718"/>
      <c r="G4" s="718"/>
    </row>
    <row r="5" spans="1:11" x14ac:dyDescent="0.3">
      <c r="B5" s="718"/>
      <c r="C5" s="718"/>
      <c r="D5" s="718"/>
      <c r="E5" s="718"/>
      <c r="F5" s="718"/>
      <c r="G5" s="718"/>
    </row>
    <row r="6" spans="1:11" x14ac:dyDescent="0.3">
      <c r="B6" s="718"/>
      <c r="C6" s="718"/>
      <c r="D6" s="718"/>
      <c r="E6" s="718"/>
      <c r="F6" s="718"/>
      <c r="G6" s="718"/>
    </row>
    <row r="7" spans="1:11" ht="18" customHeight="1" x14ac:dyDescent="0.3">
      <c r="B7" s="718"/>
      <c r="C7" s="718"/>
      <c r="D7" s="718"/>
      <c r="E7" s="718"/>
      <c r="F7" s="28"/>
      <c r="G7" s="28"/>
    </row>
    <row r="8" spans="1:11" x14ac:dyDescent="0.3">
      <c r="B8" s="862" t="s">
        <v>1003</v>
      </c>
      <c r="C8" s="862"/>
      <c r="D8" s="862"/>
      <c r="E8" s="862"/>
      <c r="F8" s="108"/>
      <c r="G8" s="28"/>
    </row>
    <row r="9" spans="1:11" ht="7.5" customHeight="1" x14ac:dyDescent="0.3">
      <c r="B9" s="860"/>
      <c r="C9" s="860"/>
      <c r="D9" s="860"/>
      <c r="E9" s="860"/>
    </row>
    <row r="10" spans="1:11" ht="53.25" customHeight="1" x14ac:dyDescent="0.3">
      <c r="B10" s="859" t="str">
        <f>'PRESUPUESTO OFICIAL (Entidad)'!B9:G9</f>
        <v>OBJETO:  CONTRATO DE OBRA A TODO COSTO PARA LA CONSTRUCCION, MANTENIMIENTO Y MEJORAMIENTO DE DIFERENTES SEDES EDUCATIVAS DEL MUNICIPIO DE EL PITAL HUILA, CONFORME A LA FICHA TECNICA, EN CUMPLIMIENTO DEL PLAN DE DESARROLLO "UNIDOS SI PODEMOS 2024-2027"</v>
      </c>
      <c r="C10" s="859"/>
      <c r="D10" s="859"/>
      <c r="E10" s="859"/>
    </row>
    <row r="11" spans="1:11" ht="8.25" customHeight="1" x14ac:dyDescent="0.3">
      <c r="B11" s="860"/>
      <c r="C11" s="860"/>
      <c r="D11" s="860"/>
      <c r="E11" s="860"/>
    </row>
    <row r="12" spans="1:11" ht="14.25" customHeight="1" thickBot="1" x14ac:dyDescent="0.35">
      <c r="B12" s="879" t="s">
        <v>492</v>
      </c>
      <c r="C12" s="879"/>
      <c r="D12" s="879"/>
      <c r="E12" s="879"/>
      <c r="H12" s="874" t="s">
        <v>661</v>
      </c>
      <c r="I12" s="874"/>
      <c r="J12" s="874"/>
      <c r="K12" s="874"/>
    </row>
    <row r="13" spans="1:11" ht="9.75" customHeight="1" x14ac:dyDescent="0.3">
      <c r="B13" s="880"/>
      <c r="C13" s="880"/>
      <c r="D13" s="880"/>
      <c r="E13" s="880"/>
      <c r="H13" s="875"/>
      <c r="I13" s="875"/>
      <c r="J13" s="875"/>
      <c r="K13" s="875"/>
    </row>
    <row r="14" spans="1:11" ht="33.75" customHeight="1" thickBot="1" x14ac:dyDescent="0.35">
      <c r="B14" s="882" t="s">
        <v>401</v>
      </c>
      <c r="C14" s="882"/>
      <c r="D14" s="882"/>
      <c r="E14" s="882"/>
      <c r="H14" s="360" t="s">
        <v>662</v>
      </c>
      <c r="I14" s="360" t="s">
        <v>1041</v>
      </c>
      <c r="J14" s="360" t="s">
        <v>817</v>
      </c>
      <c r="K14" s="359" t="s">
        <v>833</v>
      </c>
    </row>
    <row r="15" spans="1:11" x14ac:dyDescent="0.3">
      <c r="B15" s="73" t="s">
        <v>382</v>
      </c>
      <c r="C15" s="79" t="s">
        <v>81</v>
      </c>
      <c r="D15" s="74" t="s">
        <v>23</v>
      </c>
      <c r="E15" s="98" t="s">
        <v>383</v>
      </c>
    </row>
    <row r="16" spans="1:11" ht="21" customHeight="1" x14ac:dyDescent="0.3">
      <c r="A16" s="1">
        <v>16</v>
      </c>
      <c r="B16" s="77" t="s">
        <v>402</v>
      </c>
      <c r="C16" s="78" t="s">
        <v>193</v>
      </c>
      <c r="D16" s="76" t="s">
        <v>111</v>
      </c>
      <c r="E16" s="89">
        <f>AVERAGE(H16:K16)</f>
        <v>726.6658666666666</v>
      </c>
      <c r="H16" s="358">
        <f>37000/50</f>
        <v>740</v>
      </c>
      <c r="I16" s="358">
        <f>(30252/50)*1.19</f>
        <v>719.99759999999992</v>
      </c>
      <c r="J16" s="358">
        <f>36000/50</f>
        <v>720</v>
      </c>
      <c r="K16" s="358"/>
    </row>
    <row r="17" spans="1:13" ht="25.5" customHeight="1" x14ac:dyDescent="0.3">
      <c r="A17" s="1">
        <v>17</v>
      </c>
      <c r="B17" s="77" t="s">
        <v>403</v>
      </c>
      <c r="C17" s="78" t="s">
        <v>498</v>
      </c>
      <c r="D17" s="76" t="s">
        <v>9</v>
      </c>
      <c r="E17" s="89">
        <v>131000</v>
      </c>
      <c r="G17" s="351" t="s">
        <v>646</v>
      </c>
    </row>
    <row r="18" spans="1:13" x14ac:dyDescent="0.3">
      <c r="A18" s="1">
        <v>18</v>
      </c>
      <c r="B18" s="77" t="s">
        <v>405</v>
      </c>
      <c r="C18" s="78" t="s">
        <v>407</v>
      </c>
      <c r="D18" s="76" t="s">
        <v>9</v>
      </c>
      <c r="E18" s="89">
        <v>111000</v>
      </c>
      <c r="G18" s="351" t="s">
        <v>646</v>
      </c>
    </row>
    <row r="19" spans="1:13" x14ac:dyDescent="0.3">
      <c r="A19" s="1">
        <v>19</v>
      </c>
      <c r="B19" s="77" t="s">
        <v>406</v>
      </c>
      <c r="C19" s="78" t="s">
        <v>645</v>
      </c>
      <c r="D19" s="76" t="s">
        <v>9</v>
      </c>
      <c r="E19" s="477">
        <f>450000/6</f>
        <v>75000</v>
      </c>
      <c r="F19" s="478"/>
      <c r="G19" s="478" t="s">
        <v>648</v>
      </c>
      <c r="H19" s="479"/>
    </row>
    <row r="20" spans="1:13" x14ac:dyDescent="0.3">
      <c r="A20" s="1">
        <v>20</v>
      </c>
      <c r="B20" s="77" t="s">
        <v>408</v>
      </c>
      <c r="C20" s="78" t="s">
        <v>191</v>
      </c>
      <c r="D20" s="76" t="s">
        <v>9</v>
      </c>
      <c r="E20" s="477">
        <f>200000/6</f>
        <v>33333.333333333336</v>
      </c>
      <c r="F20" s="478"/>
      <c r="G20" s="480" t="s">
        <v>1007</v>
      </c>
      <c r="H20" s="479"/>
    </row>
    <row r="21" spans="1:13" x14ac:dyDescent="0.3">
      <c r="A21" s="1">
        <v>21</v>
      </c>
      <c r="B21" s="77" t="s">
        <v>409</v>
      </c>
      <c r="C21" s="78" t="s">
        <v>410</v>
      </c>
      <c r="D21" s="76" t="s">
        <v>411</v>
      </c>
      <c r="E21" s="477">
        <v>20</v>
      </c>
      <c r="F21" s="478"/>
      <c r="G21" s="480" t="s">
        <v>647</v>
      </c>
      <c r="H21" s="479"/>
    </row>
    <row r="22" spans="1:13" x14ac:dyDescent="0.3">
      <c r="A22" s="1">
        <v>22</v>
      </c>
      <c r="B22" s="77" t="s">
        <v>650</v>
      </c>
      <c r="C22" s="78" t="s">
        <v>412</v>
      </c>
      <c r="D22" s="76" t="s">
        <v>9</v>
      </c>
      <c r="E22" s="477">
        <f>400000/6</f>
        <v>66666.666666666672</v>
      </c>
      <c r="F22" s="478"/>
      <c r="G22" s="478" t="s">
        <v>648</v>
      </c>
      <c r="H22" s="479"/>
    </row>
    <row r="23" spans="1:13" ht="16.2" thickBot="1" x14ac:dyDescent="0.35">
      <c r="A23" s="1">
        <v>23</v>
      </c>
      <c r="B23" s="882" t="s">
        <v>414</v>
      </c>
      <c r="C23" s="882"/>
      <c r="D23" s="882"/>
      <c r="E23" s="882"/>
    </row>
    <row r="24" spans="1:13" x14ac:dyDescent="0.3">
      <c r="A24" s="1">
        <v>24</v>
      </c>
      <c r="B24" s="73" t="s">
        <v>382</v>
      </c>
      <c r="C24" s="79" t="s">
        <v>81</v>
      </c>
      <c r="D24" s="74" t="s">
        <v>23</v>
      </c>
      <c r="E24" s="98" t="s">
        <v>383</v>
      </c>
    </row>
    <row r="25" spans="1:13" ht="25.5" customHeight="1" x14ac:dyDescent="0.3">
      <c r="A25" s="1">
        <v>25</v>
      </c>
      <c r="B25" s="80" t="s">
        <v>415</v>
      </c>
      <c r="C25" s="81" t="s">
        <v>416</v>
      </c>
      <c r="D25" s="82" t="s">
        <v>9</v>
      </c>
      <c r="E25" s="85">
        <f>'C. 3000 PSI'!F45</f>
        <v>607218</v>
      </c>
      <c r="G25" s="335" t="s">
        <v>664</v>
      </c>
    </row>
    <row r="26" spans="1:13" ht="25.5" customHeight="1" x14ac:dyDescent="0.3">
      <c r="A26" s="1">
        <v>26</v>
      </c>
      <c r="B26" s="80" t="s">
        <v>417</v>
      </c>
      <c r="C26" s="81" t="s">
        <v>192</v>
      </c>
      <c r="D26" s="82" t="s">
        <v>9</v>
      </c>
      <c r="E26" s="85">
        <f>'C. 2500 PSI'!F45</f>
        <v>514121</v>
      </c>
      <c r="G26" s="335" t="s">
        <v>664</v>
      </c>
    </row>
    <row r="27" spans="1:13" ht="25.5" customHeight="1" x14ac:dyDescent="0.3">
      <c r="A27" s="1">
        <v>27</v>
      </c>
      <c r="B27" s="80" t="s">
        <v>418</v>
      </c>
      <c r="C27" s="81" t="s">
        <v>513</v>
      </c>
      <c r="D27" s="82" t="s">
        <v>9</v>
      </c>
      <c r="E27" s="85">
        <f>'C. 2000 PSI'!F45</f>
        <v>470384</v>
      </c>
      <c r="G27" s="335" t="s">
        <v>664</v>
      </c>
    </row>
    <row r="28" spans="1:13" ht="25.5" customHeight="1" x14ac:dyDescent="0.3">
      <c r="A28" s="1">
        <v>28</v>
      </c>
      <c r="B28" s="80" t="s">
        <v>419</v>
      </c>
      <c r="C28" s="81" t="s">
        <v>693</v>
      </c>
      <c r="D28" s="82" t="s">
        <v>9</v>
      </c>
      <c r="E28" s="85">
        <f>'C. 1700 PSI'!F45</f>
        <v>460681</v>
      </c>
      <c r="G28" s="335" t="s">
        <v>664</v>
      </c>
    </row>
    <row r="29" spans="1:13" ht="25.5" customHeight="1" x14ac:dyDescent="0.3">
      <c r="A29" s="1">
        <v>29</v>
      </c>
      <c r="B29" s="80" t="s">
        <v>512</v>
      </c>
      <c r="C29" s="81" t="s">
        <v>420</v>
      </c>
      <c r="D29" s="82" t="s">
        <v>9</v>
      </c>
      <c r="E29" s="85">
        <f>'C. CICL'!F45</f>
        <v>513415</v>
      </c>
      <c r="G29" s="335" t="s">
        <v>664</v>
      </c>
    </row>
    <row r="30" spans="1:13" ht="25.5" customHeight="1" x14ac:dyDescent="0.3">
      <c r="B30" s="80" t="s">
        <v>692</v>
      </c>
      <c r="C30" s="81" t="s">
        <v>1009</v>
      </c>
      <c r="D30" s="82" t="s">
        <v>9</v>
      </c>
      <c r="E30" s="85">
        <f>'M 1-3'!F46</f>
        <v>503936</v>
      </c>
      <c r="G30" s="335"/>
    </row>
    <row r="31" spans="1:13" x14ac:dyDescent="0.3">
      <c r="A31" s="1">
        <v>30</v>
      </c>
      <c r="B31" s="80" t="s">
        <v>1008</v>
      </c>
      <c r="C31" s="81" t="s">
        <v>421</v>
      </c>
      <c r="D31" s="82" t="s">
        <v>9</v>
      </c>
      <c r="E31" s="85">
        <f>'M 1-4'!F46</f>
        <v>442836</v>
      </c>
      <c r="G31" s="335" t="s">
        <v>664</v>
      </c>
    </row>
    <row r="32" spans="1:13" ht="16.2" thickBot="1" x14ac:dyDescent="0.35">
      <c r="A32" s="1">
        <v>31</v>
      </c>
      <c r="B32" s="881" t="s">
        <v>423</v>
      </c>
      <c r="C32" s="881"/>
      <c r="D32" s="881"/>
      <c r="E32" s="881"/>
      <c r="H32" s="876" t="s">
        <v>661</v>
      </c>
      <c r="I32" s="877"/>
      <c r="J32" s="877"/>
      <c r="K32" s="878"/>
      <c r="L32" s="52"/>
      <c r="M32" s="52"/>
    </row>
    <row r="33" spans="1:13" ht="31.2" x14ac:dyDescent="0.3">
      <c r="A33" s="1">
        <v>32</v>
      </c>
      <c r="B33" s="83" t="s">
        <v>382</v>
      </c>
      <c r="C33" s="84" t="s">
        <v>81</v>
      </c>
      <c r="D33" s="84" t="s">
        <v>23</v>
      </c>
      <c r="E33" s="99" t="s">
        <v>383</v>
      </c>
      <c r="H33" s="360" t="s">
        <v>662</v>
      </c>
      <c r="I33" s="360" t="s">
        <v>663</v>
      </c>
      <c r="J33" s="360" t="s">
        <v>818</v>
      </c>
      <c r="K33" s="359" t="s">
        <v>833</v>
      </c>
      <c r="L33" s="52"/>
      <c r="M33" s="52" t="s">
        <v>1077</v>
      </c>
    </row>
    <row r="34" spans="1:13" ht="15" customHeight="1" x14ac:dyDescent="0.3">
      <c r="A34" s="1">
        <v>33</v>
      </c>
      <c r="B34" s="80" t="s">
        <v>424</v>
      </c>
      <c r="C34" s="276" t="s">
        <v>199</v>
      </c>
      <c r="D34" s="281" t="s">
        <v>111</v>
      </c>
      <c r="E34" s="85">
        <f>AVERAGE(H34:K34)</f>
        <v>4750</v>
      </c>
      <c r="H34" s="358">
        <v>5300</v>
      </c>
      <c r="I34" s="357"/>
      <c r="J34" s="358">
        <v>4200</v>
      </c>
      <c r="K34" s="358"/>
      <c r="L34" s="52"/>
      <c r="M34" s="52"/>
    </row>
    <row r="35" spans="1:13" ht="15" customHeight="1" x14ac:dyDescent="0.3">
      <c r="A35" s="1">
        <v>34</v>
      </c>
      <c r="B35" s="80" t="s">
        <v>425</v>
      </c>
      <c r="C35" s="276" t="s">
        <v>511</v>
      </c>
      <c r="D35" s="92" t="s">
        <v>111</v>
      </c>
      <c r="E35" s="85">
        <f t="shared" ref="E35:E98" si="0">AVERAGE(H35:K35)</f>
        <v>5050</v>
      </c>
      <c r="H35" s="358">
        <v>5300</v>
      </c>
      <c r="I35" s="357"/>
      <c r="J35" s="358">
        <v>4800</v>
      </c>
      <c r="K35" s="358"/>
      <c r="L35" s="52"/>
      <c r="M35" s="52"/>
    </row>
    <row r="36" spans="1:13" x14ac:dyDescent="0.3">
      <c r="A36" s="1">
        <v>35</v>
      </c>
      <c r="B36" s="80" t="s">
        <v>426</v>
      </c>
      <c r="C36" s="61" t="s">
        <v>756</v>
      </c>
      <c r="D36" s="156" t="s">
        <v>21</v>
      </c>
      <c r="E36" s="85">
        <f t="shared" si="0"/>
        <v>500</v>
      </c>
      <c r="H36" s="357">
        <v>400</v>
      </c>
      <c r="I36" s="358"/>
      <c r="J36" s="358">
        <v>600</v>
      </c>
      <c r="K36" s="358"/>
      <c r="L36" s="52"/>
      <c r="M36" s="52"/>
    </row>
    <row r="37" spans="1:13" x14ac:dyDescent="0.3">
      <c r="A37" s="1">
        <v>36</v>
      </c>
      <c r="B37" s="80" t="s">
        <v>428</v>
      </c>
      <c r="C37" s="61" t="s">
        <v>665</v>
      </c>
      <c r="D37" s="156" t="s">
        <v>21</v>
      </c>
      <c r="E37" s="85">
        <f t="shared" si="0"/>
        <v>500</v>
      </c>
      <c r="H37" s="362">
        <v>400</v>
      </c>
      <c r="I37" s="361"/>
      <c r="J37" s="361">
        <v>600</v>
      </c>
      <c r="K37" s="361"/>
      <c r="L37" s="52"/>
      <c r="M37" s="52"/>
    </row>
    <row r="38" spans="1:13" ht="15" customHeight="1" x14ac:dyDescent="0.3">
      <c r="A38" s="1">
        <v>37</v>
      </c>
      <c r="B38" s="80" t="s">
        <v>429</v>
      </c>
      <c r="C38" s="61" t="s">
        <v>575</v>
      </c>
      <c r="D38" s="156" t="s">
        <v>19</v>
      </c>
      <c r="E38" s="85">
        <f t="shared" si="0"/>
        <v>6250</v>
      </c>
      <c r="H38" s="361">
        <v>5000</v>
      </c>
      <c r="I38" s="361"/>
      <c r="J38" s="361">
        <v>7500</v>
      </c>
      <c r="K38" s="361"/>
      <c r="L38" s="52"/>
      <c r="M38" s="52"/>
    </row>
    <row r="39" spans="1:13" ht="15" customHeight="1" x14ac:dyDescent="0.3">
      <c r="A39" s="1">
        <v>38</v>
      </c>
      <c r="B39" s="80" t="s">
        <v>430</v>
      </c>
      <c r="C39" s="61" t="s">
        <v>578</v>
      </c>
      <c r="D39" s="156" t="s">
        <v>19</v>
      </c>
      <c r="E39" s="85">
        <f t="shared" si="0"/>
        <v>3096.3585333333335</v>
      </c>
      <c r="H39" s="361">
        <v>2800</v>
      </c>
      <c r="I39" s="361">
        <f>268907.56/100</f>
        <v>2689.0756000000001</v>
      </c>
      <c r="J39" s="361">
        <v>3800</v>
      </c>
      <c r="K39" s="361"/>
      <c r="L39" s="52"/>
      <c r="M39" s="52"/>
    </row>
    <row r="40" spans="1:13" ht="15" customHeight="1" x14ac:dyDescent="0.3">
      <c r="A40" s="1">
        <v>39</v>
      </c>
      <c r="B40" s="80" t="s">
        <v>431</v>
      </c>
      <c r="C40" s="61" t="s">
        <v>576</v>
      </c>
      <c r="D40" s="156" t="s">
        <v>19</v>
      </c>
      <c r="E40" s="85">
        <f t="shared" si="0"/>
        <v>2000</v>
      </c>
      <c r="H40" s="361">
        <v>2000</v>
      </c>
      <c r="I40" s="361"/>
      <c r="J40" s="361">
        <v>2000</v>
      </c>
      <c r="K40" s="361"/>
      <c r="L40" s="52"/>
      <c r="M40" s="52"/>
    </row>
    <row r="41" spans="1:13" x14ac:dyDescent="0.3">
      <c r="A41" s="1">
        <v>40</v>
      </c>
      <c r="B41" s="80" t="s">
        <v>432</v>
      </c>
      <c r="C41" s="276" t="s">
        <v>509</v>
      </c>
      <c r="D41" s="156" t="s">
        <v>111</v>
      </c>
      <c r="E41" s="85">
        <f t="shared" si="0"/>
        <v>6894.1166666666659</v>
      </c>
      <c r="H41" s="361">
        <v>7000</v>
      </c>
      <c r="I41" s="361">
        <v>5882.35</v>
      </c>
      <c r="J41" s="361">
        <v>7800</v>
      </c>
      <c r="K41" s="361"/>
      <c r="L41" s="52"/>
      <c r="M41" s="52"/>
    </row>
    <row r="42" spans="1:13" ht="15" customHeight="1" x14ac:dyDescent="0.3">
      <c r="A42" s="1">
        <v>41</v>
      </c>
      <c r="B42" s="80" t="s">
        <v>434</v>
      </c>
      <c r="C42" s="276" t="s">
        <v>609</v>
      </c>
      <c r="D42" s="156" t="s">
        <v>19</v>
      </c>
      <c r="E42" s="85">
        <f t="shared" si="0"/>
        <v>5322.2222222222226</v>
      </c>
      <c r="H42" s="361">
        <f>34000/6</f>
        <v>5666.666666666667</v>
      </c>
      <c r="I42" s="361"/>
      <c r="J42" s="361">
        <f>32800/6</f>
        <v>5466.666666666667</v>
      </c>
      <c r="K42" s="361">
        <f>29000/6</f>
        <v>4833.333333333333</v>
      </c>
      <c r="L42" s="52"/>
      <c r="M42" s="52"/>
    </row>
    <row r="43" spans="1:13" x14ac:dyDescent="0.3">
      <c r="A43" s="1">
        <v>42</v>
      </c>
      <c r="B43" s="80" t="s">
        <v>435</v>
      </c>
      <c r="C43" s="347" t="s">
        <v>798</v>
      </c>
      <c r="D43" s="156" t="s">
        <v>19</v>
      </c>
      <c r="E43" s="85">
        <f t="shared" si="0"/>
        <v>15844.444444444445</v>
      </c>
      <c r="H43" s="362">
        <f>100000/6</f>
        <v>16666.666666666668</v>
      </c>
      <c r="I43" s="361"/>
      <c r="J43" s="361">
        <f>100200/6</f>
        <v>16700</v>
      </c>
      <c r="K43" s="358">
        <f>85000/6</f>
        <v>14166.666666666666</v>
      </c>
      <c r="L43" s="52"/>
      <c r="M43" s="52"/>
    </row>
    <row r="44" spans="1:13" x14ac:dyDescent="0.3">
      <c r="A44" s="1">
        <v>43</v>
      </c>
      <c r="B44" s="80" t="s">
        <v>436</v>
      </c>
      <c r="C44" s="347" t="s">
        <v>799</v>
      </c>
      <c r="D44" s="156" t="s">
        <v>19</v>
      </c>
      <c r="E44" s="85">
        <f t="shared" si="0"/>
        <v>7383.333333333333</v>
      </c>
      <c r="H44" s="362">
        <f>55000/6</f>
        <v>9166.6666666666661</v>
      </c>
      <c r="I44" s="361"/>
      <c r="J44" s="361">
        <f>38600/6</f>
        <v>6433.333333333333</v>
      </c>
      <c r="K44" s="361">
        <f>39300/6</f>
        <v>6550</v>
      </c>
      <c r="L44" s="52"/>
      <c r="M44" s="52"/>
    </row>
    <row r="45" spans="1:13" x14ac:dyDescent="0.3">
      <c r="A45" s="1">
        <v>44</v>
      </c>
      <c r="B45" s="80" t="s">
        <v>437</v>
      </c>
      <c r="C45" s="349" t="s">
        <v>821</v>
      </c>
      <c r="D45" s="156" t="s">
        <v>19</v>
      </c>
      <c r="E45" s="85">
        <f t="shared" si="0"/>
        <v>13575</v>
      </c>
      <c r="H45" s="362">
        <f>93000/6</f>
        <v>15500</v>
      </c>
      <c r="I45" s="361"/>
      <c r="J45" s="361">
        <f>69900/6</f>
        <v>11650</v>
      </c>
      <c r="K45" s="361"/>
      <c r="L45" s="52"/>
      <c r="M45" s="52"/>
    </row>
    <row r="46" spans="1:13" ht="13.5" customHeight="1" x14ac:dyDescent="0.3">
      <c r="A46" s="1">
        <v>45</v>
      </c>
      <c r="B46" s="80" t="s">
        <v>438</v>
      </c>
      <c r="C46" s="328" t="s">
        <v>624</v>
      </c>
      <c r="D46" s="92" t="s">
        <v>19</v>
      </c>
      <c r="E46" s="85">
        <f t="shared" si="0"/>
        <v>4158.3333333333339</v>
      </c>
      <c r="H46" s="358">
        <f>25000/6</f>
        <v>4166.666666666667</v>
      </c>
      <c r="I46" s="358"/>
      <c r="J46" s="358">
        <f>24900/6</f>
        <v>4150</v>
      </c>
      <c r="K46" s="358"/>
      <c r="L46" s="52"/>
      <c r="M46" s="52"/>
    </row>
    <row r="47" spans="1:13" ht="25.5" customHeight="1" x14ac:dyDescent="0.3">
      <c r="A47" s="1">
        <v>46</v>
      </c>
      <c r="B47" s="80" t="s">
        <v>439</v>
      </c>
      <c r="C47" s="276" t="s">
        <v>571</v>
      </c>
      <c r="D47" s="156" t="s">
        <v>422</v>
      </c>
      <c r="E47" s="85">
        <f t="shared" si="0"/>
        <v>55913.166666666664</v>
      </c>
      <c r="H47" s="361">
        <v>65000</v>
      </c>
      <c r="I47" s="361">
        <v>48739.5</v>
      </c>
      <c r="J47" s="361">
        <v>54000</v>
      </c>
      <c r="K47" s="361"/>
      <c r="L47" s="52"/>
      <c r="M47" s="52"/>
    </row>
    <row r="48" spans="1:13" x14ac:dyDescent="0.3">
      <c r="A48" s="1">
        <v>47</v>
      </c>
      <c r="B48" s="80" t="s">
        <v>440</v>
      </c>
      <c r="C48" s="350" t="s">
        <v>791</v>
      </c>
      <c r="D48" s="352" t="s">
        <v>21</v>
      </c>
      <c r="E48" s="85">
        <f t="shared" si="0"/>
        <v>3250</v>
      </c>
      <c r="H48" s="361">
        <v>4000</v>
      </c>
      <c r="I48" s="361"/>
      <c r="J48" s="361">
        <v>2500</v>
      </c>
      <c r="K48" s="361"/>
      <c r="L48" s="52"/>
      <c r="M48" s="52"/>
    </row>
    <row r="49" spans="1:13" ht="15" customHeight="1" x14ac:dyDescent="0.3">
      <c r="A49" s="1">
        <v>48</v>
      </c>
      <c r="B49" s="80" t="s">
        <v>441</v>
      </c>
      <c r="C49" s="276" t="s">
        <v>595</v>
      </c>
      <c r="D49" s="156" t="s">
        <v>21</v>
      </c>
      <c r="E49" s="85">
        <f t="shared" si="0"/>
        <v>1950</v>
      </c>
      <c r="H49" s="358">
        <v>2500</v>
      </c>
      <c r="I49" s="358"/>
      <c r="J49" s="358">
        <v>1400</v>
      </c>
      <c r="K49" s="358"/>
      <c r="L49" s="52"/>
      <c r="M49" s="52"/>
    </row>
    <row r="50" spans="1:13" x14ac:dyDescent="0.3">
      <c r="A50" s="1">
        <v>49</v>
      </c>
      <c r="B50" s="80" t="s">
        <v>442</v>
      </c>
      <c r="C50" s="276" t="s">
        <v>629</v>
      </c>
      <c r="D50" s="156" t="s">
        <v>111</v>
      </c>
      <c r="E50" s="85">
        <f t="shared" si="0"/>
        <v>5750</v>
      </c>
      <c r="H50" s="361">
        <v>5000</v>
      </c>
      <c r="I50" s="362"/>
      <c r="J50" s="361">
        <v>6500</v>
      </c>
      <c r="K50" s="361"/>
      <c r="L50" s="52"/>
      <c r="M50" s="52"/>
    </row>
    <row r="51" spans="1:13" x14ac:dyDescent="0.3">
      <c r="A51" s="1">
        <v>50</v>
      </c>
      <c r="B51" s="80" t="s">
        <v>443</v>
      </c>
      <c r="C51" s="350" t="s">
        <v>567</v>
      </c>
      <c r="D51" s="156" t="s">
        <v>21</v>
      </c>
      <c r="E51" s="85">
        <f t="shared" si="0"/>
        <v>800</v>
      </c>
      <c r="H51" s="362"/>
      <c r="I51" s="362"/>
      <c r="J51" s="361">
        <v>800</v>
      </c>
      <c r="K51" s="361"/>
      <c r="L51" s="52"/>
      <c r="M51" s="52"/>
    </row>
    <row r="52" spans="1:13" x14ac:dyDescent="0.3">
      <c r="A52" s="1">
        <v>51</v>
      </c>
      <c r="B52" s="80" t="s">
        <v>444</v>
      </c>
      <c r="C52" s="276" t="s">
        <v>822</v>
      </c>
      <c r="D52" s="156" t="s">
        <v>21</v>
      </c>
      <c r="E52" s="85">
        <f t="shared" si="0"/>
        <v>19500</v>
      </c>
      <c r="H52" s="358">
        <v>24000</v>
      </c>
      <c r="I52" s="357"/>
      <c r="J52" s="358">
        <v>15000</v>
      </c>
      <c r="K52" s="358"/>
      <c r="L52" s="52"/>
      <c r="M52" s="52"/>
    </row>
    <row r="53" spans="1:13" ht="25.5" customHeight="1" x14ac:dyDescent="0.3">
      <c r="A53" s="1">
        <v>52</v>
      </c>
      <c r="B53" s="80" t="s">
        <v>445</v>
      </c>
      <c r="C53" s="276" t="s">
        <v>522</v>
      </c>
      <c r="D53" s="156" t="s">
        <v>21</v>
      </c>
      <c r="E53" s="85">
        <f t="shared" si="0"/>
        <v>19500</v>
      </c>
      <c r="H53" s="358">
        <v>24000</v>
      </c>
      <c r="I53" s="357"/>
      <c r="J53" s="358">
        <v>15000</v>
      </c>
      <c r="K53" s="358"/>
      <c r="L53" s="52"/>
      <c r="M53" s="52"/>
    </row>
    <row r="54" spans="1:13" ht="24" customHeight="1" x14ac:dyDescent="0.3">
      <c r="A54" s="1">
        <v>53</v>
      </c>
      <c r="B54" s="80" t="s">
        <v>446</v>
      </c>
      <c r="C54" s="349" t="s">
        <v>797</v>
      </c>
      <c r="D54" s="156" t="s">
        <v>21</v>
      </c>
      <c r="E54" s="85">
        <f t="shared" si="0"/>
        <v>44950</v>
      </c>
      <c r="H54" s="362">
        <v>35000</v>
      </c>
      <c r="I54" s="362"/>
      <c r="J54" s="361">
        <v>54900</v>
      </c>
      <c r="K54" s="361"/>
      <c r="L54" s="52"/>
      <c r="M54" s="52"/>
    </row>
    <row r="55" spans="1:13" ht="24" customHeight="1" x14ac:dyDescent="0.3">
      <c r="A55" s="1">
        <v>54</v>
      </c>
      <c r="B55" s="80" t="s">
        <v>447</v>
      </c>
      <c r="C55" s="346" t="s">
        <v>737</v>
      </c>
      <c r="D55" s="156" t="s">
        <v>19</v>
      </c>
      <c r="E55" s="85">
        <f t="shared" si="0"/>
        <v>26900</v>
      </c>
      <c r="H55" s="357"/>
      <c r="I55" s="357"/>
      <c r="J55" s="358">
        <v>26900</v>
      </c>
      <c r="K55" s="358"/>
      <c r="L55" s="52"/>
      <c r="M55" s="52"/>
    </row>
    <row r="56" spans="1:13" ht="24" customHeight="1" x14ac:dyDescent="0.3">
      <c r="A56" s="1">
        <v>55</v>
      </c>
      <c r="B56" s="80" t="s">
        <v>448</v>
      </c>
      <c r="C56" s="61" t="s">
        <v>724</v>
      </c>
      <c r="D56" s="156" t="s">
        <v>21</v>
      </c>
      <c r="E56" s="85">
        <f t="shared" si="0"/>
        <v>1350</v>
      </c>
      <c r="H56" s="361">
        <v>1000</v>
      </c>
      <c r="I56" s="362"/>
      <c r="J56" s="361">
        <v>1700</v>
      </c>
      <c r="K56" s="361"/>
      <c r="L56" s="52"/>
      <c r="M56" s="52"/>
    </row>
    <row r="57" spans="1:13" ht="24" customHeight="1" x14ac:dyDescent="0.3">
      <c r="A57" s="1">
        <v>56</v>
      </c>
      <c r="B57" s="80" t="s">
        <v>449</v>
      </c>
      <c r="C57" s="61" t="s">
        <v>733</v>
      </c>
      <c r="D57" s="156" t="s">
        <v>21</v>
      </c>
      <c r="E57" s="85">
        <f t="shared" si="0"/>
        <v>1020.1666666666666</v>
      </c>
      <c r="H57" s="362">
        <v>800</v>
      </c>
      <c r="I57" s="361">
        <v>1260.5</v>
      </c>
      <c r="J57" s="361">
        <v>1000</v>
      </c>
      <c r="K57" s="361"/>
      <c r="L57" s="52"/>
      <c r="M57" s="52"/>
    </row>
    <row r="58" spans="1:13" ht="24" customHeight="1" x14ac:dyDescent="0.3">
      <c r="A58" s="1">
        <v>57</v>
      </c>
      <c r="B58" s="80" t="s">
        <v>450</v>
      </c>
      <c r="C58" s="61" t="s">
        <v>726</v>
      </c>
      <c r="D58" s="156" t="s">
        <v>21</v>
      </c>
      <c r="E58" s="85">
        <f t="shared" si="0"/>
        <v>690.75666666666666</v>
      </c>
      <c r="H58" s="362">
        <v>600</v>
      </c>
      <c r="I58" s="361">
        <v>672.27</v>
      </c>
      <c r="J58" s="361">
        <v>800</v>
      </c>
      <c r="K58" s="361"/>
      <c r="L58" s="52"/>
      <c r="M58" s="52"/>
    </row>
    <row r="59" spans="1:13" ht="22.5" customHeight="1" x14ac:dyDescent="0.3">
      <c r="A59" s="1">
        <v>58</v>
      </c>
      <c r="B59" s="80" t="s">
        <v>451</v>
      </c>
      <c r="C59" s="350" t="s">
        <v>596</v>
      </c>
      <c r="D59" s="156" t="s">
        <v>21</v>
      </c>
      <c r="E59" s="85">
        <f t="shared" si="0"/>
        <v>35000</v>
      </c>
      <c r="H59" s="362"/>
      <c r="I59" s="362"/>
      <c r="J59" s="361">
        <v>35000</v>
      </c>
      <c r="K59" s="361"/>
      <c r="L59" s="52"/>
      <c r="M59" s="52"/>
    </row>
    <row r="60" spans="1:13" ht="24" customHeight="1" x14ac:dyDescent="0.3">
      <c r="A60" s="1">
        <v>59</v>
      </c>
      <c r="B60" s="80" t="s">
        <v>453</v>
      </c>
      <c r="C60" s="276" t="s">
        <v>495</v>
      </c>
      <c r="D60" s="156" t="s">
        <v>111</v>
      </c>
      <c r="E60" s="85">
        <f t="shared" si="0"/>
        <v>1500</v>
      </c>
      <c r="H60" s="362">
        <f>13000/10</f>
        <v>1300</v>
      </c>
      <c r="I60" s="362"/>
      <c r="J60" s="361">
        <f>17000/10</f>
        <v>1700</v>
      </c>
      <c r="K60" s="361"/>
      <c r="L60" s="52"/>
      <c r="M60" s="52"/>
    </row>
    <row r="61" spans="1:13" ht="24" customHeight="1" x14ac:dyDescent="0.3">
      <c r="A61" s="1">
        <v>60</v>
      </c>
      <c r="B61" s="80" t="s">
        <v>454</v>
      </c>
      <c r="C61" s="276" t="s">
        <v>404</v>
      </c>
      <c r="D61" s="156" t="s">
        <v>111</v>
      </c>
      <c r="E61" s="85">
        <f t="shared" si="0"/>
        <v>3000</v>
      </c>
      <c r="H61" s="361">
        <v>3000</v>
      </c>
      <c r="I61" s="361"/>
      <c r="J61" s="361">
        <v>3000</v>
      </c>
      <c r="K61" s="361"/>
      <c r="L61" s="52"/>
      <c r="M61" s="52"/>
    </row>
    <row r="62" spans="1:13" ht="24" customHeight="1" x14ac:dyDescent="0.3">
      <c r="A62" s="1">
        <v>61</v>
      </c>
      <c r="B62" s="80" t="s">
        <v>455</v>
      </c>
      <c r="C62" s="276" t="s">
        <v>718</v>
      </c>
      <c r="D62" s="156" t="s">
        <v>8</v>
      </c>
      <c r="E62" s="85">
        <f t="shared" si="0"/>
        <v>59500</v>
      </c>
      <c r="H62" s="362"/>
      <c r="I62" s="362"/>
      <c r="J62" s="361">
        <v>59500</v>
      </c>
      <c r="K62" s="361"/>
      <c r="L62" s="52"/>
      <c r="M62" s="52"/>
    </row>
    <row r="63" spans="1:13" ht="24" customHeight="1" x14ac:dyDescent="0.3">
      <c r="A63" s="1">
        <v>62</v>
      </c>
      <c r="B63" s="80" t="s">
        <v>456</v>
      </c>
      <c r="C63" s="276" t="s">
        <v>786</v>
      </c>
      <c r="D63" s="76" t="s">
        <v>8</v>
      </c>
      <c r="E63" s="85">
        <f t="shared" si="0"/>
        <v>125800</v>
      </c>
      <c r="H63" s="362"/>
      <c r="I63" s="362"/>
      <c r="J63" s="361">
        <v>125800</v>
      </c>
      <c r="K63" s="361"/>
      <c r="L63" s="52"/>
      <c r="M63" s="52"/>
    </row>
    <row r="64" spans="1:13" ht="24" customHeight="1" x14ac:dyDescent="0.3">
      <c r="A64" s="1">
        <v>63</v>
      </c>
      <c r="B64" s="80" t="s">
        <v>457</v>
      </c>
      <c r="C64" s="276" t="s">
        <v>607</v>
      </c>
      <c r="D64" s="156" t="s">
        <v>8</v>
      </c>
      <c r="E64" s="85">
        <f t="shared" si="0"/>
        <v>94900</v>
      </c>
      <c r="H64" s="362"/>
      <c r="I64" s="362"/>
      <c r="J64" s="361">
        <v>94900</v>
      </c>
      <c r="K64" s="361"/>
      <c r="L64" s="52"/>
      <c r="M64" s="52"/>
    </row>
    <row r="65" spans="1:13" ht="24" customHeight="1" x14ac:dyDescent="0.3">
      <c r="A65" s="1">
        <v>64</v>
      </c>
      <c r="B65" s="80" t="s">
        <v>458</v>
      </c>
      <c r="C65" s="350" t="s">
        <v>816</v>
      </c>
      <c r="D65" s="353" t="s">
        <v>21</v>
      </c>
      <c r="E65" s="85">
        <f t="shared" si="0"/>
        <v>27278.666666666668</v>
      </c>
      <c r="H65" s="361">
        <v>36000</v>
      </c>
      <c r="I65" s="362">
        <v>40336</v>
      </c>
      <c r="J65" s="361">
        <v>5500</v>
      </c>
      <c r="K65" s="361"/>
      <c r="L65" s="52"/>
      <c r="M65" s="52"/>
    </row>
    <row r="66" spans="1:13" x14ac:dyDescent="0.3">
      <c r="A66" s="1">
        <v>65</v>
      </c>
      <c r="B66" s="80" t="s">
        <v>459</v>
      </c>
      <c r="C66" s="276" t="s">
        <v>686</v>
      </c>
      <c r="D66" s="156" t="s">
        <v>21</v>
      </c>
      <c r="E66" s="85">
        <f t="shared" si="0"/>
        <v>350</v>
      </c>
      <c r="H66" s="358"/>
      <c r="I66" s="357"/>
      <c r="J66" s="358">
        <v>200</v>
      </c>
      <c r="K66" s="358">
        <v>500</v>
      </c>
      <c r="L66" s="52"/>
      <c r="M66" s="52"/>
    </row>
    <row r="67" spans="1:13" ht="24" customHeight="1" x14ac:dyDescent="0.3">
      <c r="A67" s="1">
        <v>66</v>
      </c>
      <c r="B67" s="80" t="s">
        <v>461</v>
      </c>
      <c r="C67" s="61" t="s">
        <v>722</v>
      </c>
      <c r="D67" s="156" t="s">
        <v>21</v>
      </c>
      <c r="E67" s="85">
        <f>AVERAGE(H67:K67)</f>
        <v>4000</v>
      </c>
      <c r="H67" s="361">
        <v>5000</v>
      </c>
      <c r="I67" s="361"/>
      <c r="J67" s="361">
        <v>3000</v>
      </c>
      <c r="K67" s="361"/>
      <c r="L67" s="52"/>
      <c r="M67" s="52"/>
    </row>
    <row r="68" spans="1:13" x14ac:dyDescent="0.3">
      <c r="A68" s="1">
        <v>67</v>
      </c>
      <c r="B68" s="80" t="s">
        <v>462</v>
      </c>
      <c r="C68" s="276" t="s">
        <v>684</v>
      </c>
      <c r="D68" s="156" t="s">
        <v>21</v>
      </c>
      <c r="E68" s="85">
        <f t="shared" si="0"/>
        <v>1000</v>
      </c>
      <c r="H68" s="361">
        <v>1000</v>
      </c>
      <c r="I68" s="361"/>
      <c r="J68" s="361">
        <v>1000</v>
      </c>
      <c r="K68" s="361"/>
      <c r="L68" s="52"/>
      <c r="M68" s="52"/>
    </row>
    <row r="69" spans="1:13" x14ac:dyDescent="0.3">
      <c r="A69" s="1">
        <v>68</v>
      </c>
      <c r="B69" s="80" t="s">
        <v>463</v>
      </c>
      <c r="C69" s="328" t="s">
        <v>600</v>
      </c>
      <c r="D69" s="156" t="s">
        <v>21</v>
      </c>
      <c r="E69" s="85">
        <f t="shared" si="0"/>
        <v>2566.6666666666665</v>
      </c>
      <c r="H69" s="361">
        <v>2000</v>
      </c>
      <c r="I69" s="361"/>
      <c r="J69" s="361">
        <v>2700</v>
      </c>
      <c r="K69" s="361">
        <v>3000</v>
      </c>
      <c r="L69" s="52"/>
      <c r="M69" s="52"/>
    </row>
    <row r="70" spans="1:13" x14ac:dyDescent="0.3">
      <c r="A70" s="1">
        <v>69</v>
      </c>
      <c r="B70" s="80" t="s">
        <v>464</v>
      </c>
      <c r="C70" s="328" t="s">
        <v>601</v>
      </c>
      <c r="D70" s="156" t="s">
        <v>21</v>
      </c>
      <c r="E70" s="85">
        <f t="shared" si="0"/>
        <v>4633.333333333333</v>
      </c>
      <c r="H70" s="358">
        <v>4000</v>
      </c>
      <c r="I70" s="358"/>
      <c r="J70" s="358">
        <v>4400</v>
      </c>
      <c r="K70" s="358">
        <v>5500</v>
      </c>
      <c r="L70" s="52"/>
      <c r="M70" s="52"/>
    </row>
    <row r="71" spans="1:13" x14ac:dyDescent="0.3">
      <c r="A71" s="1">
        <v>70</v>
      </c>
      <c r="B71" s="80" t="s">
        <v>465</v>
      </c>
      <c r="C71" s="350" t="s">
        <v>528</v>
      </c>
      <c r="D71" s="156" t="s">
        <v>21</v>
      </c>
      <c r="E71" s="85">
        <f t="shared" si="0"/>
        <v>8500</v>
      </c>
      <c r="H71" s="361">
        <v>6000</v>
      </c>
      <c r="I71" s="361"/>
      <c r="J71" s="361">
        <v>11000</v>
      </c>
      <c r="K71" s="361">
        <v>8500</v>
      </c>
      <c r="L71" s="52"/>
      <c r="M71" s="52"/>
    </row>
    <row r="72" spans="1:13" x14ac:dyDescent="0.3">
      <c r="A72" s="1">
        <v>71</v>
      </c>
      <c r="B72" s="80" t="s">
        <v>466</v>
      </c>
      <c r="C72" s="328" t="s">
        <v>755</v>
      </c>
      <c r="D72" s="156" t="s">
        <v>21</v>
      </c>
      <c r="E72" s="85">
        <f t="shared" si="0"/>
        <v>650</v>
      </c>
      <c r="H72" s="361">
        <v>600</v>
      </c>
      <c r="I72" s="361"/>
      <c r="J72" s="361">
        <v>700</v>
      </c>
      <c r="K72" s="361"/>
      <c r="L72" s="52"/>
      <c r="M72" s="52"/>
    </row>
    <row r="73" spans="1:13" x14ac:dyDescent="0.3">
      <c r="A73" s="1">
        <v>72</v>
      </c>
      <c r="B73" s="80" t="s">
        <v>467</v>
      </c>
      <c r="C73" s="276" t="s">
        <v>593</v>
      </c>
      <c r="D73" s="156" t="s">
        <v>21</v>
      </c>
      <c r="E73" s="85">
        <f t="shared" si="0"/>
        <v>23.95</v>
      </c>
      <c r="H73" s="361">
        <f>2000/100</f>
        <v>20</v>
      </c>
      <c r="I73" s="362"/>
      <c r="J73" s="361">
        <f>27900/1000</f>
        <v>27.9</v>
      </c>
      <c r="K73" s="361"/>
      <c r="L73" s="52"/>
      <c r="M73" s="52"/>
    </row>
    <row r="74" spans="1:13" x14ac:dyDescent="0.3">
      <c r="A74" s="1">
        <v>73</v>
      </c>
      <c r="B74" s="80" t="s">
        <v>468</v>
      </c>
      <c r="C74" s="276" t="s">
        <v>577</v>
      </c>
      <c r="D74" s="156" t="s">
        <v>21</v>
      </c>
      <c r="E74" s="85">
        <f t="shared" si="0"/>
        <v>700</v>
      </c>
      <c r="H74" s="361">
        <v>700</v>
      </c>
      <c r="I74" s="362" t="s">
        <v>1042</v>
      </c>
      <c r="J74" s="361">
        <v>700</v>
      </c>
      <c r="K74" s="361"/>
      <c r="L74" s="52"/>
      <c r="M74" s="52"/>
    </row>
    <row r="75" spans="1:13" x14ac:dyDescent="0.3">
      <c r="A75" s="1">
        <v>74</v>
      </c>
      <c r="B75" s="80" t="s">
        <v>469</v>
      </c>
      <c r="C75" s="276" t="s">
        <v>634</v>
      </c>
      <c r="D75" s="156" t="s">
        <v>111</v>
      </c>
      <c r="E75" s="85">
        <f t="shared" si="0"/>
        <v>49900</v>
      </c>
      <c r="H75" s="362"/>
      <c r="I75" s="362"/>
      <c r="J75" s="361">
        <v>49900</v>
      </c>
      <c r="K75" s="361"/>
      <c r="L75" s="52"/>
      <c r="M75" s="52"/>
    </row>
    <row r="76" spans="1:13" ht="24" customHeight="1" x14ac:dyDescent="0.3">
      <c r="A76" s="1">
        <v>75</v>
      </c>
      <c r="B76" s="80" t="s">
        <v>470</v>
      </c>
      <c r="C76" s="276" t="s">
        <v>519</v>
      </c>
      <c r="D76" s="156" t="s">
        <v>19</v>
      </c>
      <c r="E76" s="85">
        <f t="shared" si="0"/>
        <v>4900</v>
      </c>
      <c r="H76" s="362">
        <f>20000/3</f>
        <v>6666.666666666667</v>
      </c>
      <c r="I76" s="362"/>
      <c r="J76" s="361">
        <f>9400/3</f>
        <v>3133.3333333333335</v>
      </c>
      <c r="K76" s="361"/>
      <c r="L76" s="52"/>
      <c r="M76" s="52"/>
    </row>
    <row r="77" spans="1:13" ht="24" customHeight="1" x14ac:dyDescent="0.3">
      <c r="A77" s="1">
        <v>76</v>
      </c>
      <c r="B77" s="80" t="s">
        <v>471</v>
      </c>
      <c r="C77" s="276" t="s">
        <v>687</v>
      </c>
      <c r="D77" s="156" t="s">
        <v>422</v>
      </c>
      <c r="E77" s="85">
        <f t="shared" si="0"/>
        <v>27605.040000000001</v>
      </c>
      <c r="H77" s="361">
        <v>30000</v>
      </c>
      <c r="I77" s="361">
        <v>25210.080000000002</v>
      </c>
      <c r="J77" s="361"/>
      <c r="K77" s="361"/>
      <c r="L77" s="52"/>
      <c r="M77" s="52"/>
    </row>
    <row r="78" spans="1:13" x14ac:dyDescent="0.3">
      <c r="A78" s="1">
        <v>77</v>
      </c>
      <c r="B78" s="80" t="s">
        <v>472</v>
      </c>
      <c r="C78" s="350" t="s">
        <v>605</v>
      </c>
      <c r="D78" s="156" t="s">
        <v>422</v>
      </c>
      <c r="E78" s="85">
        <f t="shared" si="0"/>
        <v>71500</v>
      </c>
      <c r="H78" s="361">
        <v>75000</v>
      </c>
      <c r="I78" s="362"/>
      <c r="J78" s="361">
        <v>68000</v>
      </c>
      <c r="K78" s="361"/>
      <c r="L78" s="52"/>
      <c r="M78" s="52"/>
    </row>
    <row r="79" spans="1:13" ht="15" customHeight="1" x14ac:dyDescent="0.3">
      <c r="A79" s="1">
        <v>78</v>
      </c>
      <c r="B79" s="80" t="s">
        <v>473</v>
      </c>
      <c r="C79" s="276" t="s">
        <v>787</v>
      </c>
      <c r="D79" s="156" t="s">
        <v>8</v>
      </c>
      <c r="E79" s="85">
        <f t="shared" si="0"/>
        <v>179900</v>
      </c>
      <c r="H79" s="357"/>
      <c r="I79" s="357"/>
      <c r="J79" s="358">
        <v>179900</v>
      </c>
      <c r="K79" s="358"/>
      <c r="L79" s="52"/>
      <c r="M79" s="52"/>
    </row>
    <row r="80" spans="1:13" ht="15" customHeight="1" x14ac:dyDescent="0.3">
      <c r="A80" s="1">
        <v>79</v>
      </c>
      <c r="B80" s="80" t="s">
        <v>474</v>
      </c>
      <c r="C80" s="276" t="s">
        <v>573</v>
      </c>
      <c r="D80" s="156" t="s">
        <v>111</v>
      </c>
      <c r="E80" s="85">
        <f t="shared" si="0"/>
        <v>1685.1851851851852</v>
      </c>
      <c r="H80" s="361">
        <v>2000</v>
      </c>
      <c r="I80" s="361"/>
      <c r="J80" s="361">
        <f>37000/27</f>
        <v>1370.3703703703704</v>
      </c>
      <c r="K80" s="361"/>
      <c r="L80" s="52"/>
      <c r="M80" s="52"/>
    </row>
    <row r="81" spans="1:13" x14ac:dyDescent="0.3">
      <c r="A81" s="1">
        <v>80</v>
      </c>
      <c r="B81" s="80" t="s">
        <v>475</v>
      </c>
      <c r="C81" s="276" t="s">
        <v>508</v>
      </c>
      <c r="D81" s="156" t="s">
        <v>8</v>
      </c>
      <c r="E81" s="85">
        <f t="shared" si="0"/>
        <v>35900</v>
      </c>
      <c r="H81" s="361"/>
      <c r="I81" s="362"/>
      <c r="J81" s="361">
        <v>35900</v>
      </c>
      <c r="K81" s="361"/>
      <c r="L81" s="52"/>
      <c r="M81" s="52"/>
    </row>
    <row r="82" spans="1:13" ht="15" customHeight="1" x14ac:dyDescent="0.3">
      <c r="A82" s="1">
        <v>81</v>
      </c>
      <c r="B82" s="80" t="s">
        <v>476</v>
      </c>
      <c r="C82" s="276" t="s">
        <v>460</v>
      </c>
      <c r="D82" s="156" t="s">
        <v>769</v>
      </c>
      <c r="E82" s="85">
        <f t="shared" si="0"/>
        <v>129900</v>
      </c>
      <c r="H82" s="357"/>
      <c r="I82" s="357"/>
      <c r="J82" s="358">
        <v>129900</v>
      </c>
      <c r="K82" s="358"/>
      <c r="L82" s="52"/>
      <c r="M82" s="52"/>
    </row>
    <row r="83" spans="1:13" ht="24" customHeight="1" x14ac:dyDescent="0.3">
      <c r="A83" s="1">
        <v>82</v>
      </c>
      <c r="B83" s="80" t="s">
        <v>477</v>
      </c>
      <c r="C83" s="276" t="s">
        <v>525</v>
      </c>
      <c r="D83" s="156" t="s">
        <v>21</v>
      </c>
      <c r="E83" s="85">
        <f t="shared" si="0"/>
        <v>31250</v>
      </c>
      <c r="H83" s="358">
        <v>30000</v>
      </c>
      <c r="I83" s="358"/>
      <c r="J83" s="358">
        <v>32500</v>
      </c>
      <c r="K83" s="358"/>
      <c r="L83" s="52"/>
      <c r="M83" s="52"/>
    </row>
    <row r="84" spans="1:13" ht="24" customHeight="1" x14ac:dyDescent="0.3">
      <c r="A84" s="1">
        <v>83</v>
      </c>
      <c r="B84" s="80" t="s">
        <v>478</v>
      </c>
      <c r="C84" s="276" t="s">
        <v>727</v>
      </c>
      <c r="D84" s="156" t="s">
        <v>21</v>
      </c>
      <c r="E84" s="85">
        <f t="shared" si="0"/>
        <v>7450</v>
      </c>
      <c r="H84" s="361">
        <v>7000</v>
      </c>
      <c r="I84" s="362"/>
      <c r="J84" s="361">
        <v>7900</v>
      </c>
      <c r="K84" s="361"/>
      <c r="L84" s="52"/>
      <c r="M84" s="52"/>
    </row>
    <row r="85" spans="1:13" ht="15" customHeight="1" x14ac:dyDescent="0.3">
      <c r="A85" s="1">
        <v>84</v>
      </c>
      <c r="B85" s="80" t="s">
        <v>479</v>
      </c>
      <c r="C85" s="276" t="s">
        <v>728</v>
      </c>
      <c r="D85" s="156" t="s">
        <v>21</v>
      </c>
      <c r="E85" s="85">
        <f t="shared" si="0"/>
        <v>5350</v>
      </c>
      <c r="H85" s="361">
        <v>7000</v>
      </c>
      <c r="I85" s="362"/>
      <c r="J85" s="361">
        <v>3700</v>
      </c>
      <c r="K85" s="361"/>
      <c r="L85" s="52"/>
      <c r="M85" s="52"/>
    </row>
    <row r="86" spans="1:13" ht="15" customHeight="1" x14ac:dyDescent="0.3">
      <c r="A86" s="1">
        <v>85</v>
      </c>
      <c r="B86" s="80" t="s">
        <v>480</v>
      </c>
      <c r="C86" s="276" t="s">
        <v>747</v>
      </c>
      <c r="D86" s="92" t="s">
        <v>21</v>
      </c>
      <c r="E86" s="85">
        <f t="shared" si="0"/>
        <v>800</v>
      </c>
      <c r="H86" s="362"/>
      <c r="I86" s="361"/>
      <c r="J86" s="361">
        <v>800</v>
      </c>
      <c r="K86" s="361"/>
      <c r="L86" s="52"/>
      <c r="M86" s="52"/>
    </row>
    <row r="87" spans="1:13" x14ac:dyDescent="0.3">
      <c r="A87" s="1">
        <v>86</v>
      </c>
      <c r="B87" s="80" t="s">
        <v>481</v>
      </c>
      <c r="C87" s="354" t="s">
        <v>792</v>
      </c>
      <c r="D87" s="352" t="s">
        <v>21</v>
      </c>
      <c r="E87" s="85">
        <f t="shared" si="0"/>
        <v>92450</v>
      </c>
      <c r="H87" s="362"/>
      <c r="I87" s="362"/>
      <c r="J87" s="361">
        <v>69900</v>
      </c>
      <c r="K87" s="361">
        <f>115000</f>
        <v>115000</v>
      </c>
      <c r="L87" s="52"/>
      <c r="M87" s="52"/>
    </row>
    <row r="88" spans="1:13" x14ac:dyDescent="0.3">
      <c r="A88" s="1">
        <v>87</v>
      </c>
      <c r="B88" s="80" t="s">
        <v>482</v>
      </c>
      <c r="C88" s="354" t="s">
        <v>572</v>
      </c>
      <c r="D88" s="352" t="s">
        <v>21</v>
      </c>
      <c r="E88" s="85">
        <f t="shared" si="0"/>
        <v>63333.333333333336</v>
      </c>
      <c r="H88" s="361">
        <v>88000</v>
      </c>
      <c r="I88" s="362"/>
      <c r="J88" s="361">
        <v>15000</v>
      </c>
      <c r="K88" s="361">
        <f>87000</f>
        <v>87000</v>
      </c>
      <c r="L88" s="52"/>
      <c r="M88" s="52"/>
    </row>
    <row r="89" spans="1:13" x14ac:dyDescent="0.3">
      <c r="A89" s="1">
        <v>88</v>
      </c>
      <c r="B89" s="80" t="s">
        <v>483</v>
      </c>
      <c r="C89" s="276" t="s">
        <v>734</v>
      </c>
      <c r="D89" s="156" t="s">
        <v>21</v>
      </c>
      <c r="E89" s="85">
        <f t="shared" si="0"/>
        <v>178000</v>
      </c>
      <c r="H89" s="362"/>
      <c r="I89" s="362"/>
      <c r="J89" s="361">
        <v>178000</v>
      </c>
      <c r="K89" s="361"/>
      <c r="L89" s="52"/>
      <c r="M89" s="52"/>
    </row>
    <row r="90" spans="1:13" x14ac:dyDescent="0.3">
      <c r="A90" s="1">
        <v>89</v>
      </c>
      <c r="B90" s="80" t="s">
        <v>484</v>
      </c>
      <c r="C90" s="61" t="s">
        <v>579</v>
      </c>
      <c r="D90" s="156" t="s">
        <v>21</v>
      </c>
      <c r="E90" s="85">
        <f t="shared" si="0"/>
        <v>97966.666666666672</v>
      </c>
      <c r="H90" s="358">
        <v>100000</v>
      </c>
      <c r="I90" s="357"/>
      <c r="J90" s="358">
        <v>98900</v>
      </c>
      <c r="K90" s="358">
        <v>95000</v>
      </c>
      <c r="L90" s="52"/>
      <c r="M90" s="52"/>
    </row>
    <row r="91" spans="1:13" ht="15" customHeight="1" x14ac:dyDescent="0.3">
      <c r="A91" s="1">
        <v>90</v>
      </c>
      <c r="B91" s="80" t="s">
        <v>485</v>
      </c>
      <c r="C91" s="276" t="s">
        <v>610</v>
      </c>
      <c r="D91" s="156" t="s">
        <v>21</v>
      </c>
      <c r="E91" s="85">
        <f t="shared" si="0"/>
        <v>2000</v>
      </c>
      <c r="H91" s="361">
        <v>2000</v>
      </c>
      <c r="I91" s="362"/>
      <c r="J91" s="361">
        <v>2500</v>
      </c>
      <c r="K91" s="361">
        <v>1500</v>
      </c>
      <c r="L91" s="52"/>
      <c r="M91" s="52"/>
    </row>
    <row r="92" spans="1:13" ht="15" customHeight="1" x14ac:dyDescent="0.3">
      <c r="A92" s="1">
        <v>91</v>
      </c>
      <c r="B92" s="80" t="s">
        <v>486</v>
      </c>
      <c r="C92" s="61" t="s">
        <v>626</v>
      </c>
      <c r="D92" s="156" t="s">
        <v>422</v>
      </c>
      <c r="E92" s="85">
        <f t="shared" si="0"/>
        <v>36952.94</v>
      </c>
      <c r="H92" s="361">
        <v>38000</v>
      </c>
      <c r="I92" s="362">
        <v>29411.759999999998</v>
      </c>
      <c r="J92" s="361">
        <v>47400</v>
      </c>
      <c r="K92" s="361">
        <v>33000</v>
      </c>
      <c r="L92" s="52"/>
      <c r="M92" s="52"/>
    </row>
    <row r="93" spans="1:13" ht="15" customHeight="1" x14ac:dyDescent="0.3">
      <c r="A93" s="1">
        <v>92</v>
      </c>
      <c r="B93" s="80" t="s">
        <v>487</v>
      </c>
      <c r="C93" s="276" t="s">
        <v>758</v>
      </c>
      <c r="D93" s="156" t="s">
        <v>21</v>
      </c>
      <c r="E93" s="85">
        <f t="shared" si="0"/>
        <v>183500</v>
      </c>
      <c r="H93" s="358">
        <v>350000</v>
      </c>
      <c r="I93" s="357"/>
      <c r="J93" s="358">
        <v>17000</v>
      </c>
      <c r="K93" s="358"/>
      <c r="L93" s="52"/>
      <c r="M93" s="52"/>
    </row>
    <row r="94" spans="1:13" ht="23.25" customHeight="1" x14ac:dyDescent="0.3">
      <c r="A94" s="1">
        <v>93</v>
      </c>
      <c r="B94" s="80" t="s">
        <v>488</v>
      </c>
      <c r="C94" s="276" t="s">
        <v>520</v>
      </c>
      <c r="D94" s="156" t="s">
        <v>111</v>
      </c>
      <c r="E94" s="85">
        <f t="shared" si="0"/>
        <v>124500</v>
      </c>
      <c r="H94" s="357">
        <v>26000</v>
      </c>
      <c r="I94" s="357"/>
      <c r="J94" s="358">
        <v>223000</v>
      </c>
      <c r="K94" s="358"/>
      <c r="L94" s="52"/>
      <c r="M94" s="52"/>
    </row>
    <row r="95" spans="1:13" x14ac:dyDescent="0.3">
      <c r="A95" s="1">
        <v>94</v>
      </c>
      <c r="B95" s="80" t="s">
        <v>489</v>
      </c>
      <c r="C95" s="276" t="s">
        <v>688</v>
      </c>
      <c r="D95" s="92" t="s">
        <v>8</v>
      </c>
      <c r="E95" s="85">
        <f t="shared" si="0"/>
        <v>26800</v>
      </c>
      <c r="H95" s="358">
        <v>28000</v>
      </c>
      <c r="I95" s="357"/>
      <c r="J95" s="358">
        <f>512000/20</f>
        <v>25600</v>
      </c>
      <c r="K95" s="358"/>
      <c r="L95" s="52"/>
      <c r="M95" s="52"/>
    </row>
    <row r="96" spans="1:13" ht="15" customHeight="1" x14ac:dyDescent="0.3">
      <c r="A96" s="1">
        <v>95</v>
      </c>
      <c r="B96" s="80" t="s">
        <v>490</v>
      </c>
      <c r="C96" s="61" t="s">
        <v>580</v>
      </c>
      <c r="D96" s="156" t="s">
        <v>21</v>
      </c>
      <c r="E96" s="85">
        <f t="shared" si="0"/>
        <v>6700</v>
      </c>
      <c r="H96" s="362">
        <v>12000</v>
      </c>
      <c r="I96" s="362"/>
      <c r="J96" s="361">
        <v>1400</v>
      </c>
      <c r="K96" s="361"/>
      <c r="L96" s="52"/>
      <c r="M96" s="52"/>
    </row>
    <row r="97" spans="1:13" ht="15" customHeight="1" x14ac:dyDescent="0.3">
      <c r="A97" s="1">
        <v>96</v>
      </c>
      <c r="B97" s="80" t="s">
        <v>491</v>
      </c>
      <c r="C97" s="328" t="s">
        <v>751</v>
      </c>
      <c r="D97" s="156" t="s">
        <v>21</v>
      </c>
      <c r="E97" s="85">
        <f t="shared" si="0"/>
        <v>11600</v>
      </c>
      <c r="H97" s="362">
        <v>20000</v>
      </c>
      <c r="I97" s="362"/>
      <c r="J97" s="361">
        <v>3200</v>
      </c>
      <c r="K97" s="361"/>
      <c r="L97" s="52"/>
      <c r="M97" s="52"/>
    </row>
    <row r="98" spans="1:13" ht="15" customHeight="1" x14ac:dyDescent="0.3">
      <c r="A98" s="1">
        <v>97</v>
      </c>
      <c r="B98" s="80" t="s">
        <v>497</v>
      </c>
      <c r="C98" s="346" t="s">
        <v>496</v>
      </c>
      <c r="D98" s="156" t="s">
        <v>21</v>
      </c>
      <c r="E98" s="85">
        <f t="shared" si="0"/>
        <v>7250</v>
      </c>
      <c r="H98" s="362">
        <v>10000</v>
      </c>
      <c r="I98" s="362"/>
      <c r="J98" s="361">
        <v>4500</v>
      </c>
      <c r="K98" s="361"/>
      <c r="L98" s="52"/>
      <c r="M98" s="52"/>
    </row>
    <row r="99" spans="1:13" ht="15" customHeight="1" x14ac:dyDescent="0.3">
      <c r="A99" s="1">
        <v>98</v>
      </c>
      <c r="B99" s="80" t="s">
        <v>530</v>
      </c>
      <c r="C99" s="276" t="s">
        <v>783</v>
      </c>
      <c r="D99" s="156" t="s">
        <v>21</v>
      </c>
      <c r="E99" s="85">
        <f t="shared" ref="E99:E147" si="1">AVERAGE(H99:K99)</f>
        <v>252500</v>
      </c>
      <c r="H99" s="357">
        <v>360000</v>
      </c>
      <c r="I99" s="357"/>
      <c r="J99" s="358">
        <v>145000</v>
      </c>
      <c r="K99" s="358"/>
      <c r="L99" s="52"/>
      <c r="M99" s="52"/>
    </row>
    <row r="100" spans="1:13" ht="15" customHeight="1" x14ac:dyDescent="0.3">
      <c r="A100" s="1">
        <v>99</v>
      </c>
      <c r="B100" s="80" t="s">
        <v>531</v>
      </c>
      <c r="C100" s="350" t="s">
        <v>794</v>
      </c>
      <c r="D100" s="353" t="s">
        <v>21</v>
      </c>
      <c r="E100" s="85">
        <f t="shared" si="1"/>
        <v>8000</v>
      </c>
      <c r="H100" s="357">
        <v>7000</v>
      </c>
      <c r="I100" s="357"/>
      <c r="J100" s="358">
        <v>12000</v>
      </c>
      <c r="K100" s="358">
        <v>5000</v>
      </c>
      <c r="L100" s="52"/>
      <c r="M100" s="52"/>
    </row>
    <row r="101" spans="1:13" ht="15" customHeight="1" x14ac:dyDescent="0.3">
      <c r="A101" s="1">
        <v>100</v>
      </c>
      <c r="B101" s="80" t="s">
        <v>532</v>
      </c>
      <c r="C101" s="276" t="s">
        <v>524</v>
      </c>
      <c r="D101" s="156" t="s">
        <v>19</v>
      </c>
      <c r="E101" s="85">
        <f t="shared" si="1"/>
        <v>18916.666666666664</v>
      </c>
      <c r="H101" s="358">
        <f>110000/6</f>
        <v>18333.333333333332</v>
      </c>
      <c r="I101" s="357"/>
      <c r="J101" s="358">
        <f>117000/6</f>
        <v>19500</v>
      </c>
      <c r="K101" s="358"/>
      <c r="L101" s="52"/>
      <c r="M101" s="52"/>
    </row>
    <row r="102" spans="1:13" ht="15" customHeight="1" x14ac:dyDescent="0.3">
      <c r="A102" s="1">
        <v>101</v>
      </c>
      <c r="B102" s="80" t="s">
        <v>533</v>
      </c>
      <c r="C102" s="276" t="s">
        <v>452</v>
      </c>
      <c r="D102" s="156" t="s">
        <v>111</v>
      </c>
      <c r="E102" s="85">
        <f t="shared" si="1"/>
        <v>14900</v>
      </c>
      <c r="H102" s="361">
        <v>800</v>
      </c>
      <c r="I102" s="362"/>
      <c r="J102" s="361">
        <v>29000</v>
      </c>
      <c r="K102" s="361"/>
      <c r="L102" s="52"/>
      <c r="M102" s="52"/>
    </row>
    <row r="103" spans="1:13" ht="15" customHeight="1" x14ac:dyDescent="0.3">
      <c r="A103" s="1">
        <v>102</v>
      </c>
      <c r="B103" s="80" t="s">
        <v>534</v>
      </c>
      <c r="C103" s="347" t="s">
        <v>761</v>
      </c>
      <c r="D103" s="156" t="s">
        <v>19</v>
      </c>
      <c r="E103" s="85">
        <f t="shared" si="1"/>
        <v>10111.694583333334</v>
      </c>
      <c r="H103" s="362">
        <f>65000/6</f>
        <v>10833.333333333334</v>
      </c>
      <c r="I103" s="362">
        <f>51680.67/6</f>
        <v>8613.4449999999997</v>
      </c>
      <c r="J103" s="518">
        <f>67000/6</f>
        <v>11166.666666666666</v>
      </c>
      <c r="K103" s="361">
        <f>59000/6</f>
        <v>9833.3333333333339</v>
      </c>
      <c r="L103" s="52"/>
      <c r="M103" s="52"/>
    </row>
    <row r="104" spans="1:13" ht="15" customHeight="1" x14ac:dyDescent="0.3">
      <c r="A104" s="1">
        <v>103</v>
      </c>
      <c r="B104" s="80" t="s">
        <v>535</v>
      </c>
      <c r="C104" s="354" t="s">
        <v>793</v>
      </c>
      <c r="D104" s="352" t="s">
        <v>19</v>
      </c>
      <c r="E104" s="85">
        <f t="shared" si="1"/>
        <v>6158.3333333333339</v>
      </c>
      <c r="H104" s="362"/>
      <c r="I104" s="362"/>
      <c r="J104" s="518">
        <f>34900/6</f>
        <v>5816.666666666667</v>
      </c>
      <c r="K104" s="361">
        <f>39000/6</f>
        <v>6500</v>
      </c>
      <c r="L104" s="52"/>
      <c r="M104" s="52"/>
    </row>
    <row r="105" spans="1:13" ht="15" customHeight="1" x14ac:dyDescent="0.3">
      <c r="A105" s="1">
        <v>104</v>
      </c>
      <c r="B105" s="80" t="s">
        <v>536</v>
      </c>
      <c r="C105" s="276" t="s">
        <v>574</v>
      </c>
      <c r="D105" s="156" t="s">
        <v>422</v>
      </c>
      <c r="E105" s="85">
        <f t="shared" si="1"/>
        <v>59952.380666666664</v>
      </c>
      <c r="H105" s="361">
        <v>65000</v>
      </c>
      <c r="I105" s="361">
        <f>214285.71/5</f>
        <v>42857.142</v>
      </c>
      <c r="J105" s="518">
        <v>72000</v>
      </c>
      <c r="K105" s="361"/>
      <c r="L105" s="52"/>
      <c r="M105" s="52"/>
    </row>
    <row r="106" spans="1:13" ht="15" customHeight="1" x14ac:dyDescent="0.3">
      <c r="A106" s="1">
        <v>105</v>
      </c>
      <c r="B106" s="80" t="s">
        <v>537</v>
      </c>
      <c r="C106" s="276" t="s">
        <v>779</v>
      </c>
      <c r="D106" s="156" t="s">
        <v>21</v>
      </c>
      <c r="E106" s="85">
        <f t="shared" si="1"/>
        <v>4120.4466666666667</v>
      </c>
      <c r="H106" s="362">
        <v>4000</v>
      </c>
      <c r="I106" s="362">
        <v>3361.34</v>
      </c>
      <c r="J106" s="518">
        <v>5000</v>
      </c>
      <c r="K106" s="361"/>
      <c r="L106" s="52"/>
      <c r="M106" s="52"/>
    </row>
    <row r="107" spans="1:13" ht="15" customHeight="1" x14ac:dyDescent="0.3">
      <c r="A107" s="1">
        <v>106</v>
      </c>
      <c r="B107" s="80" t="s">
        <v>538</v>
      </c>
      <c r="C107" s="346" t="s">
        <v>494</v>
      </c>
      <c r="D107" s="156" t="s">
        <v>19</v>
      </c>
      <c r="E107" s="85">
        <f t="shared" si="1"/>
        <v>7955.5555555555557</v>
      </c>
      <c r="H107" s="361">
        <f>8000/3</f>
        <v>2666.6666666666665</v>
      </c>
      <c r="I107" s="362"/>
      <c r="J107" s="518">
        <f>55000/3</f>
        <v>18333.333333333332</v>
      </c>
      <c r="K107" s="365">
        <f>8600/3</f>
        <v>2866.6666666666665</v>
      </c>
      <c r="L107" s="52"/>
      <c r="M107" s="52"/>
    </row>
    <row r="108" spans="1:13" ht="15" customHeight="1" x14ac:dyDescent="0.3">
      <c r="A108" s="1">
        <v>107</v>
      </c>
      <c r="B108" s="80" t="s">
        <v>539</v>
      </c>
      <c r="C108" s="346" t="s">
        <v>493</v>
      </c>
      <c r="D108" s="156" t="s">
        <v>413</v>
      </c>
      <c r="E108" s="85">
        <f t="shared" si="1"/>
        <v>4250</v>
      </c>
      <c r="H108" s="361">
        <v>4000</v>
      </c>
      <c r="I108" s="361"/>
      <c r="J108" s="518">
        <v>4500</v>
      </c>
      <c r="K108" s="361"/>
      <c r="L108" s="52"/>
      <c r="M108" s="52"/>
    </row>
    <row r="109" spans="1:13" x14ac:dyDescent="0.3">
      <c r="A109" s="1">
        <v>108</v>
      </c>
      <c r="B109" s="80" t="s">
        <v>540</v>
      </c>
      <c r="C109" s="276" t="s">
        <v>594</v>
      </c>
      <c r="D109" s="156" t="s">
        <v>21</v>
      </c>
      <c r="E109" s="85">
        <f t="shared" si="1"/>
        <v>39000</v>
      </c>
      <c r="H109" s="361">
        <v>70000</v>
      </c>
      <c r="I109" s="361"/>
      <c r="J109" s="518">
        <v>8000</v>
      </c>
      <c r="K109" s="361"/>
      <c r="L109" s="52"/>
      <c r="M109" s="52"/>
    </row>
    <row r="110" spans="1:13" x14ac:dyDescent="0.3">
      <c r="A110" s="1">
        <v>109</v>
      </c>
      <c r="B110" s="80" t="s">
        <v>541</v>
      </c>
      <c r="C110" s="276" t="s">
        <v>781</v>
      </c>
      <c r="D110" s="156" t="s">
        <v>21</v>
      </c>
      <c r="E110" s="85">
        <f t="shared" si="1"/>
        <v>491950</v>
      </c>
      <c r="H110" s="361">
        <v>490000</v>
      </c>
      <c r="I110" s="362"/>
      <c r="J110" s="518">
        <v>493900</v>
      </c>
      <c r="K110" s="361"/>
      <c r="L110" s="52"/>
      <c r="M110" s="52"/>
    </row>
    <row r="111" spans="1:13" x14ac:dyDescent="0.3">
      <c r="A111" s="1">
        <v>110</v>
      </c>
      <c r="B111" s="80" t="s">
        <v>542</v>
      </c>
      <c r="C111" s="61" t="s">
        <v>581</v>
      </c>
      <c r="D111" s="156" t="s">
        <v>21</v>
      </c>
      <c r="E111" s="85">
        <f t="shared" si="1"/>
        <v>15300</v>
      </c>
      <c r="H111" s="361"/>
      <c r="I111" s="361"/>
      <c r="J111" s="518">
        <v>15300</v>
      </c>
      <c r="K111" s="361"/>
      <c r="L111" s="52"/>
      <c r="M111" s="52"/>
    </row>
    <row r="112" spans="1:13" x14ac:dyDescent="0.3">
      <c r="A112" s="1">
        <v>111</v>
      </c>
      <c r="B112" s="80" t="s">
        <v>543</v>
      </c>
      <c r="C112" s="276" t="s">
        <v>523</v>
      </c>
      <c r="D112" s="156" t="s">
        <v>422</v>
      </c>
      <c r="E112" s="85">
        <f t="shared" si="1"/>
        <v>15000</v>
      </c>
      <c r="H112" s="358"/>
      <c r="I112" s="358"/>
      <c r="J112" s="517">
        <v>15000</v>
      </c>
      <c r="K112" s="358"/>
      <c r="L112" s="52"/>
      <c r="M112" s="52"/>
    </row>
    <row r="113" spans="1:13" x14ac:dyDescent="0.3">
      <c r="A113" s="1">
        <v>112</v>
      </c>
      <c r="B113" s="80" t="s">
        <v>544</v>
      </c>
      <c r="C113" s="328" t="s">
        <v>824</v>
      </c>
      <c r="D113" s="156" t="s">
        <v>21</v>
      </c>
      <c r="E113" s="85">
        <f t="shared" si="1"/>
        <v>3850</v>
      </c>
      <c r="H113" s="358">
        <v>4000</v>
      </c>
      <c r="I113" s="358"/>
      <c r="J113" s="517">
        <v>3700</v>
      </c>
      <c r="K113" s="358"/>
      <c r="L113" s="52"/>
      <c r="M113" s="52"/>
    </row>
    <row r="114" spans="1:13" x14ac:dyDescent="0.3">
      <c r="A114" s="1">
        <v>113</v>
      </c>
      <c r="B114" s="80" t="s">
        <v>545</v>
      </c>
      <c r="C114" s="328" t="s">
        <v>599</v>
      </c>
      <c r="D114" s="156" t="s">
        <v>21</v>
      </c>
      <c r="E114" s="85">
        <f t="shared" si="1"/>
        <v>8000</v>
      </c>
      <c r="H114" s="358">
        <v>8000</v>
      </c>
      <c r="I114" s="358"/>
      <c r="J114" s="517">
        <v>8000</v>
      </c>
      <c r="K114" s="358"/>
      <c r="L114" s="52"/>
      <c r="M114" s="52"/>
    </row>
    <row r="115" spans="1:13" ht="15" customHeight="1" x14ac:dyDescent="0.3">
      <c r="A115" s="1">
        <v>114</v>
      </c>
      <c r="B115" s="80" t="s">
        <v>546</v>
      </c>
      <c r="C115" s="276" t="s">
        <v>762</v>
      </c>
      <c r="D115" s="156" t="s">
        <v>111</v>
      </c>
      <c r="E115" s="85">
        <f t="shared" si="1"/>
        <v>21966.666666666668</v>
      </c>
      <c r="H115" s="361">
        <v>16000</v>
      </c>
      <c r="I115" s="361"/>
      <c r="J115" s="518">
        <v>26900</v>
      </c>
      <c r="K115" s="361">
        <v>23000</v>
      </c>
      <c r="L115" s="52"/>
      <c r="M115" s="52"/>
    </row>
    <row r="116" spans="1:13" x14ac:dyDescent="0.3">
      <c r="A116" s="1">
        <v>115</v>
      </c>
      <c r="B116" s="80" t="s">
        <v>547</v>
      </c>
      <c r="C116" s="350" t="s">
        <v>766</v>
      </c>
      <c r="D116" s="156" t="s">
        <v>111</v>
      </c>
      <c r="E116" s="85">
        <f t="shared" si="1"/>
        <v>21666.666666666668</v>
      </c>
      <c r="H116" s="361">
        <v>16000</v>
      </c>
      <c r="I116" s="361"/>
      <c r="J116" s="518">
        <v>28000</v>
      </c>
      <c r="K116" s="361">
        <f>21000</f>
        <v>21000</v>
      </c>
      <c r="L116" s="52"/>
      <c r="M116" s="52"/>
    </row>
    <row r="117" spans="1:13" ht="15" customHeight="1" x14ac:dyDescent="0.3">
      <c r="A117" s="1">
        <v>116</v>
      </c>
      <c r="B117" s="80" t="s">
        <v>548</v>
      </c>
      <c r="C117" s="328" t="s">
        <v>723</v>
      </c>
      <c r="D117" s="156" t="s">
        <v>422</v>
      </c>
      <c r="E117" s="85">
        <f t="shared" si="1"/>
        <v>67028.289999999994</v>
      </c>
      <c r="H117" s="361">
        <v>85000</v>
      </c>
      <c r="I117" s="361">
        <v>62184.87</v>
      </c>
      <c r="J117" s="518">
        <v>53900</v>
      </c>
      <c r="K117" s="361"/>
      <c r="L117" s="52"/>
      <c r="M117" s="52"/>
    </row>
    <row r="118" spans="1:13" x14ac:dyDescent="0.3">
      <c r="A118" s="1">
        <v>117</v>
      </c>
      <c r="B118" s="80" t="s">
        <v>549</v>
      </c>
      <c r="C118" s="276" t="s">
        <v>521</v>
      </c>
      <c r="D118" s="156" t="s">
        <v>21</v>
      </c>
      <c r="E118" s="85">
        <f t="shared" si="1"/>
        <v>249900</v>
      </c>
      <c r="H118" s="358"/>
      <c r="I118" s="358"/>
      <c r="J118" s="517">
        <v>249900</v>
      </c>
      <c r="K118" s="358"/>
      <c r="L118" s="52"/>
      <c r="M118" s="52"/>
    </row>
    <row r="119" spans="1:13" x14ac:dyDescent="0.3">
      <c r="A119" s="1">
        <v>118</v>
      </c>
      <c r="B119" s="80" t="s">
        <v>550</v>
      </c>
      <c r="C119" s="276" t="s">
        <v>529</v>
      </c>
      <c r="D119" s="156" t="s">
        <v>21</v>
      </c>
      <c r="E119" s="85">
        <f t="shared" si="1"/>
        <v>117000</v>
      </c>
      <c r="H119" s="358"/>
      <c r="I119" s="358"/>
      <c r="J119" s="517">
        <v>117000</v>
      </c>
      <c r="K119" s="358"/>
      <c r="L119" s="52"/>
      <c r="M119" s="52"/>
    </row>
    <row r="120" spans="1:13" ht="25.5" customHeight="1" x14ac:dyDescent="0.3">
      <c r="A120" s="1">
        <v>119</v>
      </c>
      <c r="B120" s="80" t="s">
        <v>551</v>
      </c>
      <c r="C120" s="276" t="s">
        <v>604</v>
      </c>
      <c r="D120" s="29" t="s">
        <v>21</v>
      </c>
      <c r="E120" s="85">
        <f t="shared" si="1"/>
        <v>292250</v>
      </c>
      <c r="H120" s="358">
        <v>270000</v>
      </c>
      <c r="I120" s="358"/>
      <c r="J120" s="517">
        <v>314500</v>
      </c>
      <c r="K120" s="358"/>
      <c r="L120" s="52"/>
      <c r="M120" s="52"/>
    </row>
    <row r="121" spans="1:13" ht="25.5" customHeight="1" x14ac:dyDescent="0.3">
      <c r="A121" s="1">
        <v>120</v>
      </c>
      <c r="B121" s="80" t="s">
        <v>552</v>
      </c>
      <c r="C121" s="350" t="s">
        <v>568</v>
      </c>
      <c r="D121" s="156" t="s">
        <v>21</v>
      </c>
      <c r="E121" s="85">
        <f t="shared" si="1"/>
        <v>18450</v>
      </c>
      <c r="H121" s="361">
        <v>12000</v>
      </c>
      <c r="I121" s="361"/>
      <c r="J121" s="518">
        <v>24900</v>
      </c>
      <c r="K121" s="361"/>
      <c r="L121" s="52"/>
      <c r="M121" s="52"/>
    </row>
    <row r="122" spans="1:13" ht="25.5" customHeight="1" x14ac:dyDescent="0.3">
      <c r="A122" s="1">
        <v>121</v>
      </c>
      <c r="B122" s="80" t="s">
        <v>553</v>
      </c>
      <c r="C122" s="328" t="s">
        <v>754</v>
      </c>
      <c r="D122" s="156" t="s">
        <v>21</v>
      </c>
      <c r="E122" s="85">
        <f t="shared" si="1"/>
        <v>800</v>
      </c>
      <c r="H122" s="361">
        <v>800</v>
      </c>
      <c r="I122" s="361"/>
      <c r="J122" s="518">
        <v>800</v>
      </c>
      <c r="K122" s="361"/>
      <c r="L122" s="52"/>
      <c r="M122" s="52"/>
    </row>
    <row r="123" spans="1:13" ht="25.5" customHeight="1" x14ac:dyDescent="0.3">
      <c r="A123" s="1">
        <v>122</v>
      </c>
      <c r="B123" s="80" t="s">
        <v>554</v>
      </c>
      <c r="C123" s="276" t="s">
        <v>203</v>
      </c>
      <c r="D123" s="281" t="s">
        <v>194</v>
      </c>
      <c r="E123" s="85">
        <f t="shared" si="1"/>
        <v>9400</v>
      </c>
      <c r="H123" s="358">
        <v>9000</v>
      </c>
      <c r="I123" s="358"/>
      <c r="J123" s="517">
        <v>9800</v>
      </c>
      <c r="K123" s="358"/>
      <c r="L123" s="52"/>
      <c r="M123" s="52"/>
    </row>
    <row r="124" spans="1:13" ht="25.5" customHeight="1" x14ac:dyDescent="0.3">
      <c r="A124" s="1">
        <v>123</v>
      </c>
      <c r="B124" s="80" t="s">
        <v>555</v>
      </c>
      <c r="C124" s="349" t="s">
        <v>569</v>
      </c>
      <c r="D124" s="156" t="s">
        <v>8</v>
      </c>
      <c r="E124" s="85">
        <f t="shared" si="1"/>
        <v>37991.666666666672</v>
      </c>
      <c r="H124" s="361">
        <v>35000</v>
      </c>
      <c r="I124" s="361"/>
      <c r="J124" s="518">
        <f>245900/6</f>
        <v>40983.333333333336</v>
      </c>
      <c r="K124" s="361"/>
      <c r="L124" s="52"/>
      <c r="M124" s="52"/>
    </row>
    <row r="125" spans="1:13" ht="25.5" customHeight="1" x14ac:dyDescent="0.3">
      <c r="B125" s="80" t="s">
        <v>556</v>
      </c>
      <c r="C125" s="349" t="s">
        <v>1039</v>
      </c>
      <c r="D125" s="156" t="s">
        <v>8</v>
      </c>
      <c r="E125" s="85"/>
      <c r="H125" s="361"/>
      <c r="I125" s="361"/>
      <c r="J125" s="518">
        <f>230000/6</f>
        <v>38333.333333333336</v>
      </c>
      <c r="K125" s="361"/>
      <c r="L125" s="52"/>
      <c r="M125" s="52"/>
    </row>
    <row r="126" spans="1:13" ht="25.5" customHeight="1" x14ac:dyDescent="0.3">
      <c r="A126" s="1">
        <v>124</v>
      </c>
      <c r="B126" s="80" t="s">
        <v>557</v>
      </c>
      <c r="C126" s="348" t="s">
        <v>725</v>
      </c>
      <c r="D126" s="156" t="s">
        <v>21</v>
      </c>
      <c r="E126" s="85">
        <f t="shared" si="1"/>
        <v>8250</v>
      </c>
      <c r="H126" s="361">
        <v>11000</v>
      </c>
      <c r="I126" s="361"/>
      <c r="J126" s="518">
        <v>5500</v>
      </c>
      <c r="K126" s="361"/>
      <c r="L126" s="52"/>
      <c r="M126" s="52"/>
    </row>
    <row r="127" spans="1:13" ht="25.5" customHeight="1" x14ac:dyDescent="0.3">
      <c r="A127" s="1">
        <v>125</v>
      </c>
      <c r="B127" s="80" t="s">
        <v>558</v>
      </c>
      <c r="C127" s="347" t="s">
        <v>570</v>
      </c>
      <c r="D127" s="156" t="s">
        <v>21</v>
      </c>
      <c r="E127" s="85">
        <f t="shared" si="1"/>
        <v>275</v>
      </c>
      <c r="H127" s="361">
        <v>350</v>
      </c>
      <c r="I127" s="361"/>
      <c r="J127" s="518">
        <v>200</v>
      </c>
      <c r="K127" s="361"/>
      <c r="L127" s="52"/>
      <c r="M127" s="52"/>
    </row>
    <row r="128" spans="1:13" ht="25.5" customHeight="1" x14ac:dyDescent="0.3">
      <c r="A128" s="1">
        <v>126</v>
      </c>
      <c r="B128" s="80" t="s">
        <v>559</v>
      </c>
      <c r="C128" s="276" t="s">
        <v>623</v>
      </c>
      <c r="D128" s="92" t="s">
        <v>19</v>
      </c>
      <c r="E128" s="85">
        <f t="shared" si="1"/>
        <v>16383.333333333334</v>
      </c>
      <c r="H128" s="358">
        <f>110000/6</f>
        <v>18333.333333333332</v>
      </c>
      <c r="I128" s="357"/>
      <c r="J128" s="517">
        <f>80900/6</f>
        <v>13483.333333333334</v>
      </c>
      <c r="K128" s="358">
        <f>104000/6</f>
        <v>17333.333333333332</v>
      </c>
      <c r="L128" s="52"/>
      <c r="M128" s="52"/>
    </row>
    <row r="129" spans="1:13" ht="25.5" customHeight="1" x14ac:dyDescent="0.3">
      <c r="A129" s="1">
        <v>127</v>
      </c>
      <c r="B129" s="80" t="s">
        <v>560</v>
      </c>
      <c r="C129" s="276" t="s">
        <v>565</v>
      </c>
      <c r="D129" s="156" t="s">
        <v>19</v>
      </c>
      <c r="E129" s="85">
        <f t="shared" si="1"/>
        <v>3586.8344444444447</v>
      </c>
      <c r="H129" s="361">
        <f>50000/6</f>
        <v>8333.3333333333339</v>
      </c>
      <c r="I129" s="361">
        <f>3781.51/3</f>
        <v>1260.5033333333333</v>
      </c>
      <c r="J129" s="518">
        <f>3500/3</f>
        <v>1166.6666666666667</v>
      </c>
      <c r="K129" s="361"/>
      <c r="L129" s="52"/>
      <c r="M129" s="52"/>
    </row>
    <row r="130" spans="1:13" ht="25.5" customHeight="1" x14ac:dyDescent="0.3">
      <c r="A130" s="1">
        <v>128</v>
      </c>
      <c r="B130" s="80" t="s">
        <v>561</v>
      </c>
      <c r="C130" s="350" t="s">
        <v>765</v>
      </c>
      <c r="D130" s="156" t="s">
        <v>19</v>
      </c>
      <c r="E130" s="85">
        <f t="shared" si="1"/>
        <v>3494.4444444444448</v>
      </c>
      <c r="H130" s="361">
        <f>20000/6</f>
        <v>3333.3333333333335</v>
      </c>
      <c r="I130" s="362"/>
      <c r="J130" s="519">
        <f>20900/6</f>
        <v>3483.3333333333335</v>
      </c>
      <c r="K130" s="361">
        <f>22000/6</f>
        <v>3666.6666666666665</v>
      </c>
      <c r="L130" s="52"/>
      <c r="M130" s="52"/>
    </row>
    <row r="131" spans="1:13" x14ac:dyDescent="0.3">
      <c r="A131" s="1">
        <v>129</v>
      </c>
      <c r="B131" s="80" t="s">
        <v>562</v>
      </c>
      <c r="C131" s="276" t="s">
        <v>750</v>
      </c>
      <c r="D131" s="156" t="s">
        <v>19</v>
      </c>
      <c r="E131" s="85">
        <f t="shared" si="1"/>
        <v>2600</v>
      </c>
      <c r="H131" s="361">
        <f>18000/6</f>
        <v>3000</v>
      </c>
      <c r="I131" s="361"/>
      <c r="J131" s="518">
        <f>13200/6</f>
        <v>2200</v>
      </c>
      <c r="K131" s="361"/>
      <c r="L131" s="52"/>
      <c r="M131" s="52"/>
    </row>
    <row r="132" spans="1:13" ht="38.25" customHeight="1" x14ac:dyDescent="0.3">
      <c r="A132" s="1">
        <v>130</v>
      </c>
      <c r="B132" s="80" t="s">
        <v>563</v>
      </c>
      <c r="C132" s="328" t="s">
        <v>526</v>
      </c>
      <c r="D132" s="156" t="s">
        <v>19</v>
      </c>
      <c r="E132" s="85">
        <f t="shared" si="1"/>
        <v>5600</v>
      </c>
      <c r="H132" s="362">
        <f>45000/6</f>
        <v>7500</v>
      </c>
      <c r="I132" s="362"/>
      <c r="J132" s="518">
        <f>22200/6</f>
        <v>3700</v>
      </c>
      <c r="K132" s="361"/>
      <c r="L132" s="52"/>
      <c r="M132" s="52"/>
    </row>
    <row r="133" spans="1:13" ht="25.5" customHeight="1" x14ac:dyDescent="0.3">
      <c r="A133" s="1">
        <v>131</v>
      </c>
      <c r="B133" s="80" t="s">
        <v>564</v>
      </c>
      <c r="C133" s="328" t="s">
        <v>527</v>
      </c>
      <c r="D133" s="156" t="s">
        <v>19</v>
      </c>
      <c r="E133" s="85">
        <f t="shared" si="1"/>
        <v>7380.8644444444444</v>
      </c>
      <c r="H133" s="358">
        <f>60000/6</f>
        <v>10000</v>
      </c>
      <c r="I133" s="358">
        <f>38655.56/6</f>
        <v>6442.5933333333332</v>
      </c>
      <c r="J133" s="517">
        <f>34200/6</f>
        <v>5700</v>
      </c>
      <c r="K133" s="358"/>
      <c r="L133" s="52"/>
      <c r="M133" s="52"/>
    </row>
    <row r="134" spans="1:13" ht="12.75" customHeight="1" x14ac:dyDescent="0.3">
      <c r="A134" s="1">
        <v>132</v>
      </c>
      <c r="B134" s="80" t="s">
        <v>583</v>
      </c>
      <c r="C134" s="328" t="s">
        <v>602</v>
      </c>
      <c r="D134" s="156" t="s">
        <v>19</v>
      </c>
      <c r="E134" s="85">
        <f t="shared" si="1"/>
        <v>12450</v>
      </c>
      <c r="H134" s="361">
        <f>90000/6</f>
        <v>15000</v>
      </c>
      <c r="I134" s="361"/>
      <c r="J134" s="518">
        <f>59400/6</f>
        <v>9900</v>
      </c>
      <c r="K134" s="361"/>
      <c r="L134" s="52"/>
      <c r="M134" s="52"/>
    </row>
    <row r="135" spans="1:13" ht="15" customHeight="1" x14ac:dyDescent="0.3">
      <c r="A135" s="1">
        <v>133</v>
      </c>
      <c r="B135" s="80" t="s">
        <v>584</v>
      </c>
      <c r="C135" s="276" t="s">
        <v>603</v>
      </c>
      <c r="D135" s="156" t="s">
        <v>21</v>
      </c>
      <c r="E135" s="85">
        <f t="shared" si="1"/>
        <v>4500</v>
      </c>
      <c r="H135" s="361">
        <v>4000</v>
      </c>
      <c r="I135" s="361"/>
      <c r="J135" s="518">
        <v>5000</v>
      </c>
      <c r="K135" s="361"/>
      <c r="L135" s="52"/>
      <c r="M135" s="52"/>
    </row>
    <row r="136" spans="1:13" ht="15" customHeight="1" x14ac:dyDescent="0.3">
      <c r="A136" s="1">
        <v>134</v>
      </c>
      <c r="B136" s="80" t="s">
        <v>585</v>
      </c>
      <c r="C136" s="276" t="s">
        <v>759</v>
      </c>
      <c r="D136" s="156" t="s">
        <v>21</v>
      </c>
      <c r="E136" s="85">
        <f t="shared" si="1"/>
        <v>26125</v>
      </c>
      <c r="H136" s="358"/>
      <c r="I136" s="358"/>
      <c r="J136" s="517">
        <v>26900</v>
      </c>
      <c r="K136" s="358">
        <v>25350</v>
      </c>
      <c r="L136" s="52"/>
      <c r="M136" s="52"/>
    </row>
    <row r="137" spans="1:13" x14ac:dyDescent="0.3">
      <c r="A137" s="1">
        <v>135</v>
      </c>
      <c r="B137" s="80" t="s">
        <v>586</v>
      </c>
      <c r="C137" s="276" t="s">
        <v>753</v>
      </c>
      <c r="D137" s="156" t="s">
        <v>21</v>
      </c>
      <c r="E137" s="85">
        <f t="shared" si="1"/>
        <v>25000</v>
      </c>
      <c r="H137" s="361"/>
      <c r="I137" s="361"/>
      <c r="J137" s="518">
        <v>25000</v>
      </c>
      <c r="K137" s="361"/>
      <c r="L137" s="52"/>
      <c r="M137" s="52"/>
    </row>
    <row r="138" spans="1:13" x14ac:dyDescent="0.3">
      <c r="A138" s="1">
        <v>136</v>
      </c>
      <c r="B138" s="80" t="s">
        <v>587</v>
      </c>
      <c r="C138" s="346" t="s">
        <v>736</v>
      </c>
      <c r="D138" s="156" t="s">
        <v>21</v>
      </c>
      <c r="E138" s="85">
        <f t="shared" si="1"/>
        <v>55000</v>
      </c>
      <c r="H138" s="361"/>
      <c r="I138" s="361"/>
      <c r="J138" s="518">
        <v>55000</v>
      </c>
      <c r="K138" s="361"/>
      <c r="L138" s="52"/>
      <c r="M138" s="52"/>
    </row>
    <row r="139" spans="1:13" x14ac:dyDescent="0.3">
      <c r="A139" s="1">
        <v>137</v>
      </c>
      <c r="B139" s="80" t="s">
        <v>588</v>
      </c>
      <c r="C139" s="276" t="s">
        <v>721</v>
      </c>
      <c r="D139" s="156" t="s">
        <v>111</v>
      </c>
      <c r="E139" s="85">
        <f t="shared" si="1"/>
        <v>4618.0555555555557</v>
      </c>
      <c r="H139" s="361">
        <f>29000/6</f>
        <v>4833.333333333333</v>
      </c>
      <c r="I139" s="361"/>
      <c r="J139" s="518">
        <f>29700/6</f>
        <v>4950</v>
      </c>
      <c r="K139" s="361">
        <f>24425/6</f>
        <v>4070.8333333333335</v>
      </c>
      <c r="L139" s="52"/>
      <c r="M139" s="52"/>
    </row>
    <row r="140" spans="1:13" x14ac:dyDescent="0.3">
      <c r="A140" s="1">
        <v>138</v>
      </c>
      <c r="B140" s="80" t="s">
        <v>589</v>
      </c>
      <c r="C140" s="276" t="s">
        <v>719</v>
      </c>
      <c r="D140" s="156" t="s">
        <v>111</v>
      </c>
      <c r="E140" s="85">
        <f t="shared" si="1"/>
        <v>1458.3333333333335</v>
      </c>
      <c r="H140" s="361">
        <f>9000/6</f>
        <v>1500</v>
      </c>
      <c r="I140" s="361"/>
      <c r="J140" s="518">
        <f>8500/6</f>
        <v>1416.6666666666667</v>
      </c>
      <c r="K140" s="361"/>
      <c r="L140" s="52"/>
      <c r="M140" s="52"/>
    </row>
    <row r="141" spans="1:13" x14ac:dyDescent="0.3">
      <c r="A141" s="1">
        <v>139</v>
      </c>
      <c r="B141" s="80" t="s">
        <v>590</v>
      </c>
      <c r="C141" s="276" t="s">
        <v>696</v>
      </c>
      <c r="D141" s="156" t="s">
        <v>111</v>
      </c>
      <c r="E141" s="85">
        <f t="shared" si="1"/>
        <v>2685.7491666666665</v>
      </c>
      <c r="H141" s="361">
        <f>17000/6</f>
        <v>2833.3333333333335</v>
      </c>
      <c r="I141" s="361">
        <f>14957.98/6</f>
        <v>2492.9966666666664</v>
      </c>
      <c r="J141" s="518">
        <f>18000/6</f>
        <v>3000</v>
      </c>
      <c r="K141" s="361">
        <f>14500/6</f>
        <v>2416.6666666666665</v>
      </c>
      <c r="L141" s="52"/>
      <c r="M141" s="52"/>
    </row>
    <row r="142" spans="1:13" ht="27.75" customHeight="1" x14ac:dyDescent="0.3">
      <c r="A142" s="1">
        <v>140</v>
      </c>
      <c r="B142" s="80" t="s">
        <v>591</v>
      </c>
      <c r="C142" s="276" t="s">
        <v>695</v>
      </c>
      <c r="D142" s="156" t="s">
        <v>111</v>
      </c>
      <c r="E142" s="85">
        <f t="shared" si="1"/>
        <v>7238.8888888888896</v>
      </c>
      <c r="H142" s="358">
        <f>45000/6</f>
        <v>7500</v>
      </c>
      <c r="I142" s="358"/>
      <c r="J142" s="517">
        <f>46900/6</f>
        <v>7816.666666666667</v>
      </c>
      <c r="K142" s="358">
        <f>38400/6</f>
        <v>6400</v>
      </c>
      <c r="L142" s="52"/>
      <c r="M142" s="52"/>
    </row>
    <row r="143" spans="1:13" ht="25.5" customHeight="1" x14ac:dyDescent="0.3">
      <c r="A143" s="1">
        <v>141</v>
      </c>
      <c r="B143" s="80" t="s">
        <v>592</v>
      </c>
      <c r="C143" s="350" t="s">
        <v>582</v>
      </c>
      <c r="D143" s="156" t="s">
        <v>8</v>
      </c>
      <c r="E143" s="85">
        <f t="shared" si="1"/>
        <v>44450</v>
      </c>
      <c r="H143" s="358">
        <v>66000</v>
      </c>
      <c r="I143" s="358"/>
      <c r="J143" s="517">
        <v>22900</v>
      </c>
      <c r="K143" s="358"/>
      <c r="L143" s="52"/>
      <c r="M143" s="52"/>
    </row>
    <row r="144" spans="1:13" x14ac:dyDescent="0.3">
      <c r="A144" s="1">
        <v>142</v>
      </c>
      <c r="B144" s="80" t="s">
        <v>828</v>
      </c>
      <c r="C144" s="328" t="s">
        <v>825</v>
      </c>
      <c r="D144" s="357" t="s">
        <v>21</v>
      </c>
      <c r="E144" s="85">
        <f t="shared" si="1"/>
        <v>4800</v>
      </c>
      <c r="H144" s="358">
        <f>4000</f>
        <v>4000</v>
      </c>
      <c r="I144" s="358"/>
      <c r="J144" s="520">
        <v>5600</v>
      </c>
      <c r="K144" s="358"/>
      <c r="L144" s="52"/>
      <c r="M144" s="52"/>
    </row>
    <row r="145" spans="1:14" x14ac:dyDescent="0.3">
      <c r="A145" s="1">
        <v>143</v>
      </c>
      <c r="B145" s="80" t="s">
        <v>829</v>
      </c>
      <c r="C145" s="328" t="s">
        <v>826</v>
      </c>
      <c r="D145" s="357" t="s">
        <v>21</v>
      </c>
      <c r="E145" s="85">
        <f t="shared" si="1"/>
        <v>17466.666666666668</v>
      </c>
      <c r="H145" s="358">
        <v>14000</v>
      </c>
      <c r="I145" s="358"/>
      <c r="J145" s="517">
        <v>10500</v>
      </c>
      <c r="K145" s="358">
        <v>27900</v>
      </c>
      <c r="L145" s="52"/>
      <c r="M145" s="52"/>
    </row>
    <row r="146" spans="1:14" x14ac:dyDescent="0.3">
      <c r="A146" s="1">
        <v>144</v>
      </c>
      <c r="B146" s="80" t="s">
        <v>832</v>
      </c>
      <c r="C146" s="328" t="s">
        <v>827</v>
      </c>
      <c r="D146" s="357" t="s">
        <v>21</v>
      </c>
      <c r="E146" s="85">
        <f t="shared" si="1"/>
        <v>21450</v>
      </c>
      <c r="H146" s="358">
        <v>18000</v>
      </c>
      <c r="I146" s="358"/>
      <c r="J146" s="517">
        <v>24900</v>
      </c>
      <c r="K146" s="358"/>
      <c r="L146" s="52"/>
      <c r="M146" s="52"/>
    </row>
    <row r="147" spans="1:14" x14ac:dyDescent="0.3">
      <c r="A147" s="1">
        <v>145</v>
      </c>
      <c r="B147" s="80" t="s">
        <v>1040</v>
      </c>
      <c r="C147" s="328" t="s">
        <v>831</v>
      </c>
      <c r="D147" s="357" t="s">
        <v>21</v>
      </c>
      <c r="E147" s="85">
        <f t="shared" si="1"/>
        <v>2300</v>
      </c>
      <c r="H147" s="358"/>
      <c r="I147" s="358"/>
      <c r="J147" s="517">
        <v>2300</v>
      </c>
      <c r="K147" s="358"/>
      <c r="L147" s="52"/>
      <c r="M147" s="52"/>
    </row>
    <row r="148" spans="1:14" x14ac:dyDescent="0.3">
      <c r="B148" s="80" t="s">
        <v>1075</v>
      </c>
      <c r="C148" s="354" t="s">
        <v>1076</v>
      </c>
      <c r="D148" s="352" t="s">
        <v>19</v>
      </c>
      <c r="E148" s="509">
        <f t="shared" ref="E148:E150" si="2">AVERAGE(H148:N148)</f>
        <v>16750</v>
      </c>
      <c r="H148" s="357"/>
      <c r="I148" s="357"/>
      <c r="J148" s="517">
        <f>61000/6</f>
        <v>10166.666666666666</v>
      </c>
      <c r="K148" s="358"/>
      <c r="L148" s="506"/>
      <c r="M148" s="510">
        <f>140000/6</f>
        <v>23333.333333333332</v>
      </c>
      <c r="N148" s="511"/>
    </row>
    <row r="149" spans="1:14" x14ac:dyDescent="0.3">
      <c r="B149" s="80" t="s">
        <v>1121</v>
      </c>
      <c r="C149" s="328" t="s">
        <v>1078</v>
      </c>
      <c r="D149" s="357" t="s">
        <v>19</v>
      </c>
      <c r="E149" s="509">
        <f t="shared" si="2"/>
        <v>33000</v>
      </c>
      <c r="J149" s="72">
        <f>198000/6</f>
        <v>33000</v>
      </c>
    </row>
    <row r="150" spans="1:14" x14ac:dyDescent="0.3">
      <c r="B150" s="80" t="s">
        <v>1122</v>
      </c>
      <c r="C150" s="34" t="s">
        <v>1120</v>
      </c>
      <c r="D150" s="357" t="s">
        <v>19</v>
      </c>
      <c r="E150" s="509">
        <f t="shared" si="2"/>
        <v>21666.666666666668</v>
      </c>
      <c r="M150" s="1">
        <f>130000/6</f>
        <v>21666.666666666668</v>
      </c>
    </row>
    <row r="153" spans="1:14" x14ac:dyDescent="0.3">
      <c r="A153" s="34"/>
      <c r="E153" s="355"/>
    </row>
    <row r="154" spans="1:14" x14ac:dyDescent="0.3">
      <c r="A154" s="34"/>
      <c r="B154" s="872" t="s">
        <v>819</v>
      </c>
      <c r="C154" s="872"/>
      <c r="D154" s="873" t="s">
        <v>820</v>
      </c>
      <c r="E154" s="873"/>
    </row>
    <row r="155" spans="1:14" x14ac:dyDescent="0.3">
      <c r="A155" s="34"/>
      <c r="B155" s="861" t="s">
        <v>120</v>
      </c>
      <c r="C155" s="861"/>
      <c r="D155" s="861" t="s">
        <v>122</v>
      </c>
      <c r="E155" s="861"/>
    </row>
    <row r="156" spans="1:14" x14ac:dyDescent="0.3">
      <c r="A156" s="34"/>
      <c r="B156" s="718" t="s">
        <v>121</v>
      </c>
      <c r="C156" s="718"/>
      <c r="D156" s="718" t="s">
        <v>123</v>
      </c>
      <c r="E156" s="718"/>
    </row>
  </sheetData>
  <autoFilter ref="B34:E147" xr:uid="{8286CA1F-01A2-42BE-9F1B-222FB659056D}">
    <sortState xmlns:xlrd2="http://schemas.microsoft.com/office/spreadsheetml/2017/richdata2" ref="B35:E143">
      <sortCondition ref="C34:C143"/>
    </sortState>
  </autoFilter>
  <mergeCells count="21">
    <mergeCell ref="B1:E1"/>
    <mergeCell ref="B2:G6"/>
    <mergeCell ref="B8:E8"/>
    <mergeCell ref="B14:E14"/>
    <mergeCell ref="B23:E23"/>
    <mergeCell ref="B7:E7"/>
    <mergeCell ref="B9:E9"/>
    <mergeCell ref="B10:E10"/>
    <mergeCell ref="H12:K12"/>
    <mergeCell ref="H13:K13"/>
    <mergeCell ref="H32:K32"/>
    <mergeCell ref="B11:E11"/>
    <mergeCell ref="B12:E12"/>
    <mergeCell ref="B13:E13"/>
    <mergeCell ref="B32:E32"/>
    <mergeCell ref="B154:C154"/>
    <mergeCell ref="D154:E154"/>
    <mergeCell ref="B155:C155"/>
    <mergeCell ref="D155:E155"/>
    <mergeCell ref="B156:C156"/>
    <mergeCell ref="D156:E156"/>
  </mergeCells>
  <phoneticPr fontId="14" type="noConversion"/>
  <pageMargins left="0.70866141732283472" right="0.70866141732283472" top="0.74803149606299213" bottom="0.74803149606299213" header="0.31496062992125984" footer="0.31496062992125984"/>
  <pageSetup scale="65" orientation="portrait" r:id="rId1"/>
  <rowBreaks count="2" manualBreakCount="2">
    <brk id="57" min="1" max="4" man="1"/>
    <brk id="111" min="1" max="4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AD4D-5492-496A-8BEC-1144795A38E6}">
  <dimension ref="A1:G50"/>
  <sheetViews>
    <sheetView view="pageBreakPreview" zoomScale="70" zoomScaleNormal="120" zoomScaleSheetLayoutView="70" workbookViewId="0">
      <selection activeCell="J36" sqref="J36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2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694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 t="shared" ref="F14:F18" si="0">D14*E14</f>
        <v>5000</v>
      </c>
    </row>
    <row r="15" spans="1:6" x14ac:dyDescent="0.3">
      <c r="A15" s="893" t="s">
        <v>390</v>
      </c>
      <c r="B15" s="894"/>
      <c r="C15" s="158" t="s">
        <v>69</v>
      </c>
      <c r="D15" s="158">
        <v>0.1</v>
      </c>
      <c r="E15" s="159">
        <f>EQ!F15</f>
        <v>60000</v>
      </c>
      <c r="F15" s="186">
        <f t="shared" si="0"/>
        <v>6000</v>
      </c>
    </row>
    <row r="16" spans="1:6" x14ac:dyDescent="0.3">
      <c r="A16" s="893"/>
      <c r="B16" s="894"/>
      <c r="C16" s="158"/>
      <c r="D16" s="161"/>
      <c r="E16" s="162"/>
      <c r="F16" s="339">
        <f t="shared" si="0"/>
        <v>0</v>
      </c>
    </row>
    <row r="17" spans="1:6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0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11000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193</v>
      </c>
      <c r="B23" s="904"/>
      <c r="C23" s="87" t="s">
        <v>111</v>
      </c>
      <c r="D23" s="165">
        <v>210</v>
      </c>
      <c r="E23" s="166">
        <f>MAT!E16</f>
        <v>726.6658666666666</v>
      </c>
      <c r="F23" s="167">
        <f>D23*E23</f>
        <v>152599.83199999999</v>
      </c>
    </row>
    <row r="24" spans="1:6" x14ac:dyDescent="0.3">
      <c r="A24" s="903" t="s">
        <v>407</v>
      </c>
      <c r="B24" s="904"/>
      <c r="C24" s="87" t="s">
        <v>9</v>
      </c>
      <c r="D24" s="165">
        <v>0.5</v>
      </c>
      <c r="E24" s="166">
        <f>MAT!E18</f>
        <v>111000</v>
      </c>
      <c r="F24" s="167">
        <f t="shared" ref="F24:F28" si="1">D24*E24</f>
        <v>55500</v>
      </c>
    </row>
    <row r="25" spans="1:6" x14ac:dyDescent="0.3">
      <c r="A25" s="903" t="s">
        <v>498</v>
      </c>
      <c r="B25" s="904"/>
      <c r="C25" s="87" t="s">
        <v>9</v>
      </c>
      <c r="D25" s="165">
        <v>1</v>
      </c>
      <c r="E25" s="166">
        <f>MAT!E17</f>
        <v>131000</v>
      </c>
      <c r="F25" s="167">
        <f t="shared" si="1"/>
        <v>131000</v>
      </c>
    </row>
    <row r="26" spans="1:6" x14ac:dyDescent="0.3">
      <c r="A26" s="903" t="s">
        <v>410</v>
      </c>
      <c r="B26" s="904"/>
      <c r="C26" s="87" t="s">
        <v>102</v>
      </c>
      <c r="D26" s="165">
        <v>143</v>
      </c>
      <c r="E26" s="166">
        <f>MAT!E21</f>
        <v>20</v>
      </c>
      <c r="F26" s="167">
        <f t="shared" si="1"/>
        <v>2860</v>
      </c>
    </row>
    <row r="27" spans="1:6" x14ac:dyDescent="0.3">
      <c r="A27" s="903"/>
      <c r="B27" s="904"/>
      <c r="C27" s="156"/>
      <c r="D27" s="156"/>
      <c r="E27" s="156"/>
      <c r="F27" s="167">
        <f>D27*E27</f>
        <v>0</v>
      </c>
    </row>
    <row r="28" spans="1:6" ht="16.2" thickBot="1" x14ac:dyDescent="0.35">
      <c r="A28" s="905"/>
      <c r="B28" s="906"/>
      <c r="C28" s="178"/>
      <c r="D28" s="178"/>
      <c r="E28" s="178"/>
      <c r="F28" s="179">
        <f t="shared" si="1"/>
        <v>0</v>
      </c>
    </row>
    <row r="29" spans="1:6" ht="16.2" thickBot="1" x14ac:dyDescent="0.35">
      <c r="A29" s="900" t="s">
        <v>84</v>
      </c>
      <c r="B29" s="900"/>
      <c r="C29" s="900"/>
      <c r="D29" s="900"/>
      <c r="E29" s="900"/>
      <c r="F29" s="343">
        <f>SUM(F23:F28)</f>
        <v>341959.83199999999</v>
      </c>
    </row>
    <row r="30" spans="1:6" ht="16.8" thickTop="1" thickBot="1" x14ac:dyDescent="0.35">
      <c r="A30" s="103"/>
      <c r="B30" s="103"/>
      <c r="C30" s="103"/>
      <c r="D30" s="103"/>
      <c r="E30" s="103"/>
    </row>
    <row r="31" spans="1:6" x14ac:dyDescent="0.3">
      <c r="A31" s="895" t="s">
        <v>85</v>
      </c>
      <c r="B31" s="896"/>
      <c r="C31" s="896"/>
      <c r="D31" s="896"/>
      <c r="E31" s="896"/>
      <c r="F31" s="897"/>
    </row>
    <row r="32" spans="1:6" x14ac:dyDescent="0.3">
      <c r="A32" s="169" t="s">
        <v>86</v>
      </c>
      <c r="B32" s="156" t="s">
        <v>12</v>
      </c>
      <c r="C32" s="158" t="s">
        <v>96</v>
      </c>
      <c r="D32" s="158" t="s">
        <v>97</v>
      </c>
      <c r="E32" s="158" t="s">
        <v>95</v>
      </c>
      <c r="F32" s="186" t="s">
        <v>82</v>
      </c>
    </row>
    <row r="33" spans="1:6" x14ac:dyDescent="0.3">
      <c r="A33" s="169"/>
      <c r="B33" s="161"/>
      <c r="C33" s="158"/>
      <c r="D33" s="158"/>
      <c r="E33" s="170"/>
      <c r="F33" s="186">
        <f>D33*E33</f>
        <v>0</v>
      </c>
    </row>
    <row r="34" spans="1:6" ht="16.2" thickBot="1" x14ac:dyDescent="0.35">
      <c r="A34" s="171"/>
      <c r="B34" s="172"/>
      <c r="C34" s="163"/>
      <c r="D34" s="163"/>
      <c r="E34" s="173"/>
      <c r="F34" s="190">
        <f>D34*E34</f>
        <v>0</v>
      </c>
    </row>
    <row r="35" spans="1:6" ht="16.2" thickBot="1" x14ac:dyDescent="0.35">
      <c r="A35" s="907" t="s">
        <v>90</v>
      </c>
      <c r="B35" s="907"/>
      <c r="C35" s="907"/>
      <c r="D35" s="907"/>
      <c r="E35" s="907"/>
      <c r="F35" s="344">
        <f>SUM(F33:F34)</f>
        <v>0</v>
      </c>
    </row>
    <row r="36" spans="1:6" ht="16.8" thickTop="1" thickBot="1" x14ac:dyDescent="0.35">
      <c r="A36" s="103"/>
      <c r="B36" s="103"/>
      <c r="C36" s="103"/>
      <c r="D36" s="103"/>
      <c r="E36" s="103"/>
    </row>
    <row r="37" spans="1:6" x14ac:dyDescent="0.3">
      <c r="A37" s="895" t="s">
        <v>91</v>
      </c>
      <c r="B37" s="896"/>
      <c r="C37" s="896"/>
      <c r="D37" s="896"/>
      <c r="E37" s="896"/>
      <c r="F37" s="897"/>
    </row>
    <row r="38" spans="1:6" ht="24.75" customHeight="1" x14ac:dyDescent="0.3">
      <c r="A38" s="891" t="s">
        <v>48</v>
      </c>
      <c r="B38" s="892"/>
      <c r="C38" s="156" t="s">
        <v>23</v>
      </c>
      <c r="D38" s="156" t="s">
        <v>506</v>
      </c>
      <c r="E38" s="156" t="s">
        <v>98</v>
      </c>
      <c r="F38" s="167" t="s">
        <v>79</v>
      </c>
    </row>
    <row r="39" spans="1:6" x14ac:dyDescent="0.3">
      <c r="A39" s="908" t="s">
        <v>505</v>
      </c>
      <c r="B39" s="909"/>
      <c r="C39" s="176" t="s">
        <v>69</v>
      </c>
      <c r="D39" s="177">
        <f>M.O!F35</f>
        <v>108705.89571666667</v>
      </c>
      <c r="E39" s="156">
        <v>0.35</v>
      </c>
      <c r="F39" s="167">
        <f>D39*E39</f>
        <v>38047.063500833334</v>
      </c>
    </row>
    <row r="40" spans="1:6" x14ac:dyDescent="0.3">
      <c r="A40" s="908" t="s">
        <v>504</v>
      </c>
      <c r="B40" s="909"/>
      <c r="C40" s="176" t="s">
        <v>69</v>
      </c>
      <c r="D40" s="177">
        <f>M.O!F60</f>
        <v>199068.35186166666</v>
      </c>
      <c r="E40" s="156">
        <v>0.35</v>
      </c>
      <c r="F40" s="167">
        <f>D40*E40</f>
        <v>69673.923151583323</v>
      </c>
    </row>
    <row r="41" spans="1:6" x14ac:dyDescent="0.3">
      <c r="A41" s="883"/>
      <c r="B41" s="884"/>
      <c r="C41" s="156"/>
      <c r="D41" s="156"/>
      <c r="E41" s="156"/>
      <c r="F41" s="167">
        <f t="shared" ref="F41:F42" si="2">D41*E41</f>
        <v>0</v>
      </c>
    </row>
    <row r="42" spans="1:6" ht="16.2" thickBot="1" x14ac:dyDescent="0.35">
      <c r="A42" s="898"/>
      <c r="B42" s="899"/>
      <c r="C42" s="178"/>
      <c r="D42" s="178"/>
      <c r="E42" s="178"/>
      <c r="F42" s="179">
        <f t="shared" si="2"/>
        <v>0</v>
      </c>
    </row>
    <row r="43" spans="1:6" ht="15.75" customHeight="1" thickBot="1" x14ac:dyDescent="0.35">
      <c r="A43" s="907" t="s">
        <v>92</v>
      </c>
      <c r="B43" s="907"/>
      <c r="C43" s="907"/>
      <c r="D43" s="907"/>
      <c r="E43" s="907"/>
      <c r="F43" s="344">
        <f>SUM(F39:F42)</f>
        <v>107720.98665241666</v>
      </c>
    </row>
    <row r="44" spans="1:6" ht="16.2" thickTop="1" x14ac:dyDescent="0.3">
      <c r="A44" s="103"/>
      <c r="B44" s="103"/>
      <c r="C44" s="103"/>
      <c r="D44" s="103"/>
      <c r="E44" s="103"/>
    </row>
    <row r="45" spans="1:6" ht="15.75" customHeight="1" thickBot="1" x14ac:dyDescent="0.35">
      <c r="A45" s="907" t="s">
        <v>93</v>
      </c>
      <c r="B45" s="907"/>
      <c r="C45" s="907"/>
      <c r="D45" s="907"/>
      <c r="E45" s="907"/>
      <c r="F45" s="345">
        <f>ROUND(SUM(F29+F43+F19+F35),0)</f>
        <v>460681</v>
      </c>
    </row>
    <row r="46" spans="1:6" ht="16.2" thickTop="1" x14ac:dyDescent="0.3">
      <c r="A46" s="103"/>
      <c r="B46" s="103"/>
      <c r="C46" s="103"/>
      <c r="D46" s="103"/>
      <c r="E46" s="103"/>
    </row>
    <row r="47" spans="1:6" x14ac:dyDescent="0.3">
      <c r="A47" s="103"/>
      <c r="B47" s="103"/>
      <c r="C47" s="103"/>
      <c r="D47" s="103"/>
      <c r="E47" s="103"/>
    </row>
    <row r="49" spans="1:7" x14ac:dyDescent="0.3">
      <c r="A49" s="856" t="s">
        <v>120</v>
      </c>
      <c r="B49" s="856"/>
      <c r="D49" s="856" t="s">
        <v>122</v>
      </c>
      <c r="E49" s="856"/>
      <c r="F49" s="856"/>
      <c r="G49" s="9"/>
    </row>
    <row r="50" spans="1:7" x14ac:dyDescent="0.3">
      <c r="A50" s="741" t="s">
        <v>121</v>
      </c>
      <c r="B50" s="741"/>
      <c r="D50" s="741" t="s">
        <v>123</v>
      </c>
      <c r="E50" s="741"/>
      <c r="F50" s="741"/>
    </row>
  </sheetData>
  <mergeCells count="38">
    <mergeCell ref="A50:B50"/>
    <mergeCell ref="D50:F50"/>
    <mergeCell ref="A35:E35"/>
    <mergeCell ref="A37:F37"/>
    <mergeCell ref="A38:B38"/>
    <mergeCell ref="A39:B39"/>
    <mergeCell ref="A40:B40"/>
    <mergeCell ref="A41:B41"/>
    <mergeCell ref="A42:B42"/>
    <mergeCell ref="A43:E43"/>
    <mergeCell ref="A45:E45"/>
    <mergeCell ref="A49:B49"/>
    <mergeCell ref="D49:F49"/>
    <mergeCell ref="A31:F31"/>
    <mergeCell ref="A18:B18"/>
    <mergeCell ref="A19:E19"/>
    <mergeCell ref="A21:F21"/>
    <mergeCell ref="A22:B22"/>
    <mergeCell ref="A23:B23"/>
    <mergeCell ref="A24:B24"/>
    <mergeCell ref="A25:B25"/>
    <mergeCell ref="A26:B26"/>
    <mergeCell ref="A27:B27"/>
    <mergeCell ref="A28:B28"/>
    <mergeCell ref="A29:E29"/>
    <mergeCell ref="A17:B17"/>
    <mergeCell ref="A1:F5"/>
    <mergeCell ref="A6:F6"/>
    <mergeCell ref="A7:F7"/>
    <mergeCell ref="B9:D9"/>
    <mergeCell ref="E9:E10"/>
    <mergeCell ref="F9:F10"/>
    <mergeCell ref="B10:D10"/>
    <mergeCell ref="A12:F12"/>
    <mergeCell ref="A13:B13"/>
    <mergeCell ref="A14:B14"/>
    <mergeCell ref="A15:B15"/>
    <mergeCell ref="A16:B16"/>
  </mergeCells>
  <pageMargins left="0.7" right="0.7" top="0.75" bottom="0.75" header="0.3" footer="0.3"/>
  <pageSetup paperSize="9" scale="8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AF361-C437-42C9-BB9F-41BB4F986E50}">
  <dimension ref="A1:G50"/>
  <sheetViews>
    <sheetView view="pageBreakPreview" topLeftCell="A22" zoomScale="70" zoomScaleNormal="120" zoomScaleSheetLayoutView="70" workbookViewId="0">
      <selection activeCell="O44" sqref="O4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2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637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 t="shared" ref="F14:F18" si="0">D14*E14</f>
        <v>5000</v>
      </c>
    </row>
    <row r="15" spans="1:6" x14ac:dyDescent="0.3">
      <c r="A15" s="893" t="s">
        <v>390</v>
      </c>
      <c r="B15" s="894"/>
      <c r="C15" s="158" t="s">
        <v>69</v>
      </c>
      <c r="D15" s="158">
        <v>0.1</v>
      </c>
      <c r="E15" s="159">
        <f>EQ!F15</f>
        <v>60000</v>
      </c>
      <c r="F15" s="186">
        <f t="shared" si="0"/>
        <v>6000</v>
      </c>
    </row>
    <row r="16" spans="1:6" x14ac:dyDescent="0.3">
      <c r="A16" s="893"/>
      <c r="B16" s="894"/>
      <c r="C16" s="158"/>
      <c r="D16" s="161"/>
      <c r="E16" s="162"/>
      <c r="F16" s="339">
        <f t="shared" si="0"/>
        <v>0</v>
      </c>
    </row>
    <row r="17" spans="1:6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0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11000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193</v>
      </c>
      <c r="B23" s="904"/>
      <c r="C23" s="87" t="s">
        <v>111</v>
      </c>
      <c r="D23" s="165">
        <v>230</v>
      </c>
      <c r="E23" s="166">
        <f>MAT!E16</f>
        <v>726.6658666666666</v>
      </c>
      <c r="F23" s="167">
        <f>D23*E23</f>
        <v>167133.14933333331</v>
      </c>
    </row>
    <row r="24" spans="1:6" x14ac:dyDescent="0.3">
      <c r="A24" s="903" t="s">
        <v>407</v>
      </c>
      <c r="B24" s="904"/>
      <c r="C24" s="87" t="s">
        <v>9</v>
      </c>
      <c r="D24" s="165">
        <v>0.55000000000000004</v>
      </c>
      <c r="E24" s="166">
        <f>MAT!E18</f>
        <v>111000</v>
      </c>
      <c r="F24" s="167">
        <f t="shared" ref="F24:F28" si="1">D24*E24</f>
        <v>61050.000000000007</v>
      </c>
    </row>
    <row r="25" spans="1:6" x14ac:dyDescent="0.3">
      <c r="A25" s="903" t="s">
        <v>498</v>
      </c>
      <c r="B25" s="904"/>
      <c r="C25" s="87" t="s">
        <v>9</v>
      </c>
      <c r="D25" s="165">
        <v>0.92</v>
      </c>
      <c r="E25" s="166">
        <f>MAT!E17</f>
        <v>131000</v>
      </c>
      <c r="F25" s="167">
        <f t="shared" si="1"/>
        <v>120520</v>
      </c>
    </row>
    <row r="26" spans="1:6" x14ac:dyDescent="0.3">
      <c r="A26" s="903" t="s">
        <v>410</v>
      </c>
      <c r="B26" s="904"/>
      <c r="C26" s="87" t="s">
        <v>102</v>
      </c>
      <c r="D26" s="165">
        <v>148</v>
      </c>
      <c r="E26" s="166">
        <f>MAT!E21</f>
        <v>20</v>
      </c>
      <c r="F26" s="167">
        <f t="shared" si="1"/>
        <v>2960</v>
      </c>
    </row>
    <row r="27" spans="1:6" x14ac:dyDescent="0.3">
      <c r="A27" s="903"/>
      <c r="B27" s="904"/>
      <c r="C27" s="156"/>
      <c r="D27" s="156"/>
      <c r="E27" s="156"/>
      <c r="F27" s="167">
        <f>D27*E27</f>
        <v>0</v>
      </c>
    </row>
    <row r="28" spans="1:6" ht="16.2" thickBot="1" x14ac:dyDescent="0.35">
      <c r="A28" s="905"/>
      <c r="B28" s="906"/>
      <c r="C28" s="178"/>
      <c r="D28" s="178"/>
      <c r="E28" s="178"/>
      <c r="F28" s="179">
        <f t="shared" si="1"/>
        <v>0</v>
      </c>
    </row>
    <row r="29" spans="1:6" ht="16.2" thickBot="1" x14ac:dyDescent="0.35">
      <c r="A29" s="900" t="s">
        <v>84</v>
      </c>
      <c r="B29" s="900"/>
      <c r="C29" s="900"/>
      <c r="D29" s="900"/>
      <c r="E29" s="900"/>
      <c r="F29" s="343">
        <f>SUM(F23:F28)</f>
        <v>351663.14933333331</v>
      </c>
    </row>
    <row r="30" spans="1:6" ht="16.8" thickTop="1" thickBot="1" x14ac:dyDescent="0.35">
      <c r="A30" s="103"/>
      <c r="B30" s="103"/>
      <c r="C30" s="103"/>
      <c r="D30" s="103"/>
      <c r="E30" s="103"/>
    </row>
    <row r="31" spans="1:6" x14ac:dyDescent="0.3">
      <c r="A31" s="895" t="s">
        <v>85</v>
      </c>
      <c r="B31" s="896"/>
      <c r="C31" s="896"/>
      <c r="D31" s="896"/>
      <c r="E31" s="896"/>
      <c r="F31" s="897"/>
    </row>
    <row r="32" spans="1:6" x14ac:dyDescent="0.3">
      <c r="A32" s="169" t="s">
        <v>86</v>
      </c>
      <c r="B32" s="156" t="s">
        <v>12</v>
      </c>
      <c r="C32" s="158" t="s">
        <v>96</v>
      </c>
      <c r="D32" s="158" t="s">
        <v>97</v>
      </c>
      <c r="E32" s="158" t="s">
        <v>95</v>
      </c>
      <c r="F32" s="186" t="s">
        <v>82</v>
      </c>
    </row>
    <row r="33" spans="1:6" x14ac:dyDescent="0.3">
      <c r="A33" s="169"/>
      <c r="B33" s="161"/>
      <c r="C33" s="158"/>
      <c r="D33" s="158"/>
      <c r="E33" s="170"/>
      <c r="F33" s="186">
        <f>D33*E33</f>
        <v>0</v>
      </c>
    </row>
    <row r="34" spans="1:6" ht="16.2" thickBot="1" x14ac:dyDescent="0.35">
      <c r="A34" s="171"/>
      <c r="B34" s="172"/>
      <c r="C34" s="163"/>
      <c r="D34" s="163"/>
      <c r="E34" s="173"/>
      <c r="F34" s="190">
        <f>D34*E34</f>
        <v>0</v>
      </c>
    </row>
    <row r="35" spans="1:6" ht="16.2" thickBot="1" x14ac:dyDescent="0.35">
      <c r="A35" s="907" t="s">
        <v>90</v>
      </c>
      <c r="B35" s="907"/>
      <c r="C35" s="907"/>
      <c r="D35" s="907"/>
      <c r="E35" s="907"/>
      <c r="F35" s="344">
        <f>SUM(F33:F34)</f>
        <v>0</v>
      </c>
    </row>
    <row r="36" spans="1:6" ht="16.8" thickTop="1" thickBot="1" x14ac:dyDescent="0.35">
      <c r="A36" s="103"/>
      <c r="B36" s="103"/>
      <c r="C36" s="103"/>
      <c r="D36" s="103"/>
      <c r="E36" s="103"/>
    </row>
    <row r="37" spans="1:6" x14ac:dyDescent="0.3">
      <c r="A37" s="895" t="s">
        <v>91</v>
      </c>
      <c r="B37" s="896"/>
      <c r="C37" s="896"/>
      <c r="D37" s="896"/>
      <c r="E37" s="896"/>
      <c r="F37" s="897"/>
    </row>
    <row r="38" spans="1:6" ht="24.75" customHeight="1" x14ac:dyDescent="0.3">
      <c r="A38" s="891" t="s">
        <v>48</v>
      </c>
      <c r="B38" s="892"/>
      <c r="C38" s="156" t="s">
        <v>23</v>
      </c>
      <c r="D38" s="156" t="s">
        <v>506</v>
      </c>
      <c r="E38" s="156" t="s">
        <v>98</v>
      </c>
      <c r="F38" s="167" t="s">
        <v>79</v>
      </c>
    </row>
    <row r="39" spans="1:6" x14ac:dyDescent="0.3">
      <c r="A39" s="908" t="s">
        <v>505</v>
      </c>
      <c r="B39" s="909"/>
      <c r="C39" s="176" t="s">
        <v>69</v>
      </c>
      <c r="D39" s="177">
        <f>M.O!F35</f>
        <v>108705.89571666667</v>
      </c>
      <c r="E39" s="156">
        <v>0.35</v>
      </c>
      <c r="F39" s="167">
        <f>D39*E39</f>
        <v>38047.063500833334</v>
      </c>
    </row>
    <row r="40" spans="1:6" x14ac:dyDescent="0.3">
      <c r="A40" s="908" t="s">
        <v>504</v>
      </c>
      <c r="B40" s="909"/>
      <c r="C40" s="176" t="s">
        <v>69</v>
      </c>
      <c r="D40" s="177">
        <f>M.O!F60</f>
        <v>199068.35186166666</v>
      </c>
      <c r="E40" s="156">
        <v>0.35</v>
      </c>
      <c r="F40" s="167">
        <f>D40*E40</f>
        <v>69673.923151583323</v>
      </c>
    </row>
    <row r="41" spans="1:6" x14ac:dyDescent="0.3">
      <c r="A41" s="883"/>
      <c r="B41" s="884"/>
      <c r="C41" s="156"/>
      <c r="D41" s="156"/>
      <c r="E41" s="156"/>
      <c r="F41" s="167">
        <f>D41*E41</f>
        <v>0</v>
      </c>
    </row>
    <row r="42" spans="1:6" ht="16.2" thickBot="1" x14ac:dyDescent="0.35">
      <c r="A42" s="898"/>
      <c r="B42" s="899"/>
      <c r="C42" s="178"/>
      <c r="D42" s="178"/>
      <c r="E42" s="178"/>
      <c r="F42" s="179">
        <f>D42*E42</f>
        <v>0</v>
      </c>
    </row>
    <row r="43" spans="1:6" ht="15.75" customHeight="1" thickBot="1" x14ac:dyDescent="0.35">
      <c r="A43" s="907" t="s">
        <v>92</v>
      </c>
      <c r="B43" s="907"/>
      <c r="C43" s="907"/>
      <c r="D43" s="907"/>
      <c r="E43" s="907"/>
      <c r="F43" s="344">
        <f>SUM(F39:F42)</f>
        <v>107720.98665241666</v>
      </c>
    </row>
    <row r="44" spans="1:6" ht="16.2" thickTop="1" x14ac:dyDescent="0.3">
      <c r="A44" s="103"/>
      <c r="B44" s="103"/>
      <c r="C44" s="103"/>
      <c r="D44" s="103"/>
      <c r="E44" s="103"/>
    </row>
    <row r="45" spans="1:6" ht="15.75" customHeight="1" thickBot="1" x14ac:dyDescent="0.35">
      <c r="A45" s="907" t="s">
        <v>93</v>
      </c>
      <c r="B45" s="907"/>
      <c r="C45" s="907"/>
      <c r="D45" s="907"/>
      <c r="E45" s="907"/>
      <c r="F45" s="345">
        <f>ROUND(SUM(F29+F43+F19+F35),0)</f>
        <v>470384</v>
      </c>
    </row>
    <row r="46" spans="1:6" ht="16.2" thickTop="1" x14ac:dyDescent="0.3">
      <c r="A46" s="103"/>
      <c r="B46" s="103"/>
      <c r="C46" s="103"/>
      <c r="D46" s="103"/>
      <c r="E46" s="103"/>
    </row>
    <row r="47" spans="1:6" x14ac:dyDescent="0.3">
      <c r="A47" s="103"/>
      <c r="B47" s="103"/>
      <c r="C47" s="103"/>
      <c r="D47" s="103"/>
      <c r="E47" s="103"/>
    </row>
    <row r="49" spans="1:7" x14ac:dyDescent="0.3">
      <c r="A49" s="856" t="s">
        <v>120</v>
      </c>
      <c r="B49" s="856"/>
      <c r="D49" s="856" t="s">
        <v>122</v>
      </c>
      <c r="E49" s="856"/>
      <c r="F49" s="856"/>
      <c r="G49" s="9"/>
    </row>
    <row r="50" spans="1:7" x14ac:dyDescent="0.3">
      <c r="A50" s="741" t="s">
        <v>121</v>
      </c>
      <c r="B50" s="741"/>
      <c r="D50" s="741" t="s">
        <v>123</v>
      </c>
      <c r="E50" s="741"/>
      <c r="F50" s="741"/>
    </row>
  </sheetData>
  <mergeCells count="38">
    <mergeCell ref="A1:F5"/>
    <mergeCell ref="A13:B13"/>
    <mergeCell ref="A6:F6"/>
    <mergeCell ref="A7:F7"/>
    <mergeCell ref="B9:D9"/>
    <mergeCell ref="E9:E10"/>
    <mergeCell ref="F9:F10"/>
    <mergeCell ref="B10:D10"/>
    <mergeCell ref="A12:F12"/>
    <mergeCell ref="A26:B26"/>
    <mergeCell ref="A14:B14"/>
    <mergeCell ref="A15:B15"/>
    <mergeCell ref="A16:B16"/>
    <mergeCell ref="A17:B17"/>
    <mergeCell ref="A18:B18"/>
    <mergeCell ref="A19:E19"/>
    <mergeCell ref="A21:F21"/>
    <mergeCell ref="A22:B22"/>
    <mergeCell ref="A23:B23"/>
    <mergeCell ref="A24:B24"/>
    <mergeCell ref="A25:B25"/>
    <mergeCell ref="A43:E43"/>
    <mergeCell ref="A27:B27"/>
    <mergeCell ref="A28:B28"/>
    <mergeCell ref="A29:E29"/>
    <mergeCell ref="A31:F31"/>
    <mergeCell ref="A35:E35"/>
    <mergeCell ref="A37:F37"/>
    <mergeCell ref="A38:B38"/>
    <mergeCell ref="A39:B39"/>
    <mergeCell ref="A40:B40"/>
    <mergeCell ref="A41:B41"/>
    <mergeCell ref="A42:B42"/>
    <mergeCell ref="A45:E45"/>
    <mergeCell ref="A49:B49"/>
    <mergeCell ref="D49:F49"/>
    <mergeCell ref="A50:B50"/>
    <mergeCell ref="D50:F50"/>
  </mergeCells>
  <pageMargins left="0.7" right="0.7" top="0.75" bottom="0.75" header="0.3" footer="0.3"/>
  <pageSetup paperSize="9"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5312-F6E1-4F7F-8434-D73C55CB4C4B}">
  <dimension ref="A1:G50"/>
  <sheetViews>
    <sheetView view="pageBreakPreview" topLeftCell="A22" zoomScale="70" zoomScaleNormal="120" zoomScaleSheetLayoutView="70" workbookViewId="0">
      <selection activeCell="O44" sqref="O4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2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499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 t="shared" ref="F14:F18" si="0">D14*E14</f>
        <v>5000</v>
      </c>
    </row>
    <row r="15" spans="1:6" x14ac:dyDescent="0.3">
      <c r="A15" s="893" t="s">
        <v>390</v>
      </c>
      <c r="B15" s="894"/>
      <c r="C15" s="158" t="s">
        <v>69</v>
      </c>
      <c r="D15" s="158">
        <v>0.1</v>
      </c>
      <c r="E15" s="159">
        <f>EQ!F15</f>
        <v>60000</v>
      </c>
      <c r="F15" s="186">
        <f t="shared" si="0"/>
        <v>6000</v>
      </c>
    </row>
    <row r="16" spans="1:6" x14ac:dyDescent="0.3">
      <c r="A16" s="893"/>
      <c r="B16" s="894"/>
      <c r="C16" s="158"/>
      <c r="D16" s="161"/>
      <c r="E16" s="162"/>
      <c r="F16" s="339">
        <f t="shared" si="0"/>
        <v>0</v>
      </c>
    </row>
    <row r="17" spans="1:6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0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11000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193</v>
      </c>
      <c r="B23" s="904"/>
      <c r="C23" s="87" t="s">
        <v>111</v>
      </c>
      <c r="D23" s="165">
        <v>300</v>
      </c>
      <c r="E23" s="166">
        <f>MAT!E16</f>
        <v>726.6658666666666</v>
      </c>
      <c r="F23" s="167">
        <f>D23*E23</f>
        <v>217999.75999999998</v>
      </c>
    </row>
    <row r="24" spans="1:6" x14ac:dyDescent="0.3">
      <c r="A24" s="903" t="s">
        <v>407</v>
      </c>
      <c r="B24" s="904"/>
      <c r="C24" s="87" t="s">
        <v>9</v>
      </c>
      <c r="D24" s="165">
        <v>0.72</v>
      </c>
      <c r="E24" s="166">
        <f>MAT!E18</f>
        <v>111000</v>
      </c>
      <c r="F24" s="167">
        <f t="shared" ref="F24:F26" si="1">D24*E24</f>
        <v>79920</v>
      </c>
    </row>
    <row r="25" spans="1:6" x14ac:dyDescent="0.3">
      <c r="A25" s="903" t="s">
        <v>498</v>
      </c>
      <c r="B25" s="904"/>
      <c r="C25" s="87" t="s">
        <v>9</v>
      </c>
      <c r="D25" s="165">
        <v>0.72</v>
      </c>
      <c r="E25" s="166">
        <f>MAT!E17</f>
        <v>131000</v>
      </c>
      <c r="F25" s="167">
        <f t="shared" si="1"/>
        <v>94320</v>
      </c>
    </row>
    <row r="26" spans="1:6" x14ac:dyDescent="0.3">
      <c r="A26" s="903" t="s">
        <v>410</v>
      </c>
      <c r="B26" s="904"/>
      <c r="C26" s="87" t="s">
        <v>102</v>
      </c>
      <c r="D26" s="165">
        <v>158</v>
      </c>
      <c r="E26" s="166">
        <f>MAT!E21</f>
        <v>20</v>
      </c>
      <c r="F26" s="167">
        <f t="shared" si="1"/>
        <v>3160</v>
      </c>
    </row>
    <row r="27" spans="1:6" x14ac:dyDescent="0.3">
      <c r="A27" s="903"/>
      <c r="B27" s="904"/>
      <c r="C27" s="156" t="s">
        <v>56</v>
      </c>
      <c r="D27" s="156"/>
      <c r="E27" s="156"/>
      <c r="F27" s="167">
        <f>D27*E27</f>
        <v>0</v>
      </c>
    </row>
    <row r="28" spans="1:6" ht="16.2" thickBot="1" x14ac:dyDescent="0.35">
      <c r="A28" s="905"/>
      <c r="B28" s="906"/>
      <c r="C28" s="178"/>
      <c r="D28" s="178"/>
      <c r="E28" s="178"/>
      <c r="F28" s="179">
        <f t="shared" ref="F28" si="2">D28*E28</f>
        <v>0</v>
      </c>
    </row>
    <row r="29" spans="1:6" ht="16.2" thickBot="1" x14ac:dyDescent="0.35">
      <c r="A29" s="900" t="s">
        <v>84</v>
      </c>
      <c r="B29" s="900"/>
      <c r="C29" s="900"/>
      <c r="D29" s="900"/>
      <c r="E29" s="900"/>
      <c r="F29" s="343">
        <f>SUM(F23:F28)</f>
        <v>395399.76</v>
      </c>
    </row>
    <row r="30" spans="1:6" ht="16.8" thickTop="1" thickBot="1" x14ac:dyDescent="0.35">
      <c r="A30" s="103"/>
      <c r="B30" s="103"/>
      <c r="C30" s="103"/>
      <c r="D30" s="103"/>
      <c r="E30" s="103"/>
    </row>
    <row r="31" spans="1:6" x14ac:dyDescent="0.3">
      <c r="A31" s="895" t="s">
        <v>85</v>
      </c>
      <c r="B31" s="896"/>
      <c r="C31" s="896"/>
      <c r="D31" s="896"/>
      <c r="E31" s="896"/>
      <c r="F31" s="897"/>
    </row>
    <row r="32" spans="1:6" x14ac:dyDescent="0.3">
      <c r="A32" s="169" t="s">
        <v>86</v>
      </c>
      <c r="B32" s="156" t="s">
        <v>12</v>
      </c>
      <c r="C32" s="158" t="s">
        <v>96</v>
      </c>
      <c r="D32" s="158" t="s">
        <v>97</v>
      </c>
      <c r="E32" s="158" t="s">
        <v>95</v>
      </c>
      <c r="F32" s="186" t="s">
        <v>82</v>
      </c>
    </row>
    <row r="33" spans="1:6" x14ac:dyDescent="0.3">
      <c r="A33" s="169"/>
      <c r="B33" s="161"/>
      <c r="C33" s="158"/>
      <c r="D33" s="158"/>
      <c r="E33" s="170"/>
      <c r="F33" s="186">
        <f>D33*E33</f>
        <v>0</v>
      </c>
    </row>
    <row r="34" spans="1:6" ht="16.2" thickBot="1" x14ac:dyDescent="0.35">
      <c r="A34" s="171"/>
      <c r="B34" s="172"/>
      <c r="C34" s="163"/>
      <c r="D34" s="163"/>
      <c r="E34" s="173"/>
      <c r="F34" s="190">
        <f>D34*E34</f>
        <v>0</v>
      </c>
    </row>
    <row r="35" spans="1:6" ht="16.2" thickBot="1" x14ac:dyDescent="0.35">
      <c r="A35" s="907" t="s">
        <v>90</v>
      </c>
      <c r="B35" s="907"/>
      <c r="C35" s="907"/>
      <c r="D35" s="907"/>
      <c r="E35" s="907"/>
      <c r="F35" s="344">
        <f>SUM(F33:F34)</f>
        <v>0</v>
      </c>
    </row>
    <row r="36" spans="1:6" ht="16.8" thickTop="1" thickBot="1" x14ac:dyDescent="0.35">
      <c r="A36" s="103"/>
      <c r="B36" s="103"/>
      <c r="C36" s="103"/>
      <c r="D36" s="103"/>
      <c r="E36" s="103"/>
    </row>
    <row r="37" spans="1:6" x14ac:dyDescent="0.3">
      <c r="A37" s="895" t="s">
        <v>91</v>
      </c>
      <c r="B37" s="896"/>
      <c r="C37" s="896"/>
      <c r="D37" s="896"/>
      <c r="E37" s="896"/>
      <c r="F37" s="897"/>
    </row>
    <row r="38" spans="1:6" ht="24.75" customHeight="1" x14ac:dyDescent="0.3">
      <c r="A38" s="891" t="s">
        <v>48</v>
      </c>
      <c r="B38" s="892"/>
      <c r="C38" s="156" t="s">
        <v>23</v>
      </c>
      <c r="D38" s="156" t="s">
        <v>506</v>
      </c>
      <c r="E38" s="156" t="s">
        <v>98</v>
      </c>
      <c r="F38" s="167" t="s">
        <v>79</v>
      </c>
    </row>
    <row r="39" spans="1:6" x14ac:dyDescent="0.3">
      <c r="A39" s="908" t="s">
        <v>505</v>
      </c>
      <c r="B39" s="909"/>
      <c r="C39" s="176" t="s">
        <v>69</v>
      </c>
      <c r="D39" s="177">
        <f>M.O!F35</f>
        <v>108705.89571666667</v>
      </c>
      <c r="E39" s="156">
        <v>0.35</v>
      </c>
      <c r="F39" s="167">
        <f>D39*E39</f>
        <v>38047.063500833334</v>
      </c>
    </row>
    <row r="40" spans="1:6" x14ac:dyDescent="0.3">
      <c r="A40" s="908" t="s">
        <v>504</v>
      </c>
      <c r="B40" s="909"/>
      <c r="C40" s="176" t="s">
        <v>69</v>
      </c>
      <c r="D40" s="177">
        <f>M.O!F60</f>
        <v>199068.35186166666</v>
      </c>
      <c r="E40" s="156">
        <v>0.35</v>
      </c>
      <c r="F40" s="167">
        <f>D40*E40</f>
        <v>69673.923151583323</v>
      </c>
    </row>
    <row r="41" spans="1:6" x14ac:dyDescent="0.3">
      <c r="A41" s="883"/>
      <c r="B41" s="884"/>
      <c r="C41" s="156"/>
      <c r="D41" s="156"/>
      <c r="E41" s="156"/>
      <c r="F41" s="167">
        <f t="shared" ref="F41:F42" si="3">D41*E41</f>
        <v>0</v>
      </c>
    </row>
    <row r="42" spans="1:6" ht="16.2" thickBot="1" x14ac:dyDescent="0.35">
      <c r="A42" s="898"/>
      <c r="B42" s="899"/>
      <c r="C42" s="178"/>
      <c r="D42" s="178"/>
      <c r="E42" s="178"/>
      <c r="F42" s="179">
        <f t="shared" si="3"/>
        <v>0</v>
      </c>
    </row>
    <row r="43" spans="1:6" ht="15.75" customHeight="1" thickBot="1" x14ac:dyDescent="0.35">
      <c r="A43" s="907" t="s">
        <v>92</v>
      </c>
      <c r="B43" s="907"/>
      <c r="C43" s="907"/>
      <c r="D43" s="907"/>
      <c r="E43" s="907"/>
      <c r="F43" s="344">
        <f>SUM(F39:F42)</f>
        <v>107720.98665241666</v>
      </c>
    </row>
    <row r="44" spans="1:6" ht="16.2" thickTop="1" x14ac:dyDescent="0.3">
      <c r="A44" s="103"/>
      <c r="B44" s="103"/>
      <c r="C44" s="103"/>
      <c r="D44" s="103"/>
      <c r="E44" s="103"/>
    </row>
    <row r="45" spans="1:6" ht="15.75" customHeight="1" thickBot="1" x14ac:dyDescent="0.35">
      <c r="A45" s="907" t="s">
        <v>93</v>
      </c>
      <c r="B45" s="907"/>
      <c r="C45" s="907"/>
      <c r="D45" s="907"/>
      <c r="E45" s="907"/>
      <c r="F45" s="345">
        <f>ROUND(SUM(F29+F43+F19+F35),0)</f>
        <v>514121</v>
      </c>
    </row>
    <row r="46" spans="1:6" ht="16.2" thickTop="1" x14ac:dyDescent="0.3">
      <c r="A46" s="103"/>
      <c r="B46" s="103"/>
      <c r="C46" s="103"/>
      <c r="D46" s="103"/>
      <c r="E46" s="103"/>
    </row>
    <row r="47" spans="1:6" x14ac:dyDescent="0.3">
      <c r="A47" s="103"/>
      <c r="B47" s="103"/>
      <c r="C47" s="103"/>
      <c r="D47" s="103"/>
      <c r="E47" s="103"/>
    </row>
    <row r="49" spans="1:7" x14ac:dyDescent="0.3">
      <c r="A49" s="856" t="s">
        <v>120</v>
      </c>
      <c r="B49" s="856"/>
      <c r="D49" s="856" t="s">
        <v>122</v>
      </c>
      <c r="E49" s="856"/>
      <c r="F49" s="856"/>
      <c r="G49" s="9"/>
    </row>
    <row r="50" spans="1:7" x14ac:dyDescent="0.3">
      <c r="A50" s="741" t="s">
        <v>121</v>
      </c>
      <c r="B50" s="741"/>
      <c r="D50" s="741" t="s">
        <v>123</v>
      </c>
      <c r="E50" s="741"/>
      <c r="F50" s="741"/>
    </row>
  </sheetData>
  <mergeCells count="38">
    <mergeCell ref="D50:F50"/>
    <mergeCell ref="A49:B49"/>
    <mergeCell ref="A50:B50"/>
    <mergeCell ref="A43:E43"/>
    <mergeCell ref="A45:E45"/>
    <mergeCell ref="D49:F49"/>
    <mergeCell ref="A38:B38"/>
    <mergeCell ref="A39:B39"/>
    <mergeCell ref="A40:B40"/>
    <mergeCell ref="A41:B41"/>
    <mergeCell ref="A42:B42"/>
    <mergeCell ref="A37:F37"/>
    <mergeCell ref="A21:F21"/>
    <mergeCell ref="A22:B22"/>
    <mergeCell ref="A23:B23"/>
    <mergeCell ref="A24:B24"/>
    <mergeCell ref="A25:B25"/>
    <mergeCell ref="A26:B26"/>
    <mergeCell ref="A27:B27"/>
    <mergeCell ref="A28:B28"/>
    <mergeCell ref="A29:E29"/>
    <mergeCell ref="A31:F31"/>
    <mergeCell ref="A35:E35"/>
    <mergeCell ref="A7:F7"/>
    <mergeCell ref="A6:F6"/>
    <mergeCell ref="A1:F5"/>
    <mergeCell ref="A19:E19"/>
    <mergeCell ref="B9:D9"/>
    <mergeCell ref="E9:E10"/>
    <mergeCell ref="F9:F10"/>
    <mergeCell ref="B10:D10"/>
    <mergeCell ref="A12:F12"/>
    <mergeCell ref="A13:B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9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93"/>
  <dimension ref="A1:G50"/>
  <sheetViews>
    <sheetView view="pageBreakPreview" zoomScale="70" zoomScaleNormal="120" zoomScaleSheetLayoutView="70" workbookViewId="0">
      <selection activeCell="J42" sqref="J4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2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638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ht="15" customHeight="1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 t="shared" ref="F14:F15" si="0">D14*E14</f>
        <v>5000</v>
      </c>
    </row>
    <row r="15" spans="1:6" x14ac:dyDescent="0.3">
      <c r="A15" s="893" t="s">
        <v>390</v>
      </c>
      <c r="B15" s="894"/>
      <c r="C15" s="158" t="s">
        <v>69</v>
      </c>
      <c r="D15" s="158">
        <v>0.1</v>
      </c>
      <c r="E15" s="159">
        <f>EQ!F15</f>
        <v>60000</v>
      </c>
      <c r="F15" s="186">
        <f t="shared" si="0"/>
        <v>6000</v>
      </c>
    </row>
    <row r="16" spans="1:6" x14ac:dyDescent="0.3">
      <c r="A16" s="893"/>
      <c r="B16" s="894"/>
      <c r="C16" s="158"/>
      <c r="D16" s="161"/>
      <c r="E16" s="162"/>
      <c r="F16" s="339">
        <f t="shared" ref="F16:F18" si="1">D16*E16</f>
        <v>0</v>
      </c>
    </row>
    <row r="17" spans="1:6" x14ac:dyDescent="0.3">
      <c r="A17" s="883"/>
      <c r="B17" s="884"/>
      <c r="C17" s="158"/>
      <c r="D17" s="158"/>
      <c r="E17" s="158"/>
      <c r="F17" s="186">
        <f t="shared" si="1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1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11000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193</v>
      </c>
      <c r="B23" s="904"/>
      <c r="C23" s="87" t="s">
        <v>111</v>
      </c>
      <c r="D23" s="165">
        <v>320</v>
      </c>
      <c r="E23" s="166">
        <f>MAT!E16</f>
        <v>726.6658666666666</v>
      </c>
      <c r="F23" s="167">
        <f>D23*E23</f>
        <v>232533.07733333332</v>
      </c>
    </row>
    <row r="24" spans="1:6" x14ac:dyDescent="0.3">
      <c r="A24" s="903" t="s">
        <v>407</v>
      </c>
      <c r="B24" s="904"/>
      <c r="C24" s="87" t="s">
        <v>9</v>
      </c>
      <c r="D24" s="165">
        <v>0.52</v>
      </c>
      <c r="E24" s="166">
        <f>MAT!E18</f>
        <v>111000</v>
      </c>
      <c r="F24" s="167">
        <f t="shared" ref="F24:F26" si="2">D24*E24</f>
        <v>57720</v>
      </c>
    </row>
    <row r="25" spans="1:6" x14ac:dyDescent="0.3">
      <c r="A25" s="903" t="s">
        <v>498</v>
      </c>
      <c r="B25" s="904"/>
      <c r="C25" s="87" t="s">
        <v>9</v>
      </c>
      <c r="D25" s="165">
        <v>0.9</v>
      </c>
      <c r="E25" s="166">
        <f>MAT!E17</f>
        <v>131000</v>
      </c>
      <c r="F25" s="167">
        <f t="shared" si="2"/>
        <v>117900</v>
      </c>
    </row>
    <row r="26" spans="1:6" x14ac:dyDescent="0.3">
      <c r="A26" s="903" t="s">
        <v>410</v>
      </c>
      <c r="B26" s="904"/>
      <c r="C26" s="87" t="s">
        <v>102</v>
      </c>
      <c r="D26" s="165">
        <v>170</v>
      </c>
      <c r="E26" s="166">
        <f>MAT!E21</f>
        <v>20</v>
      </c>
      <c r="F26" s="167">
        <f t="shared" si="2"/>
        <v>3400</v>
      </c>
    </row>
    <row r="27" spans="1:6" x14ac:dyDescent="0.3">
      <c r="A27" s="903"/>
      <c r="B27" s="904"/>
      <c r="C27" s="156" t="s">
        <v>56</v>
      </c>
      <c r="D27" s="156"/>
      <c r="E27" s="156"/>
      <c r="F27" s="167">
        <f>D27*E27</f>
        <v>0</v>
      </c>
    </row>
    <row r="28" spans="1:6" ht="16.2" thickBot="1" x14ac:dyDescent="0.35">
      <c r="A28" s="905"/>
      <c r="B28" s="906"/>
      <c r="C28" s="178"/>
      <c r="D28" s="178"/>
      <c r="E28" s="178"/>
      <c r="F28" s="179">
        <f t="shared" ref="F28" si="3">D28*E28</f>
        <v>0</v>
      </c>
    </row>
    <row r="29" spans="1:6" ht="16.2" thickBot="1" x14ac:dyDescent="0.35">
      <c r="A29" s="900" t="s">
        <v>84</v>
      </c>
      <c r="B29" s="900"/>
      <c r="C29" s="900"/>
      <c r="D29" s="900"/>
      <c r="E29" s="900"/>
      <c r="F29" s="343">
        <f>SUM(F23:F28)</f>
        <v>411553.07733333332</v>
      </c>
    </row>
    <row r="30" spans="1:6" ht="16.8" thickTop="1" thickBot="1" x14ac:dyDescent="0.35">
      <c r="A30" s="103"/>
      <c r="B30" s="103"/>
      <c r="C30" s="103"/>
      <c r="D30" s="103"/>
      <c r="E30" s="103"/>
    </row>
    <row r="31" spans="1:6" x14ac:dyDescent="0.3">
      <c r="A31" s="895" t="s">
        <v>85</v>
      </c>
      <c r="B31" s="896"/>
      <c r="C31" s="896"/>
      <c r="D31" s="896"/>
      <c r="E31" s="896"/>
      <c r="F31" s="897"/>
    </row>
    <row r="32" spans="1:6" x14ac:dyDescent="0.3">
      <c r="A32" s="169" t="s">
        <v>86</v>
      </c>
      <c r="B32" s="156" t="s">
        <v>12</v>
      </c>
      <c r="C32" s="158" t="s">
        <v>96</v>
      </c>
      <c r="D32" s="158" t="s">
        <v>97</v>
      </c>
      <c r="E32" s="158" t="s">
        <v>95</v>
      </c>
      <c r="F32" s="186" t="s">
        <v>82</v>
      </c>
    </row>
    <row r="33" spans="1:6" x14ac:dyDescent="0.3">
      <c r="A33" s="169"/>
      <c r="B33" s="161"/>
      <c r="C33" s="158"/>
      <c r="D33" s="158"/>
      <c r="E33" s="170"/>
      <c r="F33" s="186">
        <f>D33*E33</f>
        <v>0</v>
      </c>
    </row>
    <row r="34" spans="1:6" ht="16.2" thickBot="1" x14ac:dyDescent="0.35">
      <c r="A34" s="171"/>
      <c r="B34" s="172"/>
      <c r="C34" s="163"/>
      <c r="D34" s="163"/>
      <c r="E34" s="173"/>
      <c r="F34" s="190">
        <f>D34*E34</f>
        <v>0</v>
      </c>
    </row>
    <row r="35" spans="1:6" ht="16.2" thickBot="1" x14ac:dyDescent="0.35">
      <c r="A35" s="907" t="s">
        <v>90</v>
      </c>
      <c r="B35" s="907"/>
      <c r="C35" s="907"/>
      <c r="D35" s="907"/>
      <c r="E35" s="907"/>
      <c r="F35" s="344">
        <f>SUM(F33:F34)</f>
        <v>0</v>
      </c>
    </row>
    <row r="36" spans="1:6" ht="16.8" thickTop="1" thickBot="1" x14ac:dyDescent="0.35">
      <c r="A36" s="103"/>
      <c r="B36" s="103"/>
      <c r="C36" s="103"/>
      <c r="D36" s="103"/>
      <c r="E36" s="103"/>
    </row>
    <row r="37" spans="1:6" x14ac:dyDescent="0.3">
      <c r="A37" s="895" t="s">
        <v>91</v>
      </c>
      <c r="B37" s="896"/>
      <c r="C37" s="896"/>
      <c r="D37" s="896"/>
      <c r="E37" s="896"/>
      <c r="F37" s="897"/>
    </row>
    <row r="38" spans="1:6" ht="24.75" customHeight="1" x14ac:dyDescent="0.3">
      <c r="A38" s="891" t="s">
        <v>48</v>
      </c>
      <c r="B38" s="892"/>
      <c r="C38" s="156" t="s">
        <v>23</v>
      </c>
      <c r="D38" s="156" t="s">
        <v>506</v>
      </c>
      <c r="E38" s="156" t="s">
        <v>98</v>
      </c>
      <c r="F38" s="167" t="s">
        <v>79</v>
      </c>
    </row>
    <row r="39" spans="1:6" x14ac:dyDescent="0.3">
      <c r="A39" s="908" t="s">
        <v>505</v>
      </c>
      <c r="B39" s="909"/>
      <c r="C39" s="176" t="s">
        <v>69</v>
      </c>
      <c r="D39" s="177">
        <f>M.O!F35</f>
        <v>108705.89571666667</v>
      </c>
      <c r="E39" s="156">
        <v>0.6</v>
      </c>
      <c r="F39" s="167">
        <f>D39*E39</f>
        <v>65223.537429999997</v>
      </c>
    </row>
    <row r="40" spans="1:6" x14ac:dyDescent="0.3">
      <c r="A40" s="908" t="s">
        <v>504</v>
      </c>
      <c r="B40" s="909"/>
      <c r="C40" s="176" t="s">
        <v>69</v>
      </c>
      <c r="D40" s="177">
        <f>M.O!F60</f>
        <v>199068.35186166666</v>
      </c>
      <c r="E40" s="156">
        <v>0.6</v>
      </c>
      <c r="F40" s="167">
        <f t="shared" ref="F40:F42" si="4">D40*E40</f>
        <v>119441.01111699999</v>
      </c>
    </row>
    <row r="41" spans="1:6" x14ac:dyDescent="0.3">
      <c r="A41" s="883"/>
      <c r="B41" s="884"/>
      <c r="C41" s="156"/>
      <c r="D41" s="156"/>
      <c r="E41" s="156"/>
      <c r="F41" s="167">
        <f t="shared" si="4"/>
        <v>0</v>
      </c>
    </row>
    <row r="42" spans="1:6" ht="16.2" thickBot="1" x14ac:dyDescent="0.35">
      <c r="A42" s="898"/>
      <c r="B42" s="899"/>
      <c r="C42" s="178"/>
      <c r="D42" s="178"/>
      <c r="E42" s="178"/>
      <c r="F42" s="179">
        <f t="shared" si="4"/>
        <v>0</v>
      </c>
    </row>
    <row r="43" spans="1:6" ht="15.75" customHeight="1" thickBot="1" x14ac:dyDescent="0.35">
      <c r="A43" s="907" t="s">
        <v>92</v>
      </c>
      <c r="B43" s="907"/>
      <c r="C43" s="907"/>
      <c r="D43" s="907"/>
      <c r="E43" s="907"/>
      <c r="F43" s="344">
        <f>SUM(F39:F42)</f>
        <v>184664.54854699998</v>
      </c>
    </row>
    <row r="44" spans="1:6" ht="16.2" thickTop="1" x14ac:dyDescent="0.3">
      <c r="A44" s="103"/>
      <c r="B44" s="103"/>
      <c r="C44" s="103"/>
      <c r="D44" s="103"/>
      <c r="E44" s="103"/>
    </row>
    <row r="45" spans="1:6" ht="15.75" customHeight="1" thickBot="1" x14ac:dyDescent="0.35">
      <c r="A45" s="907" t="s">
        <v>93</v>
      </c>
      <c r="B45" s="907"/>
      <c r="C45" s="907"/>
      <c r="D45" s="907"/>
      <c r="E45" s="907"/>
      <c r="F45" s="345">
        <f>ROUND(SUM(F29+F43+F19+F35),0)</f>
        <v>607218</v>
      </c>
    </row>
    <row r="46" spans="1:6" ht="16.2" thickTop="1" x14ac:dyDescent="0.3">
      <c r="A46" s="103"/>
      <c r="B46" s="103"/>
      <c r="C46" s="103"/>
      <c r="D46" s="103"/>
      <c r="E46" s="103"/>
    </row>
    <row r="47" spans="1:6" x14ac:dyDescent="0.3">
      <c r="A47" s="103"/>
      <c r="B47" s="103"/>
      <c r="C47" s="103"/>
      <c r="D47" s="103"/>
      <c r="E47" s="103"/>
    </row>
    <row r="49" spans="1:7" x14ac:dyDescent="0.3">
      <c r="A49" s="856" t="s">
        <v>120</v>
      </c>
      <c r="B49" s="856"/>
      <c r="D49" s="856" t="s">
        <v>122</v>
      </c>
      <c r="E49" s="856"/>
      <c r="F49" s="856"/>
      <c r="G49" s="9"/>
    </row>
    <row r="50" spans="1:7" x14ac:dyDescent="0.3">
      <c r="A50" s="741" t="s">
        <v>121</v>
      </c>
      <c r="B50" s="741"/>
      <c r="D50" s="741" t="s">
        <v>123</v>
      </c>
      <c r="E50" s="741"/>
      <c r="F50" s="741"/>
    </row>
  </sheetData>
  <mergeCells count="38">
    <mergeCell ref="A40:B40"/>
    <mergeCell ref="A6:F6"/>
    <mergeCell ref="A1:F5"/>
    <mergeCell ref="A49:B49"/>
    <mergeCell ref="A50:B50"/>
    <mergeCell ref="D49:F49"/>
    <mergeCell ref="D50:F50"/>
    <mergeCell ref="A13:B13"/>
    <mergeCell ref="A35:E35"/>
    <mergeCell ref="A37:F37"/>
    <mergeCell ref="A43:E43"/>
    <mergeCell ref="A45:E45"/>
    <mergeCell ref="A27:B27"/>
    <mergeCell ref="A28:B28"/>
    <mergeCell ref="A29:E29"/>
    <mergeCell ref="A31:F31"/>
    <mergeCell ref="A38:B38"/>
    <mergeCell ref="A7:F7"/>
    <mergeCell ref="B9:D9"/>
    <mergeCell ref="E9:E10"/>
    <mergeCell ref="F9:F10"/>
    <mergeCell ref="B10:D10"/>
    <mergeCell ref="A41:B41"/>
    <mergeCell ref="A42:B42"/>
    <mergeCell ref="A12:F12"/>
    <mergeCell ref="A26:B26"/>
    <mergeCell ref="A14:B14"/>
    <mergeCell ref="A15:B15"/>
    <mergeCell ref="A16:B16"/>
    <mergeCell ref="A17:B17"/>
    <mergeCell ref="A18:B18"/>
    <mergeCell ref="A19:E19"/>
    <mergeCell ref="A21:F21"/>
    <mergeCell ref="A22:B22"/>
    <mergeCell ref="A23:B23"/>
    <mergeCell ref="A24:B24"/>
    <mergeCell ref="A25:B25"/>
    <mergeCell ref="A39:B39"/>
  </mergeCells>
  <pageMargins left="0.7" right="0.7" top="0.75" bottom="0.75" header="0.3" footer="0.3"/>
  <pageSetup paperSize="9"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A6A3C-F1E3-415F-A0E0-E7DCDD7C8E72}">
  <dimension ref="A1:G50"/>
  <sheetViews>
    <sheetView view="pageBreakPreview" topLeftCell="A28" zoomScale="70" zoomScaleNormal="90" zoomScaleSheetLayoutView="70" workbookViewId="0">
      <selection activeCell="O44" sqref="O4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202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420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  <c r="F11" s="202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340" t="s">
        <v>79</v>
      </c>
    </row>
    <row r="14" spans="1:6" ht="15" customHeight="1" x14ac:dyDescent="0.3">
      <c r="A14" s="893" t="s">
        <v>433</v>
      </c>
      <c r="B14" s="894"/>
      <c r="C14" s="158" t="s">
        <v>21</v>
      </c>
      <c r="D14" s="158">
        <v>0.6</v>
      </c>
      <c r="E14" s="159">
        <v>5000</v>
      </c>
      <c r="F14" s="186">
        <f t="shared" ref="F14:F15" si="0">D14*E14</f>
        <v>3000</v>
      </c>
    </row>
    <row r="15" spans="1:6" x14ac:dyDescent="0.3">
      <c r="A15" s="893" t="s">
        <v>390</v>
      </c>
      <c r="B15" s="894"/>
      <c r="C15" s="158" t="s">
        <v>69</v>
      </c>
      <c r="D15" s="158">
        <v>0.1</v>
      </c>
      <c r="E15" s="159">
        <f>EQ!F15</f>
        <v>60000</v>
      </c>
      <c r="F15" s="186">
        <f t="shared" si="0"/>
        <v>6000</v>
      </c>
    </row>
    <row r="16" spans="1:6" x14ac:dyDescent="0.3">
      <c r="A16" s="893"/>
      <c r="B16" s="894"/>
      <c r="C16" s="158"/>
      <c r="D16" s="161"/>
      <c r="E16" s="162"/>
      <c r="F16" s="339">
        <f t="shared" ref="F16:F18" si="1">D16*E16</f>
        <v>0</v>
      </c>
    </row>
    <row r="17" spans="1:6" x14ac:dyDescent="0.3">
      <c r="A17" s="883"/>
      <c r="B17" s="884"/>
      <c r="C17" s="158"/>
      <c r="D17" s="158"/>
      <c r="E17" s="158"/>
      <c r="F17" s="186">
        <f t="shared" si="1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1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9000</v>
      </c>
    </row>
    <row r="20" spans="1:6" ht="16.8" thickTop="1" thickBot="1" x14ac:dyDescent="0.35">
      <c r="A20" s="103"/>
      <c r="B20" s="103"/>
      <c r="C20" s="103"/>
      <c r="D20" s="103"/>
      <c r="E20" s="103"/>
      <c r="F20" s="202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340" t="s">
        <v>79</v>
      </c>
    </row>
    <row r="23" spans="1:6" x14ac:dyDescent="0.3">
      <c r="A23" s="910" t="s">
        <v>500</v>
      </c>
      <c r="B23" s="904"/>
      <c r="C23" s="56" t="s">
        <v>9</v>
      </c>
      <c r="D23" s="50">
        <v>0.4</v>
      </c>
      <c r="E23" s="166">
        <f>MAT!E22</f>
        <v>66666.666666666672</v>
      </c>
      <c r="F23" s="167">
        <f>D23*E23</f>
        <v>26666.666666666672</v>
      </c>
    </row>
    <row r="24" spans="1:6" x14ac:dyDescent="0.3">
      <c r="A24" s="903" t="s">
        <v>501</v>
      </c>
      <c r="B24" s="904"/>
      <c r="C24" s="56" t="s">
        <v>9</v>
      </c>
      <c r="D24" s="50">
        <v>0.6</v>
      </c>
      <c r="E24" s="166">
        <f>'C. 2500 PSI'!F45</f>
        <v>514121</v>
      </c>
      <c r="F24" s="167">
        <f t="shared" ref="F24:F28" si="2">D24*E24</f>
        <v>308472.59999999998</v>
      </c>
    </row>
    <row r="25" spans="1:6" x14ac:dyDescent="0.3">
      <c r="A25" s="903"/>
      <c r="B25" s="904"/>
      <c r="C25" s="156"/>
      <c r="D25" s="156"/>
      <c r="E25" s="156"/>
      <c r="F25" s="167">
        <f t="shared" si="2"/>
        <v>0</v>
      </c>
    </row>
    <row r="26" spans="1:6" x14ac:dyDescent="0.3">
      <c r="A26" s="903"/>
      <c r="B26" s="904"/>
      <c r="C26" s="87"/>
      <c r="D26" s="165"/>
      <c r="E26" s="166"/>
      <c r="F26" s="167">
        <f t="shared" si="2"/>
        <v>0</v>
      </c>
    </row>
    <row r="27" spans="1:6" x14ac:dyDescent="0.3">
      <c r="A27" s="903"/>
      <c r="B27" s="904"/>
      <c r="C27" s="156"/>
      <c r="D27" s="156"/>
      <c r="E27" s="156"/>
      <c r="F27" s="167">
        <f t="shared" si="2"/>
        <v>0</v>
      </c>
    </row>
    <row r="28" spans="1:6" ht="16.2" thickBot="1" x14ac:dyDescent="0.35">
      <c r="A28" s="905"/>
      <c r="B28" s="906"/>
      <c r="C28" s="178"/>
      <c r="D28" s="178"/>
      <c r="E28" s="178"/>
      <c r="F28" s="179">
        <f t="shared" si="2"/>
        <v>0</v>
      </c>
    </row>
    <row r="29" spans="1:6" ht="16.2" thickBot="1" x14ac:dyDescent="0.35">
      <c r="A29" s="900" t="s">
        <v>84</v>
      </c>
      <c r="B29" s="900"/>
      <c r="C29" s="900"/>
      <c r="D29" s="900"/>
      <c r="E29" s="900"/>
      <c r="F29" s="343">
        <f>SUM(F23:F28)</f>
        <v>335139.26666666666</v>
      </c>
    </row>
    <row r="30" spans="1:6" ht="16.8" thickTop="1" thickBot="1" x14ac:dyDescent="0.35">
      <c r="A30" s="103"/>
      <c r="B30" s="103"/>
      <c r="C30" s="103"/>
      <c r="D30" s="103"/>
      <c r="E30" s="103"/>
      <c r="F30" s="202"/>
    </row>
    <row r="31" spans="1:6" x14ac:dyDescent="0.3">
      <c r="A31" s="895" t="s">
        <v>85</v>
      </c>
      <c r="B31" s="896"/>
      <c r="C31" s="896"/>
      <c r="D31" s="896"/>
      <c r="E31" s="896"/>
      <c r="F31" s="897"/>
    </row>
    <row r="32" spans="1:6" x14ac:dyDescent="0.3">
      <c r="A32" s="169" t="s">
        <v>86</v>
      </c>
      <c r="B32" s="156" t="s">
        <v>12</v>
      </c>
      <c r="C32" s="158" t="s">
        <v>96</v>
      </c>
      <c r="D32" s="158" t="s">
        <v>97</v>
      </c>
      <c r="E32" s="158" t="s">
        <v>95</v>
      </c>
      <c r="F32" s="192" t="s">
        <v>82</v>
      </c>
    </row>
    <row r="33" spans="1:6" x14ac:dyDescent="0.3">
      <c r="A33" s="169"/>
      <c r="B33" s="161"/>
      <c r="C33" s="158"/>
      <c r="D33" s="158"/>
      <c r="E33" s="170"/>
      <c r="F33" s="186">
        <f>D33*E33</f>
        <v>0</v>
      </c>
    </row>
    <row r="34" spans="1:6" ht="16.2" thickBot="1" x14ac:dyDescent="0.35">
      <c r="A34" s="171"/>
      <c r="B34" s="172"/>
      <c r="C34" s="163"/>
      <c r="D34" s="163"/>
      <c r="E34" s="173"/>
      <c r="F34" s="190">
        <f>D34*E34</f>
        <v>0</v>
      </c>
    </row>
    <row r="35" spans="1:6" ht="16.2" thickBot="1" x14ac:dyDescent="0.35">
      <c r="A35" s="907" t="s">
        <v>90</v>
      </c>
      <c r="B35" s="907"/>
      <c r="C35" s="907"/>
      <c r="D35" s="907"/>
      <c r="E35" s="907"/>
      <c r="F35" s="344">
        <f>SUM(F33:F34)</f>
        <v>0</v>
      </c>
    </row>
    <row r="36" spans="1:6" ht="16.8" thickTop="1" thickBot="1" x14ac:dyDescent="0.35">
      <c r="A36" s="103"/>
      <c r="B36" s="103"/>
      <c r="C36" s="103"/>
      <c r="D36" s="103"/>
      <c r="E36" s="103"/>
      <c r="F36" s="202"/>
    </row>
    <row r="37" spans="1:6" x14ac:dyDescent="0.3">
      <c r="A37" s="895" t="s">
        <v>91</v>
      </c>
      <c r="B37" s="896"/>
      <c r="C37" s="896"/>
      <c r="D37" s="896"/>
      <c r="E37" s="896"/>
      <c r="F37" s="897"/>
    </row>
    <row r="38" spans="1:6" ht="24.75" customHeight="1" x14ac:dyDescent="0.3">
      <c r="A38" s="891" t="s">
        <v>48</v>
      </c>
      <c r="B38" s="892"/>
      <c r="C38" s="156" t="s">
        <v>23</v>
      </c>
      <c r="D38" s="156" t="s">
        <v>506</v>
      </c>
      <c r="E38" s="156" t="s">
        <v>98</v>
      </c>
      <c r="F38" s="340" t="s">
        <v>79</v>
      </c>
    </row>
    <row r="39" spans="1:6" x14ac:dyDescent="0.3">
      <c r="A39" s="908" t="s">
        <v>505</v>
      </c>
      <c r="B39" s="909"/>
      <c r="C39" s="176" t="s">
        <v>69</v>
      </c>
      <c r="D39" s="177">
        <f>M.O!F35</f>
        <v>108705.89571666667</v>
      </c>
      <c r="E39" s="156">
        <v>0.55000000000000004</v>
      </c>
      <c r="F39" s="167">
        <f>D39*E39</f>
        <v>59788.242644166668</v>
      </c>
    </row>
    <row r="40" spans="1:6" x14ac:dyDescent="0.3">
      <c r="A40" s="908" t="s">
        <v>504</v>
      </c>
      <c r="B40" s="909"/>
      <c r="C40" s="176" t="s">
        <v>69</v>
      </c>
      <c r="D40" s="177">
        <f>M.O!F60</f>
        <v>199068.35186166666</v>
      </c>
      <c r="E40" s="156">
        <v>0.55000000000000004</v>
      </c>
      <c r="F40" s="167">
        <f>D40*E40</f>
        <v>109487.59352391667</v>
      </c>
    </row>
    <row r="41" spans="1:6" x14ac:dyDescent="0.3">
      <c r="A41" s="883"/>
      <c r="B41" s="884"/>
      <c r="C41" s="156"/>
      <c r="D41" s="156"/>
      <c r="E41" s="156"/>
      <c r="F41" s="167">
        <f t="shared" ref="F41:F42" si="3">D41*E41</f>
        <v>0</v>
      </c>
    </row>
    <row r="42" spans="1:6" ht="16.2" thickBot="1" x14ac:dyDescent="0.35">
      <c r="A42" s="898"/>
      <c r="B42" s="899"/>
      <c r="C42" s="178"/>
      <c r="D42" s="178"/>
      <c r="E42" s="178"/>
      <c r="F42" s="179">
        <f t="shared" si="3"/>
        <v>0</v>
      </c>
    </row>
    <row r="43" spans="1:6" ht="15.75" customHeight="1" thickBot="1" x14ac:dyDescent="0.35">
      <c r="A43" s="907" t="s">
        <v>92</v>
      </c>
      <c r="B43" s="907"/>
      <c r="C43" s="907"/>
      <c r="D43" s="907"/>
      <c r="E43" s="907"/>
      <c r="F43" s="344">
        <f>SUM(F39:F42)</f>
        <v>169275.83616808333</v>
      </c>
    </row>
    <row r="44" spans="1:6" ht="16.2" thickTop="1" x14ac:dyDescent="0.3">
      <c r="A44" s="103"/>
      <c r="B44" s="103"/>
      <c r="C44" s="103"/>
      <c r="D44" s="103"/>
      <c r="E44" s="103"/>
      <c r="F44" s="202"/>
    </row>
    <row r="45" spans="1:6" ht="15.75" customHeight="1" thickBot="1" x14ac:dyDescent="0.35">
      <c r="A45" s="907" t="s">
        <v>93</v>
      </c>
      <c r="B45" s="907"/>
      <c r="C45" s="907"/>
      <c r="D45" s="907"/>
      <c r="E45" s="907"/>
      <c r="F45" s="345">
        <f>ROUND(SUM(F29+F43+F19+F35),0)</f>
        <v>513415</v>
      </c>
    </row>
    <row r="46" spans="1:6" ht="16.2" thickTop="1" x14ac:dyDescent="0.3">
      <c r="A46" s="103"/>
      <c r="B46" s="103"/>
      <c r="C46" s="103"/>
      <c r="D46" s="103"/>
      <c r="E46" s="103"/>
      <c r="F46" s="202"/>
    </row>
    <row r="47" spans="1:6" x14ac:dyDescent="0.3">
      <c r="A47" s="103"/>
      <c r="B47" s="103"/>
      <c r="C47" s="103"/>
      <c r="D47" s="103"/>
      <c r="E47" s="103"/>
      <c r="F47" s="202"/>
    </row>
    <row r="49" spans="1:7" x14ac:dyDescent="0.3">
      <c r="A49" s="856" t="s">
        <v>120</v>
      </c>
      <c r="B49" s="856"/>
      <c r="D49" s="856" t="s">
        <v>122</v>
      </c>
      <c r="E49" s="856"/>
      <c r="F49" s="856"/>
      <c r="G49" s="9"/>
    </row>
    <row r="50" spans="1:7" x14ac:dyDescent="0.3">
      <c r="A50" s="741" t="s">
        <v>121</v>
      </c>
      <c r="B50" s="741"/>
      <c r="D50" s="741" t="s">
        <v>123</v>
      </c>
      <c r="E50" s="741"/>
      <c r="F50" s="741"/>
    </row>
  </sheetData>
  <mergeCells count="38">
    <mergeCell ref="A49:B49"/>
    <mergeCell ref="D50:F50"/>
    <mergeCell ref="D49:F49"/>
    <mergeCell ref="A43:E43"/>
    <mergeCell ref="A45:E45"/>
    <mergeCell ref="A50:B50"/>
    <mergeCell ref="A38:B38"/>
    <mergeCell ref="A39:B39"/>
    <mergeCell ref="A40:B40"/>
    <mergeCell ref="A41:B41"/>
    <mergeCell ref="A42:B42"/>
    <mergeCell ref="A37:F37"/>
    <mergeCell ref="A21:F21"/>
    <mergeCell ref="A22:B22"/>
    <mergeCell ref="A23:B23"/>
    <mergeCell ref="A24:B24"/>
    <mergeCell ref="A25:B25"/>
    <mergeCell ref="A26:B26"/>
    <mergeCell ref="A27:B27"/>
    <mergeCell ref="A28:B28"/>
    <mergeCell ref="A29:E29"/>
    <mergeCell ref="A31:F31"/>
    <mergeCell ref="A35:E35"/>
    <mergeCell ref="A7:F7"/>
    <mergeCell ref="A6:F6"/>
    <mergeCell ref="A1:F5"/>
    <mergeCell ref="A19:E19"/>
    <mergeCell ref="B9:D9"/>
    <mergeCell ref="E9:E10"/>
    <mergeCell ref="F9:F10"/>
    <mergeCell ref="B10:D10"/>
    <mergeCell ref="A12:F12"/>
    <mergeCell ref="A13:B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9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877B1-CB99-453F-B3D2-33B316539DE6}">
  <dimension ref="A1:H51"/>
  <sheetViews>
    <sheetView view="pageBreakPreview" topLeftCell="A25" zoomScale="70" zoomScaleNormal="90" zoomScaleSheetLayoutView="70" workbookViewId="0">
      <selection activeCell="O44" sqref="O4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5.88671875" style="342" customWidth="1"/>
    <col min="7" max="7" width="11.44140625" style="1"/>
    <col min="8" max="8" width="13.6640625" style="1" customWidth="1"/>
    <col min="9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1006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ht="15" customHeight="1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>D14*E14</f>
        <v>5000</v>
      </c>
    </row>
    <row r="15" spans="1:6" x14ac:dyDescent="0.3">
      <c r="A15" s="893"/>
      <c r="B15" s="894"/>
      <c r="C15" s="158"/>
      <c r="D15" s="158"/>
      <c r="E15" s="159"/>
      <c r="F15" s="186">
        <f>D15*E15</f>
        <v>0</v>
      </c>
    </row>
    <row r="16" spans="1:6" x14ac:dyDescent="0.3">
      <c r="A16" s="883"/>
      <c r="B16" s="884"/>
      <c r="C16" s="158"/>
      <c r="D16" s="158"/>
      <c r="E16" s="158"/>
      <c r="F16" s="186">
        <f>D16*E16</f>
        <v>0</v>
      </c>
    </row>
    <row r="17" spans="1:6" x14ac:dyDescent="0.3">
      <c r="A17" s="883"/>
      <c r="B17" s="884"/>
      <c r="C17" s="158"/>
      <c r="D17" s="158"/>
      <c r="E17" s="158"/>
      <c r="F17" s="186">
        <f>D17*E17</f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>D18*E18</f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5000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502</v>
      </c>
      <c r="B23" s="904"/>
      <c r="C23" s="87" t="s">
        <v>111</v>
      </c>
      <c r="D23" s="165">
        <v>454</v>
      </c>
      <c r="E23" s="166">
        <f>MAT!E16</f>
        <v>726.6658666666666</v>
      </c>
      <c r="F23" s="167">
        <f>D23*E23</f>
        <v>329906.30346666666</v>
      </c>
    </row>
    <row r="24" spans="1:6" x14ac:dyDescent="0.3">
      <c r="A24" s="911" t="s">
        <v>649</v>
      </c>
      <c r="B24" s="912"/>
      <c r="C24" s="87" t="s">
        <v>9</v>
      </c>
      <c r="D24" s="165">
        <v>1.1000000000000001</v>
      </c>
      <c r="E24" s="166">
        <f>MAT!E19</f>
        <v>75000</v>
      </c>
      <c r="F24" s="167">
        <f>D24*E24</f>
        <v>82500</v>
      </c>
    </row>
    <row r="25" spans="1:6" x14ac:dyDescent="0.3">
      <c r="A25" s="903" t="s">
        <v>410</v>
      </c>
      <c r="B25" s="904"/>
      <c r="C25" s="87" t="s">
        <v>503</v>
      </c>
      <c r="D25" s="165">
        <v>250</v>
      </c>
      <c r="E25" s="166">
        <f>MAT!E21</f>
        <v>20</v>
      </c>
      <c r="F25" s="167">
        <f>D25*E25</f>
        <v>5000</v>
      </c>
    </row>
    <row r="26" spans="1:6" x14ac:dyDescent="0.3">
      <c r="A26" s="903"/>
      <c r="B26" s="904"/>
      <c r="C26" s="156"/>
      <c r="D26" s="156"/>
      <c r="E26" s="166"/>
      <c r="F26" s="167">
        <f>(SUM(F23:F25)*D26)</f>
        <v>0</v>
      </c>
    </row>
    <row r="27" spans="1:6" x14ac:dyDescent="0.3">
      <c r="A27" s="903"/>
      <c r="B27" s="904"/>
      <c r="C27" s="156"/>
      <c r="D27" s="156"/>
      <c r="E27" s="156"/>
      <c r="F27" s="167">
        <f>(SUM(F24:F26)*D27)</f>
        <v>0</v>
      </c>
    </row>
    <row r="28" spans="1:6" x14ac:dyDescent="0.3">
      <c r="A28" s="903"/>
      <c r="B28" s="904"/>
      <c r="C28" s="156"/>
      <c r="D28" s="156"/>
      <c r="E28" s="156"/>
      <c r="F28" s="167">
        <f>(SUM(F25:F27)*D28)</f>
        <v>0</v>
      </c>
    </row>
    <row r="29" spans="1:6" ht="16.2" thickBot="1" x14ac:dyDescent="0.35">
      <c r="A29" s="905"/>
      <c r="B29" s="906"/>
      <c r="C29" s="178"/>
      <c r="D29" s="178"/>
      <c r="E29" s="178"/>
      <c r="F29" s="179">
        <f>(SUM(F26:F28)*D29)</f>
        <v>0</v>
      </c>
    </row>
    <row r="30" spans="1:6" ht="16.2" thickBot="1" x14ac:dyDescent="0.35">
      <c r="A30" s="900" t="s">
        <v>84</v>
      </c>
      <c r="B30" s="900"/>
      <c r="C30" s="900"/>
      <c r="D30" s="900"/>
      <c r="E30" s="900"/>
      <c r="F30" s="343">
        <f>SUM(F23:F29)</f>
        <v>417406.30346666666</v>
      </c>
    </row>
    <row r="31" spans="1:6" ht="16.8" thickTop="1" thickBot="1" x14ac:dyDescent="0.35">
      <c r="A31" s="103"/>
      <c r="B31" s="103"/>
      <c r="C31" s="103"/>
      <c r="D31" s="103"/>
      <c r="E31" s="103"/>
    </row>
    <row r="32" spans="1:6" x14ac:dyDescent="0.3">
      <c r="A32" s="895" t="s">
        <v>85</v>
      </c>
      <c r="B32" s="896"/>
      <c r="C32" s="896"/>
      <c r="D32" s="896"/>
      <c r="E32" s="896"/>
      <c r="F32" s="897"/>
    </row>
    <row r="33" spans="1:8" x14ac:dyDescent="0.3">
      <c r="A33" s="169" t="s">
        <v>86</v>
      </c>
      <c r="B33" s="156" t="s">
        <v>12</v>
      </c>
      <c r="C33" s="158" t="s">
        <v>96</v>
      </c>
      <c r="D33" s="158" t="s">
        <v>97</v>
      </c>
      <c r="E33" s="158" t="s">
        <v>95</v>
      </c>
      <c r="F33" s="186" t="s">
        <v>82</v>
      </c>
    </row>
    <row r="34" spans="1:8" x14ac:dyDescent="0.3">
      <c r="A34" s="169"/>
      <c r="B34" s="161"/>
      <c r="C34" s="158"/>
      <c r="D34" s="158"/>
      <c r="E34" s="476"/>
      <c r="F34" s="186">
        <f>D34*E34</f>
        <v>0</v>
      </c>
      <c r="G34"/>
      <c r="H34" s="475"/>
    </row>
    <row r="35" spans="1:8" ht="16.2" thickBot="1" x14ac:dyDescent="0.35">
      <c r="A35" s="171"/>
      <c r="B35" s="183"/>
      <c r="C35" s="163"/>
      <c r="D35" s="163"/>
      <c r="E35" s="163"/>
      <c r="F35" s="474">
        <f>D35*E35</f>
        <v>0</v>
      </c>
    </row>
    <row r="36" spans="1:8" ht="16.2" thickBot="1" x14ac:dyDescent="0.35">
      <c r="A36" s="907" t="s">
        <v>90</v>
      </c>
      <c r="B36" s="907"/>
      <c r="C36" s="907"/>
      <c r="D36" s="907"/>
      <c r="E36" s="907"/>
      <c r="F36" s="344">
        <f>SUM(F34:F35)</f>
        <v>0</v>
      </c>
    </row>
    <row r="37" spans="1:8" ht="16.8" thickTop="1" thickBot="1" x14ac:dyDescent="0.35">
      <c r="A37" s="103"/>
      <c r="B37" s="103"/>
      <c r="C37" s="103"/>
      <c r="D37" s="103"/>
      <c r="E37" s="103"/>
    </row>
    <row r="38" spans="1:8" x14ac:dyDescent="0.3">
      <c r="A38" s="895" t="s">
        <v>91</v>
      </c>
      <c r="B38" s="896"/>
      <c r="C38" s="896"/>
      <c r="D38" s="896"/>
      <c r="E38" s="896"/>
      <c r="F38" s="897"/>
    </row>
    <row r="39" spans="1:8" ht="24.75" customHeight="1" x14ac:dyDescent="0.3">
      <c r="A39" s="891" t="s">
        <v>48</v>
      </c>
      <c r="B39" s="892"/>
      <c r="C39" s="156" t="s">
        <v>23</v>
      </c>
      <c r="D39" s="156" t="s">
        <v>506</v>
      </c>
      <c r="E39" s="156" t="s">
        <v>98</v>
      </c>
      <c r="F39" s="167" t="s">
        <v>79</v>
      </c>
    </row>
    <row r="40" spans="1:8" x14ac:dyDescent="0.3">
      <c r="A40" s="908" t="s">
        <v>505</v>
      </c>
      <c r="B40" s="909"/>
      <c r="C40" s="176" t="s">
        <v>69</v>
      </c>
      <c r="D40" s="177">
        <f>[7]M.O!F35</f>
        <v>108705.89571666667</v>
      </c>
      <c r="E40" s="156">
        <v>0.75</v>
      </c>
      <c r="F40" s="167">
        <f>D40*E40</f>
        <v>81529.421787500003</v>
      </c>
    </row>
    <row r="41" spans="1:8" x14ac:dyDescent="0.3">
      <c r="A41" s="908"/>
      <c r="B41" s="909"/>
      <c r="C41" s="176"/>
      <c r="D41" s="177"/>
      <c r="E41" s="156"/>
      <c r="F41" s="167">
        <f>D41*E41</f>
        <v>0</v>
      </c>
    </row>
    <row r="42" spans="1:8" x14ac:dyDescent="0.3">
      <c r="A42" s="883"/>
      <c r="B42" s="884"/>
      <c r="C42" s="156"/>
      <c r="D42" s="156"/>
      <c r="E42" s="156"/>
      <c r="F42" s="167">
        <f>D42*E42</f>
        <v>0</v>
      </c>
    </row>
    <row r="43" spans="1:8" ht="16.2" thickBot="1" x14ac:dyDescent="0.35">
      <c r="A43" s="898"/>
      <c r="B43" s="899"/>
      <c r="C43" s="178"/>
      <c r="D43" s="178"/>
      <c r="E43" s="178"/>
      <c r="F43" s="179">
        <f>D43*E43</f>
        <v>0</v>
      </c>
    </row>
    <row r="44" spans="1:8" ht="15.75" customHeight="1" thickBot="1" x14ac:dyDescent="0.35">
      <c r="A44" s="907" t="s">
        <v>92</v>
      </c>
      <c r="B44" s="907"/>
      <c r="C44" s="907"/>
      <c r="D44" s="907"/>
      <c r="E44" s="907"/>
      <c r="F44" s="344">
        <f>SUM(F40:F43)</f>
        <v>81529.421787500003</v>
      </c>
    </row>
    <row r="45" spans="1:8" ht="16.2" thickTop="1" x14ac:dyDescent="0.3">
      <c r="A45" s="103"/>
      <c r="B45" s="103"/>
      <c r="C45" s="103"/>
      <c r="D45" s="103"/>
      <c r="E45" s="103"/>
    </row>
    <row r="46" spans="1:8" ht="15.75" customHeight="1" thickBot="1" x14ac:dyDescent="0.35">
      <c r="A46" s="907" t="s">
        <v>93</v>
      </c>
      <c r="B46" s="907"/>
      <c r="C46" s="907"/>
      <c r="D46" s="907"/>
      <c r="E46" s="907"/>
      <c r="F46" s="345">
        <f>ROUND(SUM(F30+F44+F19+F36),0)</f>
        <v>503936</v>
      </c>
    </row>
    <row r="47" spans="1:8" ht="16.2" thickTop="1" x14ac:dyDescent="0.3">
      <c r="A47" s="103"/>
      <c r="B47" s="103"/>
      <c r="C47" s="103"/>
      <c r="D47" s="103"/>
      <c r="E47" s="103"/>
    </row>
    <row r="48" spans="1:8" x14ac:dyDescent="0.3">
      <c r="A48" s="103"/>
      <c r="B48" s="103"/>
      <c r="C48" s="103"/>
      <c r="D48" s="103"/>
      <c r="E48" s="103"/>
    </row>
    <row r="50" spans="1:7" x14ac:dyDescent="0.3">
      <c r="A50" s="856" t="s">
        <v>120</v>
      </c>
      <c r="B50" s="856"/>
      <c r="D50" s="856" t="s">
        <v>122</v>
      </c>
      <c r="E50" s="856"/>
      <c r="F50" s="856"/>
      <c r="G50" s="9"/>
    </row>
    <row r="51" spans="1:7" x14ac:dyDescent="0.3">
      <c r="A51" s="741" t="s">
        <v>121</v>
      </c>
      <c r="B51" s="741"/>
      <c r="D51" s="741" t="s">
        <v>123</v>
      </c>
      <c r="E51" s="741"/>
      <c r="F51" s="741"/>
    </row>
  </sheetData>
  <mergeCells count="39">
    <mergeCell ref="A17:B17"/>
    <mergeCell ref="A18:B18"/>
    <mergeCell ref="A19:E19"/>
    <mergeCell ref="A21:F21"/>
    <mergeCell ref="A1:F5"/>
    <mergeCell ref="A6:F6"/>
    <mergeCell ref="A7:F7"/>
    <mergeCell ref="B9:D9"/>
    <mergeCell ref="E9:E10"/>
    <mergeCell ref="F9:F10"/>
    <mergeCell ref="B10:D10"/>
    <mergeCell ref="A12:F12"/>
    <mergeCell ref="A13:B13"/>
    <mergeCell ref="A14:B14"/>
    <mergeCell ref="A15:B15"/>
    <mergeCell ref="A16:B16"/>
    <mergeCell ref="A22:B22"/>
    <mergeCell ref="A23:B23"/>
    <mergeCell ref="A41:B41"/>
    <mergeCell ref="A25:B25"/>
    <mergeCell ref="A26:B26"/>
    <mergeCell ref="A27:B27"/>
    <mergeCell ref="A28:B28"/>
    <mergeCell ref="A29:B29"/>
    <mergeCell ref="A30:E30"/>
    <mergeCell ref="A32:F32"/>
    <mergeCell ref="A24:B24"/>
    <mergeCell ref="A36:E36"/>
    <mergeCell ref="A38:F38"/>
    <mergeCell ref="A39:B39"/>
    <mergeCell ref="A40:B40"/>
    <mergeCell ref="A51:B51"/>
    <mergeCell ref="D51:F51"/>
    <mergeCell ref="A42:B42"/>
    <mergeCell ref="A43:B43"/>
    <mergeCell ref="A44:E44"/>
    <mergeCell ref="A46:E46"/>
    <mergeCell ref="A50:B50"/>
    <mergeCell ref="D50:F50"/>
  </mergeCells>
  <pageMargins left="0.7" right="0.7" top="0.75" bottom="0.75" header="0.3" footer="0.3"/>
  <pageSetup paperSize="9" scale="8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94"/>
  <dimension ref="A1:G51"/>
  <sheetViews>
    <sheetView view="pageBreakPreview" topLeftCell="A25" zoomScale="70" zoomScaleNormal="90" zoomScaleSheetLayoutView="70" workbookViewId="0">
      <selection activeCell="A50" sqref="A50:B50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342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741"/>
      <c r="B6" s="741"/>
      <c r="C6" s="741"/>
      <c r="D6" s="741"/>
      <c r="E6" s="741"/>
      <c r="F6" s="741"/>
    </row>
    <row r="7" spans="1:6" x14ac:dyDescent="0.3">
      <c r="A7" s="754" t="s">
        <v>653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</row>
    <row r="9" spans="1:6" x14ac:dyDescent="0.3">
      <c r="A9" s="154" t="s">
        <v>73</v>
      </c>
      <c r="B9" s="885" t="str">
        <f>'[6]PRESUP. OBRA. '!B10:F10</f>
        <v>PRELIMINARES</v>
      </c>
      <c r="C9" s="885"/>
      <c r="D9" s="885"/>
      <c r="E9" s="851" t="s">
        <v>74</v>
      </c>
      <c r="F9" s="886" t="s">
        <v>9</v>
      </c>
    </row>
    <row r="10" spans="1:6" x14ac:dyDescent="0.3">
      <c r="A10" s="154" t="s">
        <v>75</v>
      </c>
      <c r="B10" s="887" t="s">
        <v>100</v>
      </c>
      <c r="C10" s="887"/>
      <c r="D10" s="887"/>
      <c r="E10" s="851"/>
      <c r="F10" s="886"/>
    </row>
    <row r="11" spans="1:6" ht="16.2" thickBot="1" x14ac:dyDescent="0.35">
      <c r="A11" s="103"/>
      <c r="B11" s="103"/>
      <c r="C11" s="103"/>
      <c r="D11" s="103"/>
      <c r="E11" s="103"/>
    </row>
    <row r="12" spans="1:6" x14ac:dyDescent="0.3">
      <c r="A12" s="888" t="s">
        <v>76</v>
      </c>
      <c r="B12" s="889"/>
      <c r="C12" s="889"/>
      <c r="D12" s="889"/>
      <c r="E12" s="889"/>
      <c r="F12" s="890"/>
    </row>
    <row r="13" spans="1:6" s="34" customFormat="1" x14ac:dyDescent="0.3">
      <c r="A13" s="891" t="s">
        <v>48</v>
      </c>
      <c r="B13" s="892"/>
      <c r="C13" s="156" t="s">
        <v>23</v>
      </c>
      <c r="D13" s="156" t="s">
        <v>98</v>
      </c>
      <c r="E13" s="156" t="s">
        <v>78</v>
      </c>
      <c r="F13" s="167" t="s">
        <v>79</v>
      </c>
    </row>
    <row r="14" spans="1:6" ht="15" customHeight="1" x14ac:dyDescent="0.3">
      <c r="A14" s="893" t="s">
        <v>433</v>
      </c>
      <c r="B14" s="894"/>
      <c r="C14" s="158" t="s">
        <v>21</v>
      </c>
      <c r="D14" s="158">
        <v>1</v>
      </c>
      <c r="E14" s="159">
        <v>5000</v>
      </c>
      <c r="F14" s="186">
        <f t="shared" ref="F14:F18" si="0">D14*E14</f>
        <v>5000</v>
      </c>
    </row>
    <row r="15" spans="1:6" x14ac:dyDescent="0.3">
      <c r="A15" s="893"/>
      <c r="B15" s="894"/>
      <c r="C15" s="158"/>
      <c r="D15" s="158"/>
      <c r="E15" s="159"/>
      <c r="F15" s="186">
        <f t="shared" si="0"/>
        <v>0</v>
      </c>
    </row>
    <row r="16" spans="1:6" x14ac:dyDescent="0.3">
      <c r="A16" s="883"/>
      <c r="B16" s="884"/>
      <c r="C16" s="158"/>
      <c r="D16" s="158"/>
      <c r="E16" s="158"/>
      <c r="F16" s="186">
        <f t="shared" si="0"/>
        <v>0</v>
      </c>
    </row>
    <row r="17" spans="1:6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6" ht="16.2" thickBot="1" x14ac:dyDescent="0.35">
      <c r="A18" s="898"/>
      <c r="B18" s="899"/>
      <c r="C18" s="163"/>
      <c r="D18" s="163"/>
      <c r="E18" s="163"/>
      <c r="F18" s="186">
        <f t="shared" si="0"/>
        <v>0</v>
      </c>
    </row>
    <row r="19" spans="1:6" ht="16.2" thickBot="1" x14ac:dyDescent="0.35">
      <c r="A19" s="900" t="s">
        <v>80</v>
      </c>
      <c r="B19" s="900"/>
      <c r="C19" s="900"/>
      <c r="D19" s="900"/>
      <c r="E19" s="900"/>
      <c r="F19" s="322">
        <f>SUM(F14:F18)</f>
        <v>5000</v>
      </c>
    </row>
    <row r="20" spans="1:6" ht="16.8" thickTop="1" thickBot="1" x14ac:dyDescent="0.35">
      <c r="A20" s="103"/>
      <c r="B20" s="103"/>
      <c r="C20" s="103"/>
      <c r="D20" s="103"/>
      <c r="E20" s="103"/>
    </row>
    <row r="21" spans="1:6" x14ac:dyDescent="0.3">
      <c r="A21" s="895" t="s">
        <v>81</v>
      </c>
      <c r="B21" s="896"/>
      <c r="C21" s="896"/>
      <c r="D21" s="896"/>
      <c r="E21" s="896"/>
      <c r="F21" s="897"/>
    </row>
    <row r="22" spans="1:6" s="34" customFormat="1" x14ac:dyDescent="0.3">
      <c r="A22" s="901" t="s">
        <v>48</v>
      </c>
      <c r="B22" s="902"/>
      <c r="C22" s="156" t="s">
        <v>21</v>
      </c>
      <c r="D22" s="156" t="s">
        <v>12</v>
      </c>
      <c r="E22" s="156" t="s">
        <v>82</v>
      </c>
      <c r="F22" s="167" t="s">
        <v>79</v>
      </c>
    </row>
    <row r="23" spans="1:6" x14ac:dyDescent="0.3">
      <c r="A23" s="903" t="s">
        <v>502</v>
      </c>
      <c r="B23" s="904"/>
      <c r="C23" s="87" t="s">
        <v>111</v>
      </c>
      <c r="D23" s="165">
        <v>364</v>
      </c>
      <c r="E23" s="166">
        <f>MAT!E16</f>
        <v>726.6658666666666</v>
      </c>
      <c r="F23" s="167">
        <f>D23*E23</f>
        <v>264506.37546666665</v>
      </c>
    </row>
    <row r="24" spans="1:6" x14ac:dyDescent="0.3">
      <c r="A24" s="911" t="s">
        <v>649</v>
      </c>
      <c r="B24" s="912"/>
      <c r="C24" s="87" t="s">
        <v>9</v>
      </c>
      <c r="D24" s="165">
        <v>1.1599999999999999</v>
      </c>
      <c r="E24" s="166">
        <f>MAT!E19</f>
        <v>75000</v>
      </c>
      <c r="F24" s="167">
        <f>D24*E24</f>
        <v>87000</v>
      </c>
    </row>
    <row r="25" spans="1:6" x14ac:dyDescent="0.3">
      <c r="A25" s="903" t="s">
        <v>410</v>
      </c>
      <c r="B25" s="904"/>
      <c r="C25" s="87" t="s">
        <v>503</v>
      </c>
      <c r="D25" s="165">
        <v>240</v>
      </c>
      <c r="E25" s="166">
        <f>MAT!E21</f>
        <v>20</v>
      </c>
      <c r="F25" s="167">
        <f>D25*E25</f>
        <v>4800</v>
      </c>
    </row>
    <row r="26" spans="1:6" x14ac:dyDescent="0.3">
      <c r="A26" s="903"/>
      <c r="B26" s="904"/>
      <c r="C26" s="156"/>
      <c r="D26" s="156"/>
      <c r="E26" s="166"/>
      <c r="F26" s="167">
        <f>(SUM(F23:F25)*D26)</f>
        <v>0</v>
      </c>
    </row>
    <row r="27" spans="1:6" x14ac:dyDescent="0.3">
      <c r="A27" s="903"/>
      <c r="B27" s="904"/>
      <c r="C27" s="156"/>
      <c r="D27" s="156"/>
      <c r="E27" s="156"/>
      <c r="F27" s="167">
        <f t="shared" ref="F27:F29" si="1">(SUM(F24:F26)*D27)</f>
        <v>0</v>
      </c>
    </row>
    <row r="28" spans="1:6" x14ac:dyDescent="0.3">
      <c r="A28" s="903"/>
      <c r="B28" s="904"/>
      <c r="C28" s="156"/>
      <c r="D28" s="156"/>
      <c r="E28" s="156"/>
      <c r="F28" s="167">
        <f t="shared" si="1"/>
        <v>0</v>
      </c>
    </row>
    <row r="29" spans="1:6" ht="16.2" thickBot="1" x14ac:dyDescent="0.35">
      <c r="A29" s="905"/>
      <c r="B29" s="906"/>
      <c r="C29" s="178"/>
      <c r="D29" s="178"/>
      <c r="E29" s="178"/>
      <c r="F29" s="179">
        <f t="shared" si="1"/>
        <v>0</v>
      </c>
    </row>
    <row r="30" spans="1:6" ht="16.2" thickBot="1" x14ac:dyDescent="0.35">
      <c r="A30" s="900" t="s">
        <v>84</v>
      </c>
      <c r="B30" s="900"/>
      <c r="C30" s="900"/>
      <c r="D30" s="900"/>
      <c r="E30" s="900"/>
      <c r="F30" s="343">
        <f>SUM(F23:F29)</f>
        <v>356306.37546666665</v>
      </c>
    </row>
    <row r="31" spans="1:6" ht="16.8" thickTop="1" thickBot="1" x14ac:dyDescent="0.35">
      <c r="A31" s="103"/>
      <c r="B31" s="103"/>
      <c r="C31" s="103"/>
      <c r="D31" s="103"/>
      <c r="E31" s="103"/>
    </row>
    <row r="32" spans="1:6" x14ac:dyDescent="0.3">
      <c r="A32" s="895" t="s">
        <v>85</v>
      </c>
      <c r="B32" s="896"/>
      <c r="C32" s="896"/>
      <c r="D32" s="896"/>
      <c r="E32" s="896"/>
      <c r="F32" s="897"/>
    </row>
    <row r="33" spans="1:6" x14ac:dyDescent="0.3">
      <c r="A33" s="169" t="s">
        <v>86</v>
      </c>
      <c r="B33" s="156" t="s">
        <v>12</v>
      </c>
      <c r="C33" s="158" t="s">
        <v>96</v>
      </c>
      <c r="D33" s="158" t="s">
        <v>97</v>
      </c>
      <c r="E33" s="158" t="s">
        <v>95</v>
      </c>
      <c r="F33" s="186" t="s">
        <v>82</v>
      </c>
    </row>
    <row r="34" spans="1:6" x14ac:dyDescent="0.3">
      <c r="A34" s="169"/>
      <c r="B34" s="182"/>
      <c r="C34" s="158"/>
      <c r="D34" s="158"/>
      <c r="E34" s="170"/>
      <c r="F34" s="186">
        <f>D34*E34</f>
        <v>0</v>
      </c>
    </row>
    <row r="35" spans="1:6" ht="16.2" thickBot="1" x14ac:dyDescent="0.35">
      <c r="A35" s="171"/>
      <c r="B35" s="183"/>
      <c r="C35" s="163"/>
      <c r="D35" s="163"/>
      <c r="E35" s="163"/>
      <c r="F35" s="190">
        <f>D35*E35</f>
        <v>0</v>
      </c>
    </row>
    <row r="36" spans="1:6" ht="16.2" thickBot="1" x14ac:dyDescent="0.35">
      <c r="A36" s="907" t="s">
        <v>90</v>
      </c>
      <c r="B36" s="907"/>
      <c r="C36" s="907"/>
      <c r="D36" s="907"/>
      <c r="E36" s="907"/>
      <c r="F36" s="344">
        <f>SUM(F34:F35)</f>
        <v>0</v>
      </c>
    </row>
    <row r="37" spans="1:6" ht="16.8" thickTop="1" thickBot="1" x14ac:dyDescent="0.35">
      <c r="A37" s="103"/>
      <c r="B37" s="103"/>
      <c r="C37" s="103"/>
      <c r="D37" s="103"/>
      <c r="E37" s="103"/>
    </row>
    <row r="38" spans="1:6" x14ac:dyDescent="0.3">
      <c r="A38" s="895" t="s">
        <v>91</v>
      </c>
      <c r="B38" s="896"/>
      <c r="C38" s="896"/>
      <c r="D38" s="896"/>
      <c r="E38" s="896"/>
      <c r="F38" s="897"/>
    </row>
    <row r="39" spans="1:6" ht="24.75" customHeight="1" x14ac:dyDescent="0.3">
      <c r="A39" s="891" t="s">
        <v>48</v>
      </c>
      <c r="B39" s="892"/>
      <c r="C39" s="156" t="s">
        <v>23</v>
      </c>
      <c r="D39" s="156" t="s">
        <v>506</v>
      </c>
      <c r="E39" s="156" t="s">
        <v>98</v>
      </c>
      <c r="F39" s="167" t="s">
        <v>79</v>
      </c>
    </row>
    <row r="40" spans="1:6" x14ac:dyDescent="0.3">
      <c r="A40" s="908" t="s">
        <v>505</v>
      </c>
      <c r="B40" s="909"/>
      <c r="C40" s="176" t="s">
        <v>69</v>
      </c>
      <c r="D40" s="177">
        <f>M.O!F35</f>
        <v>108705.89571666667</v>
      </c>
      <c r="E40" s="156">
        <v>0.75</v>
      </c>
      <c r="F40" s="167">
        <f>D40*E40</f>
        <v>81529.421787500003</v>
      </c>
    </row>
    <row r="41" spans="1:6" x14ac:dyDescent="0.3">
      <c r="A41" s="908"/>
      <c r="B41" s="909"/>
      <c r="C41" s="176"/>
      <c r="D41" s="177"/>
      <c r="E41" s="156"/>
      <c r="F41" s="167">
        <f>D41*E41</f>
        <v>0</v>
      </c>
    </row>
    <row r="42" spans="1:6" x14ac:dyDescent="0.3">
      <c r="A42" s="883"/>
      <c r="B42" s="884"/>
      <c r="C42" s="156"/>
      <c r="D42" s="156"/>
      <c r="E42" s="156"/>
      <c r="F42" s="167">
        <f t="shared" ref="F42:F43" si="2">D42*E42</f>
        <v>0</v>
      </c>
    </row>
    <row r="43" spans="1:6" ht="16.2" thickBot="1" x14ac:dyDescent="0.35">
      <c r="A43" s="898"/>
      <c r="B43" s="899"/>
      <c r="C43" s="178"/>
      <c r="D43" s="178"/>
      <c r="E43" s="178"/>
      <c r="F43" s="179">
        <f t="shared" si="2"/>
        <v>0</v>
      </c>
    </row>
    <row r="44" spans="1:6" ht="15.75" customHeight="1" thickBot="1" x14ac:dyDescent="0.35">
      <c r="A44" s="907" t="s">
        <v>92</v>
      </c>
      <c r="B44" s="907"/>
      <c r="C44" s="907"/>
      <c r="D44" s="907"/>
      <c r="E44" s="907"/>
      <c r="F44" s="344">
        <f>SUM(F40:F43)</f>
        <v>81529.421787500003</v>
      </c>
    </row>
    <row r="45" spans="1:6" ht="16.2" thickTop="1" x14ac:dyDescent="0.3">
      <c r="A45" s="103"/>
      <c r="B45" s="103"/>
      <c r="C45" s="103"/>
      <c r="D45" s="103"/>
      <c r="E45" s="103"/>
    </row>
    <row r="46" spans="1:6" ht="15.75" customHeight="1" thickBot="1" x14ac:dyDescent="0.35">
      <c r="A46" s="907" t="s">
        <v>93</v>
      </c>
      <c r="B46" s="907"/>
      <c r="C46" s="907"/>
      <c r="D46" s="907"/>
      <c r="E46" s="907"/>
      <c r="F46" s="345">
        <f>ROUND(SUM(F30+F44+F19+F36),0)</f>
        <v>442836</v>
      </c>
    </row>
    <row r="47" spans="1:6" ht="16.2" thickTop="1" x14ac:dyDescent="0.3">
      <c r="A47" s="103"/>
      <c r="B47" s="103"/>
      <c r="C47" s="103"/>
      <c r="D47" s="103"/>
      <c r="E47" s="103"/>
    </row>
    <row r="48" spans="1:6" x14ac:dyDescent="0.3">
      <c r="A48" s="103"/>
      <c r="B48" s="103"/>
      <c r="C48" s="103"/>
      <c r="D48" s="103"/>
      <c r="E48" s="103"/>
    </row>
    <row r="50" spans="1:7" x14ac:dyDescent="0.3">
      <c r="A50" s="856" t="s">
        <v>120</v>
      </c>
      <c r="B50" s="856"/>
      <c r="D50" s="856" t="s">
        <v>122</v>
      </c>
      <c r="E50" s="856"/>
      <c r="F50" s="856"/>
      <c r="G50" s="9"/>
    </row>
    <row r="51" spans="1:7" x14ac:dyDescent="0.3">
      <c r="A51" s="741" t="s">
        <v>121</v>
      </c>
      <c r="B51" s="741"/>
      <c r="D51" s="741" t="s">
        <v>123</v>
      </c>
      <c r="E51" s="741"/>
      <c r="F51" s="741"/>
    </row>
  </sheetData>
  <mergeCells count="39">
    <mergeCell ref="A39:B39"/>
    <mergeCell ref="A40:B40"/>
    <mergeCell ref="A6:F6"/>
    <mergeCell ref="A1:F5"/>
    <mergeCell ref="A51:B51"/>
    <mergeCell ref="A50:B50"/>
    <mergeCell ref="D50:F50"/>
    <mergeCell ref="D51:F51"/>
    <mergeCell ref="A13:B13"/>
    <mergeCell ref="A36:E36"/>
    <mergeCell ref="A38:F38"/>
    <mergeCell ref="A44:E44"/>
    <mergeCell ref="A46:E46"/>
    <mergeCell ref="A27:B27"/>
    <mergeCell ref="A28:B28"/>
    <mergeCell ref="A29:B29"/>
    <mergeCell ref="A30:E30"/>
    <mergeCell ref="A32:F32"/>
    <mergeCell ref="A7:F7"/>
    <mergeCell ref="B9:D9"/>
    <mergeCell ref="E9:E10"/>
    <mergeCell ref="F9:F10"/>
    <mergeCell ref="B10:D10"/>
    <mergeCell ref="A41:B41"/>
    <mergeCell ref="A42:B42"/>
    <mergeCell ref="A43:B43"/>
    <mergeCell ref="A12:F12"/>
    <mergeCell ref="A26:B26"/>
    <mergeCell ref="A14:B14"/>
    <mergeCell ref="A15:B15"/>
    <mergeCell ref="A16:B16"/>
    <mergeCell ref="A17:B17"/>
    <mergeCell ref="A18:B18"/>
    <mergeCell ref="A19:E19"/>
    <mergeCell ref="A21:F21"/>
    <mergeCell ref="A22:B22"/>
    <mergeCell ref="A23:B23"/>
    <mergeCell ref="A24:B24"/>
    <mergeCell ref="A25:B25"/>
  </mergeCells>
  <pageMargins left="0.7" right="0.7" top="0.75" bottom="0.75" header="0.3" footer="0.3"/>
  <pageSetup paperSize="9" scale="9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/>
  <dimension ref="A1:G52"/>
  <sheetViews>
    <sheetView view="pageBreakPreview" zoomScale="70" zoomScaleNormal="100" zoomScaleSheetLayoutView="70" workbookViewId="0">
      <selection activeCell="J4" sqref="J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ht="34.5" customHeight="1" x14ac:dyDescent="0.3">
      <c r="A9" s="14" t="s">
        <v>73</v>
      </c>
      <c r="B9" s="916" t="str">
        <f>'PRESUPUESTO OFICIAL (Entidad)'!C13</f>
        <v>PRELIMINARES Y DEMOLICIONES - DESMONTE DE ELEMENTOS</v>
      </c>
      <c r="C9" s="916"/>
      <c r="D9" s="916"/>
      <c r="E9" s="851" t="s">
        <v>74</v>
      </c>
      <c r="F9" s="917" t="str">
        <f>'PRESUPUESTO OFICIAL (Entidad)'!D14</f>
        <v>M2</v>
      </c>
    </row>
    <row r="10" spans="1:6" x14ac:dyDescent="0.3">
      <c r="A10" s="915" t="s">
        <v>75</v>
      </c>
      <c r="B10" s="918" t="str">
        <f>'PRESUPUESTO OFICIAL (Entidad)'!C14</f>
        <v>Localización y Replanteo manual.</v>
      </c>
      <c r="C10" s="887"/>
      <c r="D10" s="887"/>
      <c r="E10" s="851"/>
      <c r="F10" s="917"/>
    </row>
    <row r="11" spans="1:6" x14ac:dyDescent="0.3">
      <c r="A11" s="915"/>
      <c r="B11" s="56" t="s">
        <v>162</v>
      </c>
      <c r="C11" s="56" t="s">
        <v>207</v>
      </c>
      <c r="D11" s="56" t="s">
        <v>614</v>
      </c>
      <c r="E11" s="29" t="s">
        <v>1132</v>
      </c>
      <c r="F11" s="155" t="s">
        <v>1162</v>
      </c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3847.2000000000003</v>
      </c>
      <c r="F15" s="186">
        <f t="shared" ref="F15:F19" si="0">D15*E15</f>
        <v>192.36</v>
      </c>
    </row>
    <row r="16" spans="1:6" x14ac:dyDescent="0.3">
      <c r="A16" s="883"/>
      <c r="B16" s="884"/>
      <c r="C16" s="158"/>
      <c r="D16" s="158"/>
      <c r="E16" s="187"/>
      <c r="F16" s="186">
        <f t="shared" si="0"/>
        <v>0</v>
      </c>
    </row>
    <row r="17" spans="1: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6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192.36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13" t="s">
        <v>493</v>
      </c>
      <c r="B24" s="914"/>
      <c r="C24" s="156" t="s">
        <v>413</v>
      </c>
      <c r="D24" s="156">
        <v>0.06</v>
      </c>
      <c r="E24" s="189">
        <f>MAT!E108</f>
        <v>4250</v>
      </c>
      <c r="F24" s="167">
        <f>D24*E24</f>
        <v>255</v>
      </c>
    </row>
    <row r="25" spans="1:6" ht="15" customHeight="1" x14ac:dyDescent="0.3">
      <c r="A25" s="913" t="s">
        <v>494</v>
      </c>
      <c r="B25" s="914"/>
      <c r="C25" s="156" t="s">
        <v>19</v>
      </c>
      <c r="D25" s="165">
        <v>0.06</v>
      </c>
      <c r="E25" s="189">
        <f>MAT!E107</f>
        <v>7955.5555555555557</v>
      </c>
      <c r="F25" s="167">
        <f t="shared" ref="F25:F31" si="1">D25*E25</f>
        <v>477.33333333333331</v>
      </c>
    </row>
    <row r="26" spans="1:6" x14ac:dyDescent="0.3">
      <c r="A26" s="903" t="s">
        <v>495</v>
      </c>
      <c r="B26" s="904"/>
      <c r="C26" s="156" t="s">
        <v>111</v>
      </c>
      <c r="D26" s="165">
        <v>0.05</v>
      </c>
      <c r="E26" s="189">
        <f>MAT!E60</f>
        <v>1500</v>
      </c>
      <c r="F26" s="167">
        <f t="shared" si="1"/>
        <v>75</v>
      </c>
    </row>
    <row r="27" spans="1:6" x14ac:dyDescent="0.3">
      <c r="A27" s="913" t="s">
        <v>496</v>
      </c>
      <c r="B27" s="914"/>
      <c r="C27" s="156" t="s">
        <v>21</v>
      </c>
      <c r="D27" s="156">
        <v>0.05</v>
      </c>
      <c r="E27" s="189">
        <f>MAT!E98</f>
        <v>7250</v>
      </c>
      <c r="F27" s="167">
        <f t="shared" si="1"/>
        <v>362.5</v>
      </c>
    </row>
    <row r="28" spans="1:6" x14ac:dyDescent="0.3">
      <c r="A28" s="903"/>
      <c r="B28" s="904"/>
      <c r="C28" s="156"/>
      <c r="D28" s="156"/>
      <c r="E28" s="156"/>
      <c r="F28" s="167">
        <f t="shared" si="1"/>
        <v>0</v>
      </c>
    </row>
    <row r="29" spans="1:6" x14ac:dyDescent="0.3">
      <c r="A29" s="903"/>
      <c r="B29" s="904"/>
      <c r="C29" s="156"/>
      <c r="D29" s="156"/>
      <c r="E29" s="156"/>
      <c r="F29" s="167">
        <f t="shared" si="1"/>
        <v>0</v>
      </c>
    </row>
    <row r="30" spans="1:6" x14ac:dyDescent="0.3">
      <c r="A30" s="903"/>
      <c r="B30" s="904"/>
      <c r="C30" s="156"/>
      <c r="D30" s="156"/>
      <c r="E30" s="156"/>
      <c r="F30" s="167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179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1169.8333333333333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919" t="s">
        <v>86</v>
      </c>
      <c r="B35" s="920"/>
      <c r="C35" s="158" t="s">
        <v>87</v>
      </c>
      <c r="D35" s="158" t="s">
        <v>88</v>
      </c>
      <c r="E35" s="158" t="s">
        <v>89</v>
      </c>
      <c r="F35" s="160" t="s">
        <v>82</v>
      </c>
    </row>
    <row r="36" spans="1:6" x14ac:dyDescent="0.3">
      <c r="A36" s="921"/>
      <c r="B36" s="922"/>
      <c r="C36" s="158"/>
      <c r="D36" s="158"/>
      <c r="E36" s="158"/>
      <c r="F36" s="186">
        <f>C36*D36*E36</f>
        <v>0</v>
      </c>
    </row>
    <row r="37" spans="1:6" ht="16.2" thickBot="1" x14ac:dyDescent="0.35">
      <c r="A37" s="923"/>
      <c r="B37" s="924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0.1</v>
      </c>
      <c r="F42" s="167">
        <f>D42*E42</f>
        <v>3847.2000000000003</v>
      </c>
    </row>
    <row r="43" spans="1:6" x14ac:dyDescent="0.3">
      <c r="A43" s="883"/>
      <c r="B43" s="884"/>
      <c r="C43" s="176"/>
      <c r="D43" s="156"/>
      <c r="E43" s="156"/>
      <c r="F43" s="167"/>
    </row>
    <row r="44" spans="1:6" x14ac:dyDescent="0.3">
      <c r="A44" s="883"/>
      <c r="B44" s="884"/>
      <c r="C44" s="156"/>
      <c r="D44" s="156"/>
      <c r="E44" s="156"/>
      <c r="F44" s="167"/>
    </row>
    <row r="45" spans="1:6" ht="16.2" thickBot="1" x14ac:dyDescent="0.35">
      <c r="A45" s="898"/>
      <c r="B45" s="899"/>
      <c r="C45" s="178"/>
      <c r="D45" s="178"/>
      <c r="E45" s="178"/>
      <c r="F45" s="179"/>
    </row>
    <row r="46" spans="1:6" ht="16.2" thickBot="1" x14ac:dyDescent="0.35">
      <c r="A46" s="907" t="s">
        <v>92</v>
      </c>
      <c r="B46" s="907"/>
      <c r="C46" s="907"/>
      <c r="D46" s="907"/>
      <c r="E46" s="907"/>
      <c r="F46" s="175">
        <f>SUM(F42:F45)</f>
        <v>3847.2000000000003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5209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9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4">
    <mergeCell ref="A52:B52"/>
    <mergeCell ref="D52:F52"/>
    <mergeCell ref="A20:E20"/>
    <mergeCell ref="A32:E32"/>
    <mergeCell ref="A48:E48"/>
    <mergeCell ref="A35:B35"/>
    <mergeCell ref="A36:B36"/>
    <mergeCell ref="A37:B37"/>
    <mergeCell ref="A38:E38"/>
    <mergeCell ref="A40:F40"/>
    <mergeCell ref="A46:E46"/>
    <mergeCell ref="A34:F34"/>
    <mergeCell ref="F9:F10"/>
    <mergeCell ref="B10:D10"/>
    <mergeCell ref="A13:F13"/>
    <mergeCell ref="A51:B51"/>
    <mergeCell ref="D51:F51"/>
    <mergeCell ref="A26:B26"/>
    <mergeCell ref="A43:B43"/>
    <mergeCell ref="A44:B44"/>
    <mergeCell ref="A45:B45"/>
    <mergeCell ref="A27:B27"/>
    <mergeCell ref="A28:B28"/>
    <mergeCell ref="A29:B29"/>
    <mergeCell ref="A30:B30"/>
    <mergeCell ref="A31:B31"/>
    <mergeCell ref="A41:B41"/>
    <mergeCell ref="A42:B42"/>
    <mergeCell ref="A1:F5"/>
    <mergeCell ref="A22:F22"/>
    <mergeCell ref="A23:B23"/>
    <mergeCell ref="A24:B24"/>
    <mergeCell ref="A25:B25"/>
    <mergeCell ref="A18:B18"/>
    <mergeCell ref="A19:B19"/>
    <mergeCell ref="A7:F7"/>
    <mergeCell ref="A6:F6"/>
    <mergeCell ref="A14:B14"/>
    <mergeCell ref="A15:B15"/>
    <mergeCell ref="A10:A11"/>
    <mergeCell ref="A16:B16"/>
    <mergeCell ref="A17:B17"/>
    <mergeCell ref="B9:D9"/>
    <mergeCell ref="E9:E10"/>
  </mergeCells>
  <pageMargins left="0.7" right="0.7" top="0.75" bottom="0.75" header="0.3" footer="0.3"/>
  <pageSetup paperSize="9" scale="86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D6221-D082-4238-9995-5B71BC8A3200}">
  <dimension ref="A1:I52"/>
  <sheetViews>
    <sheetView view="pageBreakPreview" topLeftCell="A37" zoomScale="70" zoomScaleNormal="100" zoomScaleSheetLayoutView="70" workbookViewId="0">
      <selection activeCell="G72" sqref="G7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ht="32.25" customHeight="1" x14ac:dyDescent="0.3">
      <c r="A9" s="14" t="s">
        <v>73</v>
      </c>
      <c r="B9" s="916" t="str">
        <f>'PRESUPUESTO OFICIAL (Entidad)'!C13</f>
        <v>PRELIMINARES Y DEMOLICIONES - DESMONTE DE ELEMENTOS</v>
      </c>
      <c r="C9" s="916"/>
      <c r="D9" s="916"/>
      <c r="E9" s="851" t="s">
        <v>74</v>
      </c>
      <c r="F9" s="917" t="str">
        <f>'PRESUPUESTO OFICIAL (Entidad)'!D15</f>
        <v>M3</v>
      </c>
    </row>
    <row r="10" spans="1:8" x14ac:dyDescent="0.3">
      <c r="A10" s="915" t="s">
        <v>75</v>
      </c>
      <c r="B10" s="887" t="str">
        <f>'PRESUPUESTO OFICIAL (Entidad)'!C15</f>
        <v>Demolición mecánica de concreto ciclópeo</v>
      </c>
      <c r="C10" s="887"/>
      <c r="D10" s="887"/>
      <c r="E10" s="851"/>
      <c r="F10" s="917"/>
    </row>
    <row r="11" spans="1:8" x14ac:dyDescent="0.3">
      <c r="A11" s="915"/>
      <c r="B11" s="56" t="s">
        <v>163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134652</v>
      </c>
      <c r="F15" s="192">
        <f t="shared" ref="F15:F19" si="0">D15*E15</f>
        <v>6732.6</v>
      </c>
    </row>
    <row r="16" spans="1:8" x14ac:dyDescent="0.3">
      <c r="A16" s="883" t="s">
        <v>1047</v>
      </c>
      <c r="B16" s="884"/>
      <c r="C16" s="158" t="s">
        <v>69</v>
      </c>
      <c r="D16" s="158">
        <v>0.5</v>
      </c>
      <c r="E16" s="193">
        <f>EQ!F24</f>
        <v>100000</v>
      </c>
      <c r="F16" s="192">
        <f t="shared" si="0"/>
        <v>50000</v>
      </c>
      <c r="H16" s="10">
        <f>H13*F16</f>
        <v>176500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56732.6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 t="s">
        <v>85</v>
      </c>
      <c r="B36" s="161">
        <v>0.04</v>
      </c>
      <c r="C36" s="158">
        <v>2</v>
      </c>
      <c r="D36" s="158">
        <f>B36*C36</f>
        <v>0.08</v>
      </c>
      <c r="E36" s="196">
        <f>+H36</f>
        <v>29166.666666666668</v>
      </c>
      <c r="F36" s="160">
        <f>D36*E36</f>
        <v>2333.3333333333335</v>
      </c>
      <c r="H36" s="1">
        <f>350000/C36/6</f>
        <v>29166.666666666668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2333.3333333333335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3.5</v>
      </c>
      <c r="F42" s="167">
        <f>D42*E42</f>
        <v>134652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134652</v>
      </c>
      <c r="H46" s="364">
        <f>F46*H13</f>
        <v>475321.56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193718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1:F5"/>
    <mergeCell ref="A6:F6"/>
    <mergeCell ref="A7:F7"/>
    <mergeCell ref="B9:D9"/>
    <mergeCell ref="E9:E10"/>
    <mergeCell ref="F9:F10"/>
    <mergeCell ref="A10:A11"/>
    <mergeCell ref="B10:D10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</mergeCells>
  <pageMargins left="0.7" right="0.7" top="0.75" bottom="0.75" header="0.3" footer="0.3"/>
  <pageSetup paperSize="9" scale="87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/>
  <dimension ref="A1:H53"/>
  <sheetViews>
    <sheetView view="pageBreakPreview" topLeftCell="A28" zoomScale="70" zoomScaleNormal="110" zoomScaleSheetLayoutView="70" workbookViewId="0">
      <selection activeCell="F12" sqref="F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(Entidad)'!C16</f>
        <v>MOVIMIENTO DE TIERRA</v>
      </c>
      <c r="C9" s="885"/>
      <c r="D9" s="885"/>
      <c r="E9" s="851" t="s">
        <v>74</v>
      </c>
      <c r="F9" s="917" t="str">
        <f>'PRESUPUESTO OFICIAL (Entidad)'!D17</f>
        <v>M3</v>
      </c>
    </row>
    <row r="10" spans="1:6" x14ac:dyDescent="0.3">
      <c r="A10" s="915" t="s">
        <v>75</v>
      </c>
      <c r="B10" s="887" t="str">
        <f>'PRESUPUESTO OFICIAL (Entidad)'!C17</f>
        <v xml:space="preserve">Excavacion manual. Incluye retiro del material. </v>
      </c>
      <c r="C10" s="887"/>
      <c r="D10" s="887"/>
      <c r="E10" s="851"/>
      <c r="F10" s="917"/>
    </row>
    <row r="11" spans="1:6" x14ac:dyDescent="0.3">
      <c r="A11" s="915"/>
      <c r="B11" s="56" t="s">
        <v>164</v>
      </c>
      <c r="C11" s="56" t="s">
        <v>210</v>
      </c>
      <c r="D11" s="56" t="s">
        <v>616</v>
      </c>
      <c r="E11" s="29" t="s">
        <v>1135</v>
      </c>
      <c r="F11" s="155" t="s">
        <v>1174</v>
      </c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s="34" customFormat="1" x14ac:dyDescent="0.3">
      <c r="A13" s="888" t="s">
        <v>76</v>
      </c>
      <c r="B13" s="889"/>
      <c r="C13" s="889"/>
      <c r="D13" s="889"/>
      <c r="E13" s="889"/>
      <c r="F13" s="890"/>
    </row>
    <row r="14" spans="1:6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+F46</f>
        <v>53860.799999999996</v>
      </c>
      <c r="F15" s="186">
        <f t="shared" ref="F15:F19" si="0">D15*E15</f>
        <v>2693.04</v>
      </c>
    </row>
    <row r="16" spans="1:6" x14ac:dyDescent="0.3">
      <c r="A16" s="883"/>
      <c r="B16" s="884"/>
      <c r="C16" s="158"/>
      <c r="D16" s="158"/>
      <c r="E16" s="187"/>
      <c r="F16" s="186">
        <f t="shared" si="0"/>
        <v>0</v>
      </c>
    </row>
    <row r="17" spans="1: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6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2693.04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25"/>
      <c r="B24" s="926"/>
      <c r="C24" s="177"/>
      <c r="D24" s="177"/>
      <c r="E24" s="199"/>
      <c r="F24" s="311">
        <f>D24*E24</f>
        <v>0</v>
      </c>
    </row>
    <row r="25" spans="1:6" x14ac:dyDescent="0.3">
      <c r="A25" s="925"/>
      <c r="B25" s="926"/>
      <c r="C25" s="177"/>
      <c r="D25" s="177"/>
      <c r="E25" s="199"/>
      <c r="F25" s="311">
        <f t="shared" ref="F25:F31" si="1">D25*E25</f>
        <v>0</v>
      </c>
    </row>
    <row r="26" spans="1:6" x14ac:dyDescent="0.3">
      <c r="A26" s="925"/>
      <c r="B26" s="926"/>
      <c r="C26" s="177"/>
      <c r="D26" s="177"/>
      <c r="E26" s="177"/>
      <c r="F26" s="311">
        <f t="shared" si="1"/>
        <v>0</v>
      </c>
    </row>
    <row r="27" spans="1:6" x14ac:dyDescent="0.3">
      <c r="A27" s="925"/>
      <c r="B27" s="926"/>
      <c r="C27" s="177"/>
      <c r="D27" s="177"/>
      <c r="E27" s="177"/>
      <c r="F27" s="311">
        <f t="shared" si="1"/>
        <v>0</v>
      </c>
    </row>
    <row r="28" spans="1:6" x14ac:dyDescent="0.3">
      <c r="A28" s="925"/>
      <c r="B28" s="926"/>
      <c r="C28" s="177"/>
      <c r="D28" s="177"/>
      <c r="E28" s="177"/>
      <c r="F28" s="311">
        <f t="shared" si="1"/>
        <v>0</v>
      </c>
    </row>
    <row r="29" spans="1:6" x14ac:dyDescent="0.3">
      <c r="A29" s="925"/>
      <c r="B29" s="926"/>
      <c r="C29" s="177"/>
      <c r="D29" s="177"/>
      <c r="E29" s="177"/>
      <c r="F29" s="311">
        <f t="shared" si="1"/>
        <v>0</v>
      </c>
    </row>
    <row r="30" spans="1:6" x14ac:dyDescent="0.3">
      <c r="A30" s="925"/>
      <c r="B30" s="926"/>
      <c r="C30" s="177"/>
      <c r="D30" s="177"/>
      <c r="E30" s="177"/>
      <c r="F30" s="311">
        <f t="shared" si="1"/>
        <v>0</v>
      </c>
    </row>
    <row r="31" spans="1:6" ht="16.2" thickBot="1" x14ac:dyDescent="0.35">
      <c r="A31" s="927"/>
      <c r="B31" s="928"/>
      <c r="C31" s="200"/>
      <c r="D31" s="200"/>
      <c r="E31" s="200"/>
      <c r="F31" s="312">
        <f t="shared" si="1"/>
        <v>0</v>
      </c>
    </row>
    <row r="32" spans="1:6" ht="16.2" thickBot="1" x14ac:dyDescent="0.35">
      <c r="A32" s="929" t="s">
        <v>84</v>
      </c>
      <c r="B32" s="929"/>
      <c r="C32" s="929"/>
      <c r="D32" s="929"/>
      <c r="E32" s="929"/>
      <c r="F32" s="195">
        <f>SUM(F24:F31)</f>
        <v>0</v>
      </c>
    </row>
    <row r="33" spans="1:8" ht="16.8" thickTop="1" thickBot="1" x14ac:dyDescent="0.35">
      <c r="A33" s="201"/>
      <c r="B33" s="201"/>
      <c r="C33" s="201"/>
      <c r="D33" s="201"/>
      <c r="E33" s="201"/>
      <c r="F33" s="202"/>
    </row>
    <row r="34" spans="1:8" x14ac:dyDescent="0.3">
      <c r="A34" s="930" t="s">
        <v>85</v>
      </c>
      <c r="B34" s="931"/>
      <c r="C34" s="931"/>
      <c r="D34" s="931"/>
      <c r="E34" s="931"/>
      <c r="F34" s="932"/>
    </row>
    <row r="35" spans="1:8" x14ac:dyDescent="0.3">
      <c r="A35" s="203" t="s">
        <v>86</v>
      </c>
      <c r="B35" s="177" t="s">
        <v>94</v>
      </c>
      <c r="C35" s="193" t="s">
        <v>96</v>
      </c>
      <c r="D35" s="193" t="s">
        <v>97</v>
      </c>
      <c r="E35" s="193" t="s">
        <v>95</v>
      </c>
      <c r="F35" s="192" t="s">
        <v>82</v>
      </c>
    </row>
    <row r="36" spans="1:8" x14ac:dyDescent="0.3">
      <c r="A36" s="169" t="s">
        <v>85</v>
      </c>
      <c r="B36" s="161">
        <v>0.04</v>
      </c>
      <c r="C36" s="158">
        <v>8</v>
      </c>
      <c r="D36" s="158">
        <f>B36*C36</f>
        <v>0.32</v>
      </c>
      <c r="E36" s="196">
        <f>+H36</f>
        <v>7291.666666666667</v>
      </c>
      <c r="F36" s="160">
        <f>D36*E36</f>
        <v>2333.3333333333335</v>
      </c>
      <c r="H36" s="1">
        <f>350000/C36/6</f>
        <v>7291.666666666667</v>
      </c>
    </row>
    <row r="37" spans="1:8" ht="16.2" thickBot="1" x14ac:dyDescent="0.35">
      <c r="A37" s="204"/>
      <c r="B37" s="205"/>
      <c r="C37" s="194"/>
      <c r="D37" s="194"/>
      <c r="E37" s="194"/>
      <c r="F37" s="310">
        <f>C37*D37*E37</f>
        <v>0</v>
      </c>
    </row>
    <row r="38" spans="1:8" ht="16.2" thickBot="1" x14ac:dyDescent="0.35">
      <c r="A38" s="933" t="s">
        <v>90</v>
      </c>
      <c r="B38" s="933"/>
      <c r="C38" s="933"/>
      <c r="D38" s="933"/>
      <c r="E38" s="933"/>
      <c r="F38" s="198">
        <f>SUM(F36:F37)</f>
        <v>2333.3333333333335</v>
      </c>
    </row>
    <row r="39" spans="1:8" ht="16.8" thickTop="1" thickBot="1" x14ac:dyDescent="0.35">
      <c r="A39" s="103"/>
      <c r="B39" s="103"/>
      <c r="C39" s="103"/>
      <c r="D39" s="103"/>
      <c r="E39" s="103"/>
      <c r="F39" s="153"/>
    </row>
    <row r="40" spans="1:8" x14ac:dyDescent="0.3">
      <c r="A40" s="895" t="s">
        <v>91</v>
      </c>
      <c r="B40" s="896"/>
      <c r="C40" s="896"/>
      <c r="D40" s="896"/>
      <c r="E40" s="896"/>
      <c r="F40" s="897"/>
    </row>
    <row r="41" spans="1:8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8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1.4</v>
      </c>
      <c r="F42" s="167">
        <f>D42*E42</f>
        <v>53860.799999999996</v>
      </c>
    </row>
    <row r="43" spans="1:8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8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8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8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53860.799999999996</v>
      </c>
    </row>
    <row r="47" spans="1:8" ht="15.75" customHeight="1" thickTop="1" x14ac:dyDescent="0.3">
      <c r="A47" s="103"/>
      <c r="B47" s="103"/>
      <c r="C47" s="103"/>
      <c r="D47" s="103"/>
      <c r="E47" s="103"/>
      <c r="F47" s="153"/>
    </row>
    <row r="48" spans="1:8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58887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1" spans="1:7" x14ac:dyDescent="0.3">
      <c r="G51" s="2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26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6:F6"/>
    <mergeCell ref="A1:F5"/>
    <mergeCell ref="A52:B52"/>
    <mergeCell ref="D52:F52"/>
    <mergeCell ref="A53:B53"/>
    <mergeCell ref="D53:F53"/>
    <mergeCell ref="A7:F7"/>
    <mergeCell ref="B9:D9"/>
    <mergeCell ref="E9:E10"/>
    <mergeCell ref="F9:F10"/>
    <mergeCell ref="B10:D10"/>
    <mergeCell ref="A18:B18"/>
    <mergeCell ref="A19:B19"/>
    <mergeCell ref="A20:E20"/>
    <mergeCell ref="A10:A11"/>
    <mergeCell ref="A38:E38"/>
    <mergeCell ref="A14:B14"/>
    <mergeCell ref="A13:F13"/>
    <mergeCell ref="A16:B16"/>
    <mergeCell ref="A17:B17"/>
    <mergeCell ref="A40:F40"/>
    <mergeCell ref="A24:B24"/>
    <mergeCell ref="A25:B25"/>
    <mergeCell ref="A26:B26"/>
    <mergeCell ref="A27:B27"/>
    <mergeCell ref="A15:B15"/>
    <mergeCell ref="A22:F22"/>
    <mergeCell ref="A23:B23"/>
    <mergeCell ref="A46:E46"/>
    <mergeCell ref="A48:E48"/>
    <mergeCell ref="A28:B28"/>
    <mergeCell ref="A29:B29"/>
    <mergeCell ref="A30:B30"/>
    <mergeCell ref="A31:B31"/>
    <mergeCell ref="A32:E32"/>
    <mergeCell ref="A34:F34"/>
    <mergeCell ref="A41:B41"/>
    <mergeCell ref="A42:B42"/>
    <mergeCell ref="A43:B43"/>
    <mergeCell ref="A44:B44"/>
    <mergeCell ref="A45:B45"/>
  </mergeCells>
  <pageMargins left="0.7" right="0.7" top="0.75" bottom="0.75" header="0.3" footer="0.3"/>
  <pageSetup paperSize="9" scale="87" orientation="portrait" r:id="rId1"/>
  <ignoredErrors>
    <ignoredError sqref="E36" formula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24F5-058E-4A3A-9EA0-7711EBA11C4F}">
  <sheetPr codeName="Hoja9"/>
  <dimension ref="A1:O53"/>
  <sheetViews>
    <sheetView view="pageBreakPreview" topLeftCell="A25" zoomScale="70" zoomScaleNormal="100" zoomScaleSheetLayoutView="70" workbookViewId="0">
      <selection activeCell="J31" sqref="J3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(Entidad)'!C16</f>
        <v>MOVIMIENTO DE TIERRA</v>
      </c>
      <c r="C9" s="885"/>
      <c r="D9" s="885"/>
      <c r="E9" s="851" t="s">
        <v>74</v>
      </c>
      <c r="F9" s="917" t="str">
        <f>'PRESUPUESTO OFICIAL (Entidad)'!D18</f>
        <v>M3</v>
      </c>
    </row>
    <row r="10" spans="1:6" x14ac:dyDescent="0.3">
      <c r="A10" s="915" t="s">
        <v>75</v>
      </c>
      <c r="B10" s="887" t="str">
        <f>'PRESUPUESTO OFICIAL (Entidad)'!C18</f>
        <v>Relleno en recebo compactado mecánicamente.</v>
      </c>
      <c r="C10" s="887"/>
      <c r="D10" s="887"/>
      <c r="E10" s="851"/>
      <c r="F10" s="917"/>
    </row>
    <row r="11" spans="1:6" x14ac:dyDescent="0.3">
      <c r="A11" s="915"/>
      <c r="B11" s="210" t="s">
        <v>165</v>
      </c>
      <c r="C11" s="210" t="s">
        <v>617</v>
      </c>
      <c r="D11" s="210" t="s">
        <v>1134</v>
      </c>
      <c r="E11" s="210" t="s">
        <v>1175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ht="15" customHeight="1" x14ac:dyDescent="0.3">
      <c r="A16" s="869" t="s">
        <v>395</v>
      </c>
      <c r="B16" s="870"/>
      <c r="C16" s="158" t="s">
        <v>69</v>
      </c>
      <c r="D16" s="158">
        <v>0.04</v>
      </c>
      <c r="E16" s="185">
        <f>EQ!F18</f>
        <v>50000</v>
      </c>
      <c r="F16" s="186">
        <f t="shared" si="0"/>
        <v>2000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2961.8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34" t="s">
        <v>191</v>
      </c>
      <c r="B24" s="914"/>
      <c r="C24" s="156" t="s">
        <v>9</v>
      </c>
      <c r="D24" s="156">
        <v>1</v>
      </c>
      <c r="E24" s="211">
        <f>MAT!E20</f>
        <v>33333.333333333336</v>
      </c>
      <c r="F24" s="167">
        <f>D24*E24</f>
        <v>33333.333333333336</v>
      </c>
    </row>
    <row r="25" spans="1:15" x14ac:dyDescent="0.3">
      <c r="A25" s="934"/>
      <c r="B25" s="914"/>
      <c r="C25" s="156"/>
      <c r="D25" s="212"/>
      <c r="E25" s="213"/>
      <c r="F25" s="167">
        <f t="shared" ref="F25:F31" si="1">D25*E25</f>
        <v>0</v>
      </c>
      <c r="I25" s="214"/>
      <c r="L25" s="215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  <c r="L26" s="215"/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33333.333333333336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58"/>
      <c r="C36" s="158"/>
      <c r="D36" s="158"/>
      <c r="E36" s="193"/>
      <c r="F36" s="313">
        <f>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86">
        <f>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55531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2:E32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7:F7"/>
    <mergeCell ref="A6:F6"/>
    <mergeCell ref="A1:F5"/>
    <mergeCell ref="A31:B31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487A8-013D-4D9F-B120-2A61589E9B3D}">
  <sheetPr codeName="Hoja10"/>
  <dimension ref="A1:O53"/>
  <sheetViews>
    <sheetView view="pageBreakPreview" topLeftCell="A40" zoomScale="70" zoomScaleNormal="100" zoomScaleSheetLayoutView="70" workbookViewId="0">
      <selection activeCell="I15" sqref="I15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29.1093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(Entidad)'!C19</f>
        <v>CIMIENTOS</v>
      </c>
      <c r="C9" s="885"/>
      <c r="D9" s="885"/>
      <c r="E9" s="851" t="s">
        <v>74</v>
      </c>
      <c r="F9" s="917" t="str">
        <f>'PRESUPUESTO OFICIAL (Entidad)'!D20</f>
        <v>M3</v>
      </c>
    </row>
    <row r="10" spans="1:6" ht="33.75" customHeight="1" x14ac:dyDescent="0.3">
      <c r="A10" s="915" t="s">
        <v>75</v>
      </c>
      <c r="B10" s="922" t="str">
        <f>'PRESUPUESTO OFICIAL (Entidad)'!C20</f>
        <v>Concreto Ciclópeo (40% en piedra media zonga y 60% concreto 2500 PSI de 0,30*0,40 m).</v>
      </c>
      <c r="C10" s="922"/>
      <c r="D10" s="922"/>
      <c r="E10" s="851"/>
      <c r="F10" s="917"/>
    </row>
    <row r="11" spans="1:6" x14ac:dyDescent="0.3">
      <c r="A11" s="915"/>
      <c r="B11" s="210" t="s">
        <v>166</v>
      </c>
      <c r="C11" s="210" t="s">
        <v>618</v>
      </c>
      <c r="D11" s="210" t="s">
        <v>1137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115416</v>
      </c>
      <c r="F15" s="186">
        <f t="shared" ref="F15:F19" si="0">D15*E15</f>
        <v>5770.8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5770.8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507</v>
      </c>
      <c r="B24" s="904"/>
      <c r="C24" s="156" t="s">
        <v>9</v>
      </c>
      <c r="D24" s="156">
        <v>1</v>
      </c>
      <c r="E24" s="211">
        <f>'C. CICL'!F45</f>
        <v>513415</v>
      </c>
      <c r="F24" s="167">
        <f>D24*E24</f>
        <v>513415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513415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3</v>
      </c>
      <c r="F42" s="167">
        <f>D42*E42</f>
        <v>115416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115416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634602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2:E32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7:F7"/>
    <mergeCell ref="A6:F6"/>
    <mergeCell ref="A1:F5"/>
    <mergeCell ref="A31:B31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scale="77" orientation="portrait" r:id="rId1"/>
  <colBreaks count="1" manualBreakCount="1">
    <brk id="6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254F-03E0-4495-99E2-2D193A8E059A}">
  <sheetPr codeName="Hoja11"/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(Entidad)'!C19</f>
        <v>CIMIENTOS</v>
      </c>
      <c r="C9" s="885"/>
      <c r="D9" s="885"/>
      <c r="E9" s="851" t="s">
        <v>74</v>
      </c>
      <c r="F9" s="917" t="str">
        <f>'PRESUPUESTO OFICIAL (Entidad)'!D21</f>
        <v>M3</v>
      </c>
    </row>
    <row r="10" spans="1:6" ht="32.25" customHeight="1" x14ac:dyDescent="0.3">
      <c r="A10" s="915" t="s">
        <v>75</v>
      </c>
      <c r="B10" s="922" t="str">
        <f>'PRESUPUESTO OFICIAL (Entidad)'!C21</f>
        <v>Cimentación tipo zapatas en concreto de 3000 P.S.I (0,70*0,70*0,30mts).</v>
      </c>
      <c r="C10" s="922"/>
      <c r="D10" s="922"/>
      <c r="E10" s="851"/>
      <c r="F10" s="917"/>
    </row>
    <row r="11" spans="1:6" x14ac:dyDescent="0.3">
      <c r="A11" s="915"/>
      <c r="B11" s="210" t="s">
        <v>167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173124</v>
      </c>
      <c r="F15" s="186">
        <f t="shared" ref="F15:F19" si="0">D15*E15</f>
        <v>8656.2000000000007</v>
      </c>
    </row>
    <row r="16" spans="1:6" ht="15" customHeight="1" x14ac:dyDescent="0.3">
      <c r="A16" s="893" t="s">
        <v>399</v>
      </c>
      <c r="B16" s="894"/>
      <c r="C16" s="158" t="s">
        <v>69</v>
      </c>
      <c r="D16" s="158">
        <v>7.0000000000000007E-2</v>
      </c>
      <c r="E16" s="185">
        <f>EQ!F21</f>
        <v>50000</v>
      </c>
      <c r="F16" s="186">
        <f t="shared" si="0"/>
        <v>3500.0000000000005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12156.2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156">
        <v>1.03</v>
      </c>
      <c r="E24" s="211">
        <f>'C. 3000 PSI'!F45</f>
        <v>607218</v>
      </c>
      <c r="F24" s="167">
        <f>D24*E24</f>
        <v>625434.54</v>
      </c>
    </row>
    <row r="25" spans="1:15" ht="15" customHeight="1" x14ac:dyDescent="0.3">
      <c r="A25" s="903"/>
      <c r="B25" s="904"/>
      <c r="C25" s="156"/>
      <c r="D25" s="165"/>
      <c r="E25" s="213"/>
      <c r="F25" s="167">
        <f>D25*E25</f>
        <v>0</v>
      </c>
      <c r="I25" s="214"/>
      <c r="M25" s="214"/>
      <c r="N25" s="214"/>
      <c r="O25" s="214"/>
    </row>
    <row r="26" spans="1:15" ht="15" customHeight="1" x14ac:dyDescent="0.3">
      <c r="A26" s="934"/>
      <c r="B26" s="914"/>
      <c r="C26" s="156"/>
      <c r="D26" s="156"/>
      <c r="E26" s="213"/>
      <c r="F26" s="167">
        <f>D26*E26</f>
        <v>0</v>
      </c>
    </row>
    <row r="27" spans="1:15" x14ac:dyDescent="0.3">
      <c r="A27" s="911"/>
      <c r="B27" s="912"/>
      <c r="C27" s="156"/>
      <c r="D27" s="165"/>
      <c r="E27" s="213"/>
      <c r="F27" s="167">
        <f t="shared" ref="F27:F29" si="1">D27*E27</f>
        <v>0</v>
      </c>
    </row>
    <row r="28" spans="1:15" ht="15" customHeight="1" x14ac:dyDescent="0.3">
      <c r="A28" s="903"/>
      <c r="B28" s="904"/>
      <c r="C28" s="156"/>
      <c r="D28" s="165"/>
      <c r="E28" s="216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>D30*E30</f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625434.54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4.5</v>
      </c>
      <c r="F42" s="167">
        <f>D42*E42</f>
        <v>173124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173124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810715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2:E32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20:E20"/>
    <mergeCell ref="A22:F22"/>
    <mergeCell ref="A23:B23"/>
    <mergeCell ref="A24:B24"/>
    <mergeCell ref="A25:B25"/>
    <mergeCell ref="A26:B26"/>
    <mergeCell ref="A27:B27"/>
    <mergeCell ref="A29:B29"/>
    <mergeCell ref="A30:B30"/>
    <mergeCell ref="A31:B31"/>
    <mergeCell ref="A28:B28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90A71-A33E-4843-9E16-A4DF46DCEFB6}">
  <sheetPr codeName="Hoja12"/>
  <dimension ref="A1:O53"/>
  <sheetViews>
    <sheetView view="pageBreakPreview" topLeftCell="A31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(Entidad)'!C19</f>
        <v>CIMIENTOS</v>
      </c>
      <c r="C9" s="885"/>
      <c r="D9" s="885"/>
      <c r="E9" s="851" t="s">
        <v>74</v>
      </c>
      <c r="F9" s="917" t="str">
        <f>'PRESUPUESTO OFICIAL (Entidad)'!D22</f>
        <v>M3</v>
      </c>
    </row>
    <row r="10" spans="1:6" ht="33" customHeight="1" x14ac:dyDescent="0.3">
      <c r="A10" s="915" t="s">
        <v>75</v>
      </c>
      <c r="B10" s="922" t="str">
        <f>'PRESUPUESTO OFICIAL (Entidad)'!C22</f>
        <v>Cimentación tipo zapatas en concreto de 3000 P.S.I (1,00*1,00*0,30mts).</v>
      </c>
      <c r="C10" s="922"/>
      <c r="D10" s="922"/>
      <c r="E10" s="851"/>
      <c r="F10" s="917"/>
    </row>
    <row r="11" spans="1:6" x14ac:dyDescent="0.3">
      <c r="A11" s="915"/>
      <c r="B11" s="210" t="s">
        <v>168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173124</v>
      </c>
      <c r="F15" s="186">
        <f t="shared" ref="F15:F16" si="0">D15*E15</f>
        <v>8656.2000000000007</v>
      </c>
    </row>
    <row r="16" spans="1:6" ht="15" customHeight="1" x14ac:dyDescent="0.3">
      <c r="A16" s="893" t="s">
        <v>399</v>
      </c>
      <c r="B16" s="894"/>
      <c r="C16" s="158" t="s">
        <v>69</v>
      </c>
      <c r="D16" s="158">
        <v>7.0000000000000007E-2</v>
      </c>
      <c r="E16" s="185">
        <f>EQ!F21</f>
        <v>50000</v>
      </c>
      <c r="F16" s="186">
        <f t="shared" si="0"/>
        <v>3500.0000000000005</v>
      </c>
    </row>
    <row r="17" spans="1:15" x14ac:dyDescent="0.3">
      <c r="A17" s="883"/>
      <c r="B17" s="884"/>
      <c r="C17" s="158"/>
      <c r="D17" s="158"/>
      <c r="E17" s="187"/>
      <c r="F17" s="186">
        <f t="shared" ref="F17:F19" si="1">D17*E17</f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1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1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12156.2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156">
        <v>1.03</v>
      </c>
      <c r="E24" s="211">
        <f>'C. 3000 PSI'!F45</f>
        <v>607218</v>
      </c>
      <c r="F24" s="167">
        <f>D24*E24</f>
        <v>625434.54</v>
      </c>
    </row>
    <row r="25" spans="1:15" ht="15" customHeight="1" x14ac:dyDescent="0.3">
      <c r="A25" s="903"/>
      <c r="B25" s="904"/>
      <c r="C25" s="156"/>
      <c r="D25" s="165"/>
      <c r="E25" s="213"/>
      <c r="F25" s="167">
        <f t="shared" ref="F25:F31" si="2">D25*E25</f>
        <v>0</v>
      </c>
      <c r="I25" s="214"/>
      <c r="M25" s="214"/>
      <c r="N25" s="214"/>
      <c r="O25" s="214"/>
    </row>
    <row r="26" spans="1:15" x14ac:dyDescent="0.3">
      <c r="A26" s="934"/>
      <c r="B26" s="914"/>
      <c r="C26" s="156"/>
      <c r="D26" s="156"/>
      <c r="E26" s="213"/>
      <c r="F26" s="167">
        <f t="shared" si="2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2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2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2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2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625434.54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219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6.2" thickBot="1" x14ac:dyDescent="0.35">
      <c r="A40" s="935" t="s">
        <v>91</v>
      </c>
      <c r="B40" s="936"/>
      <c r="C40" s="936"/>
      <c r="D40" s="936"/>
      <c r="E40" s="936"/>
      <c r="F40" s="937"/>
    </row>
    <row r="41" spans="1:6" ht="24.75" customHeight="1" x14ac:dyDescent="0.3">
      <c r="A41" s="938" t="s">
        <v>48</v>
      </c>
      <c r="B41" s="939"/>
      <c r="C41" s="220" t="s">
        <v>23</v>
      </c>
      <c r="D41" s="220" t="s">
        <v>378</v>
      </c>
      <c r="E41" s="220" t="s">
        <v>98</v>
      </c>
      <c r="F41" s="221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4.5</v>
      </c>
      <c r="F42" s="167">
        <f>D42*E42</f>
        <v>173124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173124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810715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43EC-460A-4350-A186-E11999184859}">
  <sheetPr codeName="Hoja13">
    <tabColor rgb="FFFFFF00"/>
  </sheetPr>
  <dimension ref="A1:O53"/>
  <sheetViews>
    <sheetView view="pageBreakPreview" topLeftCell="A22" zoomScale="70" zoomScaleNormal="100" zoomScaleSheetLayoutView="70" workbookViewId="0">
      <selection activeCell="A52" sqref="A52:B52"/>
    </sheetView>
  </sheetViews>
  <sheetFormatPr baseColWidth="10" defaultColWidth="11.44140625" defaultRowHeight="13.8" x14ac:dyDescent="0.25"/>
  <cols>
    <col min="1" max="1" width="14" style="2" customWidth="1"/>
    <col min="2" max="2" width="23" style="2" customWidth="1"/>
    <col min="3" max="3" width="14.33203125" style="2" customWidth="1"/>
    <col min="4" max="4" width="14.6640625" style="2" customWidth="1"/>
    <col min="5" max="5" width="14.5546875" style="2" customWidth="1"/>
    <col min="6" max="6" width="13.88671875" style="152" customWidth="1"/>
    <col min="7" max="10" width="11.44140625" style="2"/>
    <col min="11" max="11" width="13.109375" style="2" customWidth="1"/>
    <col min="12" max="12" width="11.44140625" style="2"/>
    <col min="13" max="13" width="21.88671875" style="2" customWidth="1"/>
    <col min="14" max="16384" width="11.44140625" style="2"/>
  </cols>
  <sheetData>
    <row r="1" spans="1:6" x14ac:dyDescent="0.25">
      <c r="A1" s="831"/>
      <c r="B1" s="831"/>
      <c r="C1" s="831"/>
      <c r="D1" s="831"/>
      <c r="E1" s="831"/>
      <c r="F1" s="831"/>
    </row>
    <row r="2" spans="1:6" x14ac:dyDescent="0.25">
      <c r="A2" s="831"/>
      <c r="B2" s="831"/>
      <c r="C2" s="831"/>
      <c r="D2" s="831"/>
      <c r="E2" s="831"/>
      <c r="F2" s="831"/>
    </row>
    <row r="3" spans="1:6" x14ac:dyDescent="0.25">
      <c r="A3" s="831"/>
      <c r="B3" s="831"/>
      <c r="C3" s="831"/>
      <c r="D3" s="831"/>
      <c r="E3" s="831"/>
      <c r="F3" s="831"/>
    </row>
    <row r="4" spans="1:6" x14ac:dyDescent="0.25">
      <c r="A4" s="831"/>
      <c r="B4" s="831"/>
      <c r="C4" s="831"/>
      <c r="D4" s="831"/>
      <c r="E4" s="831"/>
      <c r="F4" s="831"/>
    </row>
    <row r="5" spans="1:6" x14ac:dyDescent="0.25">
      <c r="A5" s="831"/>
      <c r="B5" s="831"/>
      <c r="C5" s="831"/>
      <c r="D5" s="831"/>
      <c r="E5" s="831"/>
      <c r="F5" s="831"/>
    </row>
    <row r="6" spans="1:6" ht="14.4" x14ac:dyDescent="0.3">
      <c r="A6" s="831"/>
      <c r="B6" s="831"/>
      <c r="C6" s="831"/>
      <c r="D6" s="831"/>
      <c r="E6" s="831"/>
      <c r="F6" s="831"/>
    </row>
    <row r="7" spans="1:6" x14ac:dyDescent="0.25">
      <c r="A7" s="940" t="s">
        <v>72</v>
      </c>
      <c r="B7" s="940"/>
      <c r="C7" s="940"/>
      <c r="D7" s="940"/>
      <c r="E7" s="940"/>
      <c r="F7" s="940"/>
    </row>
    <row r="8" spans="1:6" x14ac:dyDescent="0.25">
      <c r="A8" s="3"/>
      <c r="B8" s="3"/>
      <c r="C8" s="3"/>
      <c r="D8" s="3"/>
      <c r="E8" s="3"/>
      <c r="F8" s="150"/>
    </row>
    <row r="9" spans="1:6" x14ac:dyDescent="0.25">
      <c r="A9" s="184" t="s">
        <v>73</v>
      </c>
      <c r="B9" s="943" t="str">
        <f>'PRESUPUESTO OFICIAL (Entidad)'!C19</f>
        <v>CIMIENTOS</v>
      </c>
      <c r="C9" s="943"/>
      <c r="D9" s="943"/>
      <c r="E9" s="944" t="s">
        <v>74</v>
      </c>
      <c r="F9" s="945" t="str">
        <f>'PRESUPUESTO OFICIAL (Entidad)'!D23</f>
        <v>ML</v>
      </c>
    </row>
    <row r="10" spans="1:6" ht="48.75" customHeight="1" x14ac:dyDescent="0.25">
      <c r="A10" s="946" t="s">
        <v>75</v>
      </c>
      <c r="B10" s="947" t="str">
        <f>'PRESUPUESTO OFICIAL (Entidad)'!C23</f>
        <v>Viga de cimentación en concreto de 3000 PSI (0,30*0,30mts). Incluye acero de refuerzo de 60000 PSI (4Ø5/8" refuerzo y E=Ø3/8" c./d. 0,10 mts).</v>
      </c>
      <c r="C10" s="947"/>
      <c r="D10" s="947"/>
      <c r="E10" s="944"/>
      <c r="F10" s="945"/>
    </row>
    <row r="11" spans="1:6" x14ac:dyDescent="0.25">
      <c r="A11" s="946"/>
      <c r="B11" s="206" t="s">
        <v>169</v>
      </c>
      <c r="C11" s="206"/>
      <c r="D11" s="206"/>
      <c r="E11" s="206"/>
      <c r="F11" s="206"/>
    </row>
    <row r="12" spans="1:6" ht="14.4" thickBot="1" x14ac:dyDescent="0.3">
      <c r="A12" s="3"/>
      <c r="B12" s="3"/>
      <c r="C12" s="3"/>
      <c r="D12" s="3"/>
      <c r="E12" s="3"/>
      <c r="F12" s="150"/>
    </row>
    <row r="13" spans="1:6" x14ac:dyDescent="0.25">
      <c r="A13" s="948" t="s">
        <v>76</v>
      </c>
      <c r="B13" s="949"/>
      <c r="C13" s="949"/>
      <c r="D13" s="949"/>
      <c r="E13" s="949"/>
      <c r="F13" s="950"/>
    </row>
    <row r="14" spans="1:6" s="151" customFormat="1" x14ac:dyDescent="0.3">
      <c r="A14" s="951" t="s">
        <v>48</v>
      </c>
      <c r="B14" s="952"/>
      <c r="C14" s="107" t="s">
        <v>23</v>
      </c>
      <c r="D14" s="107" t="s">
        <v>77</v>
      </c>
      <c r="E14" s="107" t="s">
        <v>78</v>
      </c>
      <c r="F14" s="223" t="s">
        <v>79</v>
      </c>
    </row>
    <row r="15" spans="1:6" ht="15" customHeight="1" x14ac:dyDescent="0.25">
      <c r="A15" s="953" t="s">
        <v>516</v>
      </c>
      <c r="B15" s="954"/>
      <c r="C15" s="105" t="s">
        <v>56</v>
      </c>
      <c r="D15" s="105">
        <f>5/100</f>
        <v>0.05</v>
      </c>
      <c r="E15" s="224">
        <f>F46</f>
        <v>30777.600000000002</v>
      </c>
      <c r="F15" s="225">
        <f t="shared" ref="F15:F19" si="0">D15*E15</f>
        <v>1538.88</v>
      </c>
    </row>
    <row r="16" spans="1:6" ht="15" customHeight="1" x14ac:dyDescent="0.25">
      <c r="A16" s="953" t="s">
        <v>399</v>
      </c>
      <c r="B16" s="954"/>
      <c r="C16" s="105" t="s">
        <v>69</v>
      </c>
      <c r="D16" s="105">
        <v>0.02</v>
      </c>
      <c r="E16" s="224">
        <f>EQ!F21</f>
        <v>50000</v>
      </c>
      <c r="F16" s="225">
        <f t="shared" si="0"/>
        <v>1000</v>
      </c>
    </row>
    <row r="17" spans="1:15" x14ac:dyDescent="0.25">
      <c r="A17" s="955"/>
      <c r="B17" s="956"/>
      <c r="C17" s="105"/>
      <c r="D17" s="105"/>
      <c r="E17" s="226"/>
      <c r="F17" s="225">
        <f t="shared" si="0"/>
        <v>0</v>
      </c>
    </row>
    <row r="18" spans="1:15" x14ac:dyDescent="0.25">
      <c r="A18" s="955"/>
      <c r="B18" s="956"/>
      <c r="C18" s="105"/>
      <c r="D18" s="105"/>
      <c r="E18" s="226"/>
      <c r="F18" s="225">
        <f t="shared" si="0"/>
        <v>0</v>
      </c>
    </row>
    <row r="19" spans="1:15" ht="14.4" thickBot="1" x14ac:dyDescent="0.3">
      <c r="A19" s="941"/>
      <c r="B19" s="942"/>
      <c r="C19" s="227"/>
      <c r="D19" s="227"/>
      <c r="E19" s="228"/>
      <c r="F19" s="225">
        <f t="shared" si="0"/>
        <v>0</v>
      </c>
    </row>
    <row r="20" spans="1:15" ht="14.4" thickBot="1" x14ac:dyDescent="0.3">
      <c r="A20" s="957" t="s">
        <v>80</v>
      </c>
      <c r="B20" s="957"/>
      <c r="C20" s="957"/>
      <c r="D20" s="957"/>
      <c r="E20" s="957"/>
      <c r="F20" s="229">
        <f>SUM(F15:F19)</f>
        <v>2538.88</v>
      </c>
    </row>
    <row r="21" spans="1:15" ht="15" thickTop="1" thickBot="1" x14ac:dyDescent="0.3">
      <c r="A21" s="3"/>
      <c r="B21" s="3"/>
      <c r="C21" s="3"/>
      <c r="D21" s="3"/>
      <c r="E21" s="3"/>
      <c r="F21" s="150"/>
    </row>
    <row r="22" spans="1:15" x14ac:dyDescent="0.25">
      <c r="A22" s="958" t="s">
        <v>81</v>
      </c>
      <c r="B22" s="959"/>
      <c r="C22" s="959"/>
      <c r="D22" s="959"/>
      <c r="E22" s="959"/>
      <c r="F22" s="960"/>
    </row>
    <row r="23" spans="1:15" s="151" customFormat="1" x14ac:dyDescent="0.25">
      <c r="A23" s="961" t="s">
        <v>48</v>
      </c>
      <c r="B23" s="962"/>
      <c r="C23" s="107" t="s">
        <v>21</v>
      </c>
      <c r="D23" s="107" t="s">
        <v>12</v>
      </c>
      <c r="E23" s="107" t="s">
        <v>82</v>
      </c>
      <c r="F23" s="223" t="s">
        <v>79</v>
      </c>
      <c r="H23" s="2"/>
      <c r="I23" s="2"/>
      <c r="J23" s="2"/>
      <c r="K23" s="2"/>
      <c r="L23" s="2"/>
      <c r="M23" s="2"/>
    </row>
    <row r="24" spans="1:15" ht="15" customHeight="1" x14ac:dyDescent="0.25">
      <c r="A24" s="911" t="s">
        <v>416</v>
      </c>
      <c r="B24" s="912"/>
      <c r="C24" s="156" t="s">
        <v>9</v>
      </c>
      <c r="D24" s="248">
        <f>0.3*0.3</f>
        <v>0.09</v>
      </c>
      <c r="E24" s="232">
        <f>MAT!E25</f>
        <v>607218</v>
      </c>
      <c r="F24" s="231">
        <f>D24*E24</f>
        <v>54649.619999999995</v>
      </c>
      <c r="H24" s="151"/>
      <c r="I24" s="151"/>
      <c r="J24" s="151"/>
      <c r="K24" s="151"/>
      <c r="L24" s="151"/>
      <c r="M24" s="151"/>
      <c r="N24" s="3"/>
    </row>
    <row r="25" spans="1:15" ht="15.6" x14ac:dyDescent="0.25">
      <c r="A25" s="903" t="s">
        <v>508</v>
      </c>
      <c r="B25" s="904"/>
      <c r="C25" s="156" t="s">
        <v>8</v>
      </c>
      <c r="D25" s="165">
        <v>0.08</v>
      </c>
      <c r="E25" s="232">
        <f>MAT!E81</f>
        <v>35900</v>
      </c>
      <c r="F25" s="231">
        <f t="shared" ref="F25:F31" si="1">D25*E25</f>
        <v>2872</v>
      </c>
      <c r="I25" s="3" t="s">
        <v>18</v>
      </c>
      <c r="J25" s="3" t="s">
        <v>12</v>
      </c>
      <c r="K25" s="3" t="s">
        <v>112</v>
      </c>
      <c r="L25" s="3" t="s">
        <v>111</v>
      </c>
      <c r="M25" s="3" t="s">
        <v>113</v>
      </c>
      <c r="N25" s="207"/>
      <c r="O25" s="207"/>
    </row>
    <row r="26" spans="1:15" ht="15.6" x14ac:dyDescent="0.25">
      <c r="A26" s="903" t="s">
        <v>695</v>
      </c>
      <c r="B26" s="904"/>
      <c r="C26" s="156" t="s">
        <v>111</v>
      </c>
      <c r="D26" s="165">
        <f>M26</f>
        <v>6.6115200000000005</v>
      </c>
      <c r="E26" s="232">
        <f>MAT!E142</f>
        <v>7238.8888888888896</v>
      </c>
      <c r="F26" s="231">
        <f>D26*E26</f>
        <v>47860.058666666679</v>
      </c>
      <c r="H26" s="148" t="s">
        <v>510</v>
      </c>
      <c r="I26" s="222">
        <v>1</v>
      </c>
      <c r="J26" s="148">
        <f>1*4</f>
        <v>4</v>
      </c>
      <c r="K26" s="148">
        <v>1.552</v>
      </c>
      <c r="L26" s="148">
        <f>I26*J26*K26</f>
        <v>6.2080000000000002</v>
      </c>
      <c r="M26" s="222">
        <f>(L26*0.065)+L26</f>
        <v>6.6115200000000005</v>
      </c>
    </row>
    <row r="27" spans="1:15" ht="16.5" customHeight="1" x14ac:dyDescent="0.25">
      <c r="A27" s="903" t="s">
        <v>696</v>
      </c>
      <c r="B27" s="904"/>
      <c r="C27" s="156" t="s">
        <v>111</v>
      </c>
      <c r="D27" s="165">
        <f>L27</f>
        <v>6.9440000000000008</v>
      </c>
      <c r="E27" s="232">
        <f>MAT!E141</f>
        <v>2685.7491666666665</v>
      </c>
      <c r="F27" s="231">
        <f>D27*E27</f>
        <v>18649.842213333333</v>
      </c>
      <c r="H27" s="148" t="s">
        <v>109</v>
      </c>
      <c r="I27" s="148">
        <v>1.24</v>
      </c>
      <c r="J27" s="148">
        <f>1/0.1</f>
        <v>10</v>
      </c>
      <c r="K27" s="148">
        <v>0.56000000000000005</v>
      </c>
      <c r="L27" s="148">
        <f>I27*J27*K27</f>
        <v>6.9440000000000008</v>
      </c>
      <c r="M27" s="148"/>
    </row>
    <row r="28" spans="1:15" ht="15" customHeight="1" x14ac:dyDescent="0.25">
      <c r="A28" s="963"/>
      <c r="B28" s="964"/>
      <c r="C28" s="107"/>
      <c r="D28" s="233"/>
      <c r="E28" s="232"/>
      <c r="F28" s="231">
        <f t="shared" si="1"/>
        <v>0</v>
      </c>
    </row>
    <row r="29" spans="1:15" x14ac:dyDescent="0.25">
      <c r="A29" s="963"/>
      <c r="B29" s="964"/>
      <c r="C29" s="107"/>
      <c r="D29" s="233"/>
      <c r="E29" s="234"/>
      <c r="F29" s="231">
        <f t="shared" si="1"/>
        <v>0</v>
      </c>
      <c r="I29" s="207"/>
      <c r="K29" s="3"/>
    </row>
    <row r="30" spans="1:15" x14ac:dyDescent="0.25">
      <c r="A30" s="963"/>
      <c r="B30" s="964"/>
      <c r="C30" s="107"/>
      <c r="D30" s="233"/>
      <c r="E30" s="234"/>
      <c r="F30" s="231">
        <f t="shared" si="1"/>
        <v>0</v>
      </c>
      <c r="K30" s="208"/>
    </row>
    <row r="31" spans="1:15" ht="14.4" thickBot="1" x14ac:dyDescent="0.3">
      <c r="A31" s="965"/>
      <c r="B31" s="966"/>
      <c r="C31" s="235"/>
      <c r="D31" s="235"/>
      <c r="E31" s="236"/>
      <c r="F31" s="237">
        <f t="shared" si="1"/>
        <v>0</v>
      </c>
      <c r="K31" s="209"/>
    </row>
    <row r="32" spans="1:15" ht="14.4" thickBot="1" x14ac:dyDescent="0.3">
      <c r="A32" s="957" t="s">
        <v>84</v>
      </c>
      <c r="B32" s="957"/>
      <c r="C32" s="957"/>
      <c r="D32" s="957"/>
      <c r="E32" s="957"/>
      <c r="F32" s="238">
        <f>SUM(F24:F31)</f>
        <v>124031.52088000001</v>
      </c>
    </row>
    <row r="33" spans="1:6" ht="15" thickTop="1" thickBot="1" x14ac:dyDescent="0.3">
      <c r="A33" s="3"/>
      <c r="B33" s="3"/>
      <c r="C33" s="3"/>
      <c r="D33" s="3"/>
      <c r="E33" s="3"/>
      <c r="F33" s="150"/>
    </row>
    <row r="34" spans="1:6" x14ac:dyDescent="0.25">
      <c r="A34" s="958" t="s">
        <v>85</v>
      </c>
      <c r="B34" s="959"/>
      <c r="C34" s="959"/>
      <c r="D34" s="959"/>
      <c r="E34" s="959"/>
      <c r="F34" s="960"/>
    </row>
    <row r="35" spans="1:6" x14ac:dyDescent="0.25">
      <c r="A35" s="104" t="s">
        <v>86</v>
      </c>
      <c r="B35" s="107" t="s">
        <v>94</v>
      </c>
      <c r="C35" s="105" t="s">
        <v>96</v>
      </c>
      <c r="D35" s="105" t="s">
        <v>97</v>
      </c>
      <c r="E35" s="105" t="s">
        <v>95</v>
      </c>
      <c r="F35" s="106" t="s">
        <v>82</v>
      </c>
    </row>
    <row r="36" spans="1:6" x14ac:dyDescent="0.25">
      <c r="A36" s="104"/>
      <c r="B36" s="49"/>
      <c r="C36" s="105"/>
      <c r="D36" s="105"/>
      <c r="E36" s="105"/>
      <c r="F36" s="225">
        <f>C36*D36*E36</f>
        <v>0</v>
      </c>
    </row>
    <row r="37" spans="1:6" ht="14.4" thickBot="1" x14ac:dyDescent="0.3">
      <c r="A37" s="239"/>
      <c r="B37" s="240"/>
      <c r="C37" s="227"/>
      <c r="D37" s="227"/>
      <c r="E37" s="227"/>
      <c r="F37" s="241">
        <f>C37*D37*E37</f>
        <v>0</v>
      </c>
    </row>
    <row r="38" spans="1:6" ht="14.4" thickBot="1" x14ac:dyDescent="0.3">
      <c r="A38" s="969" t="s">
        <v>90</v>
      </c>
      <c r="B38" s="969"/>
      <c r="C38" s="969"/>
      <c r="D38" s="969"/>
      <c r="E38" s="969"/>
      <c r="F38" s="242">
        <f>SUM(F36:F37)</f>
        <v>0</v>
      </c>
    </row>
    <row r="39" spans="1:6" ht="15" thickTop="1" thickBot="1" x14ac:dyDescent="0.3">
      <c r="A39" s="3"/>
      <c r="B39" s="3"/>
      <c r="C39" s="3"/>
      <c r="D39" s="3"/>
      <c r="E39" s="3"/>
      <c r="F39" s="150"/>
    </row>
    <row r="40" spans="1:6" x14ac:dyDescent="0.25">
      <c r="A40" s="958" t="s">
        <v>91</v>
      </c>
      <c r="B40" s="959"/>
      <c r="C40" s="959"/>
      <c r="D40" s="959"/>
      <c r="E40" s="959"/>
      <c r="F40" s="960"/>
    </row>
    <row r="41" spans="1:6" ht="24.75" customHeight="1" x14ac:dyDescent="0.25">
      <c r="A41" s="951" t="s">
        <v>48</v>
      </c>
      <c r="B41" s="952"/>
      <c r="C41" s="107" t="s">
        <v>23</v>
      </c>
      <c r="D41" s="107" t="s">
        <v>378</v>
      </c>
      <c r="E41" s="107" t="s">
        <v>98</v>
      </c>
      <c r="F41" s="223" t="s">
        <v>79</v>
      </c>
    </row>
    <row r="42" spans="1:6" x14ac:dyDescent="0.25">
      <c r="A42" s="953" t="str">
        <f>M.O!B63</f>
        <v>MANO DE OBRA A (1 OF Y 1 AYUD)</v>
      </c>
      <c r="B42" s="954"/>
      <c r="C42" s="243" t="s">
        <v>43</v>
      </c>
      <c r="D42" s="244">
        <f>M.O!F70</f>
        <v>38472</v>
      </c>
      <c r="E42" s="107">
        <v>0.8</v>
      </c>
      <c r="F42" s="231">
        <f>D42*E42</f>
        <v>30777.600000000002</v>
      </c>
    </row>
    <row r="43" spans="1:6" x14ac:dyDescent="0.25">
      <c r="A43" s="955"/>
      <c r="B43" s="956"/>
      <c r="C43" s="243"/>
      <c r="D43" s="107"/>
      <c r="E43" s="107"/>
      <c r="F43" s="231">
        <f t="shared" ref="F43:F45" si="2">D43*E43</f>
        <v>0</v>
      </c>
    </row>
    <row r="44" spans="1:6" x14ac:dyDescent="0.25">
      <c r="A44" s="955"/>
      <c r="B44" s="956"/>
      <c r="C44" s="107"/>
      <c r="D44" s="107"/>
      <c r="E44" s="107"/>
      <c r="F44" s="231">
        <f t="shared" si="2"/>
        <v>0</v>
      </c>
    </row>
    <row r="45" spans="1:6" ht="14.4" thickBot="1" x14ac:dyDescent="0.3">
      <c r="A45" s="941"/>
      <c r="B45" s="942"/>
      <c r="C45" s="235"/>
      <c r="D45" s="235"/>
      <c r="E45" s="235"/>
      <c r="F45" s="237">
        <f t="shared" si="2"/>
        <v>0</v>
      </c>
    </row>
    <row r="46" spans="1:6" ht="15.75" customHeight="1" thickBot="1" x14ac:dyDescent="0.3">
      <c r="A46" s="969" t="s">
        <v>92</v>
      </c>
      <c r="B46" s="969"/>
      <c r="C46" s="969"/>
      <c r="D46" s="969"/>
      <c r="E46" s="969"/>
      <c r="F46" s="245">
        <f>SUM(F42:F45)</f>
        <v>30777.600000000002</v>
      </c>
    </row>
    <row r="47" spans="1:6" ht="14.4" thickTop="1" x14ac:dyDescent="0.25">
      <c r="A47" s="3"/>
      <c r="B47" s="3"/>
      <c r="C47" s="3"/>
      <c r="D47" s="3"/>
      <c r="E47" s="3"/>
      <c r="F47" s="150"/>
    </row>
    <row r="48" spans="1:6" ht="15.75" customHeight="1" thickBot="1" x14ac:dyDescent="0.3">
      <c r="A48" s="969" t="s">
        <v>93</v>
      </c>
      <c r="B48" s="969"/>
      <c r="C48" s="969"/>
      <c r="D48" s="969"/>
      <c r="E48" s="969"/>
      <c r="F48" s="246">
        <f>ROUND(SUM(F32+F46+F20+F38),0)</f>
        <v>157348</v>
      </c>
    </row>
    <row r="49" spans="1:7" ht="14.4" thickTop="1" x14ac:dyDescent="0.25">
      <c r="A49" s="3"/>
      <c r="B49" s="3"/>
      <c r="C49" s="3"/>
      <c r="D49" s="3"/>
      <c r="E49" s="3"/>
      <c r="F49" s="150"/>
    </row>
    <row r="50" spans="1:7" x14ac:dyDescent="0.25">
      <c r="A50" s="3"/>
      <c r="B50" s="3"/>
      <c r="C50" s="3"/>
      <c r="D50" s="3"/>
      <c r="E50" s="3"/>
      <c r="F50" s="150"/>
    </row>
    <row r="52" spans="1:7" ht="15.6" x14ac:dyDescent="0.3">
      <c r="A52" s="856" t="s">
        <v>120</v>
      </c>
      <c r="B52" s="856"/>
      <c r="D52" s="967" t="s">
        <v>122</v>
      </c>
      <c r="E52" s="967"/>
      <c r="F52" s="967"/>
      <c r="G52" s="247"/>
    </row>
    <row r="53" spans="1:7" x14ac:dyDescent="0.25">
      <c r="A53" s="968" t="s">
        <v>121</v>
      </c>
      <c r="B53" s="968"/>
      <c r="D53" s="968" t="s">
        <v>123</v>
      </c>
      <c r="E53" s="968"/>
      <c r="F53" s="968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7:B27"/>
    <mergeCell ref="A26:B26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9D1DA-5289-4FE7-8917-4632E159EF8F}">
  <sheetPr codeName="Hoja14"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(Entidad)'!C19</f>
        <v>CIMIENTOS</v>
      </c>
      <c r="C9" s="885"/>
      <c r="D9" s="885"/>
      <c r="E9" s="851" t="s">
        <v>74</v>
      </c>
      <c r="F9" s="917" t="str">
        <f>'PRESUPUESTO OFICIAL (Entidad)'!D24</f>
        <v>M2</v>
      </c>
    </row>
    <row r="10" spans="1:6" ht="33.75" customHeight="1" x14ac:dyDescent="0.3">
      <c r="A10" s="915" t="s">
        <v>75</v>
      </c>
      <c r="B10" s="922" t="str">
        <f>'PRESUPUESTO OFICIAL (Entidad)'!C24</f>
        <v>Cimentación tipo solado de limpieza concreto 1700 psi e=0,05 m.</v>
      </c>
      <c r="C10" s="922"/>
      <c r="D10" s="922"/>
      <c r="E10" s="851"/>
      <c r="F10" s="917"/>
    </row>
    <row r="11" spans="1:6" x14ac:dyDescent="0.3">
      <c r="A11" s="915"/>
      <c r="B11" s="210" t="s">
        <v>238</v>
      </c>
      <c r="C11" s="210" t="s">
        <v>903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961.80000000000007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716</v>
      </c>
      <c r="B24" s="904"/>
      <c r="C24" s="156" t="s">
        <v>9</v>
      </c>
      <c r="D24" s="156">
        <v>0.05</v>
      </c>
      <c r="E24" s="211">
        <f>MAT!E28</f>
        <v>460681</v>
      </c>
      <c r="F24" s="167">
        <f>D24*E24</f>
        <v>23034.050000000003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23034.050000000003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4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ref="F45" si="3">D45*E45</f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43232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3C56-6E75-4CA3-8CE2-AE44805FA54F}">
  <sheetPr codeName="Hoja15">
    <tabColor rgb="FFFFFF00"/>
  </sheetPr>
  <dimension ref="A1:O53"/>
  <sheetViews>
    <sheetView view="pageBreakPreview" topLeftCell="A28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(Entidad)'!C19</f>
        <v>CIMIENTOS</v>
      </c>
      <c r="C9" s="885"/>
      <c r="D9" s="885"/>
      <c r="E9" s="851" t="s">
        <v>74</v>
      </c>
      <c r="F9" s="917" t="str">
        <f>'PRESUPUESTO OFICIAL (Entidad)'!D25</f>
        <v>KG</v>
      </c>
    </row>
    <row r="10" spans="1:6" ht="34.5" customHeight="1" x14ac:dyDescent="0.3">
      <c r="A10" s="915" t="s">
        <v>75</v>
      </c>
      <c r="B10" s="922" t="str">
        <f>'PRESUPUESTO OFICIAL (Entidad)'!C25</f>
        <v>Acero de refuerzo 600000 PSI, para zapata (incluye amarre y figurado).</v>
      </c>
      <c r="C10" s="922"/>
      <c r="D10" s="922"/>
      <c r="E10" s="851"/>
      <c r="F10" s="917"/>
    </row>
    <row r="11" spans="1:6" x14ac:dyDescent="0.3">
      <c r="A11" s="915"/>
      <c r="B11" s="210" t="s">
        <v>288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1154.1599999999999</v>
      </c>
      <c r="F15" s="186">
        <f t="shared" ref="F15:F19" si="0">D15*E15</f>
        <v>57.707999999999998</v>
      </c>
    </row>
    <row r="16" spans="1:6" x14ac:dyDescent="0.3">
      <c r="A16" s="893" t="s">
        <v>397</v>
      </c>
      <c r="B16" s="894"/>
      <c r="C16" s="158" t="s">
        <v>69</v>
      </c>
      <c r="D16" s="158">
        <v>0.01</v>
      </c>
      <c r="E16" s="185">
        <f>EQ!F19</f>
        <v>35000</v>
      </c>
      <c r="F16" s="186">
        <f t="shared" si="0"/>
        <v>350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407.70799999999997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75" customHeight="1" x14ac:dyDescent="0.3">
      <c r="A24" s="903" t="s">
        <v>509</v>
      </c>
      <c r="B24" s="904"/>
      <c r="C24" s="156" t="s">
        <v>111</v>
      </c>
      <c r="D24" s="165">
        <v>0.02</v>
      </c>
      <c r="E24" s="211">
        <f>MAT!E41</f>
        <v>6894.1166666666659</v>
      </c>
      <c r="F24" s="167">
        <f>D24*E24</f>
        <v>137.88233333333332</v>
      </c>
    </row>
    <row r="25" spans="1:15" ht="15.75" customHeight="1" x14ac:dyDescent="0.3">
      <c r="A25" s="903" t="s">
        <v>695</v>
      </c>
      <c r="B25" s="904"/>
      <c r="C25" s="156" t="s">
        <v>111</v>
      </c>
      <c r="D25" s="165">
        <v>1.05</v>
      </c>
      <c r="E25" s="213">
        <f>MAT!E142</f>
        <v>7238.8888888888896</v>
      </c>
      <c r="F25" s="167">
        <f t="shared" ref="F25:F31" si="1">D25*E25</f>
        <v>7600.8333333333348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7738.7156666666679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85</v>
      </c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0.03</v>
      </c>
      <c r="F42" s="167">
        <f>D42*E42</f>
        <v>1154.1599999999999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1154.1599999999999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9301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B23F6-A16E-4568-84E8-8673AC8A0627}">
  <sheetPr codeName="Hoja16">
    <tabColor rgb="FFFFFF00"/>
  </sheetPr>
  <dimension ref="A1:O53"/>
  <sheetViews>
    <sheetView view="pageBreakPreview" topLeftCell="A25" zoomScale="70" zoomScaleNormal="100" zoomScaleSheetLayoutView="70" workbookViewId="0">
      <selection activeCell="E12" sqref="E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(Entidad)'!C26</f>
        <v>MAMPOSTERIA</v>
      </c>
      <c r="C9" s="885"/>
      <c r="D9" s="885"/>
      <c r="E9" s="851" t="s">
        <v>74</v>
      </c>
      <c r="F9" s="917" t="str">
        <f>'PRESUPUESTO OFICIAL (Entidad)'!D27</f>
        <v>M2</v>
      </c>
    </row>
    <row r="10" spans="1:6" ht="29.25" customHeight="1" x14ac:dyDescent="0.3">
      <c r="A10" s="915" t="s">
        <v>75</v>
      </c>
      <c r="B10" s="922" t="str">
        <f>'PRESUPUESTO OFICIAL (Entidad)'!C27</f>
        <v>Construccion de Muro en Bloque de arcilla #5 (12x20x30cm) Incluye mortero de pega y bloque.</v>
      </c>
      <c r="C10" s="922"/>
      <c r="D10" s="922"/>
      <c r="E10" s="851"/>
      <c r="F10" s="917"/>
    </row>
    <row r="11" spans="1:6" x14ac:dyDescent="0.3">
      <c r="A11" s="915"/>
      <c r="B11" s="210" t="s">
        <v>170</v>
      </c>
      <c r="C11" s="210" t="s">
        <v>214</v>
      </c>
      <c r="D11" s="210" t="s">
        <v>911</v>
      </c>
      <c r="E11" s="210" t="s">
        <v>1183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 t="s">
        <v>515</v>
      </c>
      <c r="B16" s="894"/>
      <c r="C16" s="158" t="s">
        <v>69</v>
      </c>
      <c r="D16" s="158">
        <v>0.3</v>
      </c>
      <c r="E16" s="185">
        <f>EQ!F14</f>
        <v>3000</v>
      </c>
      <c r="F16" s="186">
        <f t="shared" si="0"/>
        <v>900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1861.8000000000002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03" t="s">
        <v>595</v>
      </c>
      <c r="B24" s="904"/>
      <c r="C24" s="156" t="s">
        <v>21</v>
      </c>
      <c r="D24" s="156">
        <v>16</v>
      </c>
      <c r="E24" s="189">
        <f>MAT!E49</f>
        <v>1950</v>
      </c>
      <c r="F24" s="167">
        <f>D24*E24</f>
        <v>31200</v>
      </c>
    </row>
    <row r="25" spans="1:15" x14ac:dyDescent="0.3">
      <c r="A25" s="903" t="s">
        <v>514</v>
      </c>
      <c r="B25" s="904"/>
      <c r="C25" s="156" t="s">
        <v>9</v>
      </c>
      <c r="D25" s="156">
        <v>1.7999999999999999E-2</v>
      </c>
      <c r="E25" s="189">
        <f>MAT!E31</f>
        <v>442836</v>
      </c>
      <c r="F25" s="167">
        <f t="shared" ref="F25:F31" si="1">D25*E25</f>
        <v>7971.0479999999998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39171.048000000003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85</v>
      </c>
      <c r="B36" s="111">
        <v>16</v>
      </c>
      <c r="C36" s="158">
        <v>8</v>
      </c>
      <c r="D36" s="158">
        <f>B36*C36</f>
        <v>128</v>
      </c>
      <c r="E36" s="158">
        <v>50</v>
      </c>
      <c r="F36" s="186">
        <f>C36*E36</f>
        <v>400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400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60669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1AEF2-D115-44E0-B84A-30A46BABE31E}">
  <sheetPr codeName="Hoja17">
    <tabColor rgb="FFFFFF00"/>
  </sheetPr>
  <dimension ref="A1:O53"/>
  <sheetViews>
    <sheetView view="pageBreakPreview" topLeftCell="A22" zoomScale="70" zoomScaleNormal="100" zoomScaleSheetLayoutView="70" workbookViewId="0">
      <selection activeCell="C12" sqref="C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14" x14ac:dyDescent="0.3">
      <c r="A1" s="831"/>
      <c r="B1" s="831"/>
      <c r="C1" s="831"/>
      <c r="D1" s="831"/>
      <c r="E1" s="831"/>
      <c r="F1" s="831"/>
    </row>
    <row r="2" spans="1:14" x14ac:dyDescent="0.3">
      <c r="A2" s="831"/>
      <c r="B2" s="831"/>
      <c r="C2" s="831"/>
      <c r="D2" s="831"/>
      <c r="E2" s="831"/>
      <c r="F2" s="831"/>
    </row>
    <row r="3" spans="1:14" x14ac:dyDescent="0.3">
      <c r="A3" s="831"/>
      <c r="B3" s="831"/>
      <c r="C3" s="831"/>
      <c r="D3" s="831"/>
      <c r="E3" s="831"/>
      <c r="F3" s="831"/>
    </row>
    <row r="4" spans="1:14" x14ac:dyDescent="0.3">
      <c r="A4" s="831"/>
      <c r="B4" s="831"/>
      <c r="C4" s="831"/>
      <c r="D4" s="831"/>
      <c r="E4" s="831"/>
      <c r="F4" s="831"/>
    </row>
    <row r="5" spans="1:14" x14ac:dyDescent="0.3">
      <c r="A5" s="831"/>
      <c r="B5" s="831"/>
      <c r="C5" s="831"/>
      <c r="D5" s="831"/>
      <c r="E5" s="831"/>
      <c r="F5" s="831"/>
    </row>
    <row r="6" spans="1:14" x14ac:dyDescent="0.3">
      <c r="A6" s="831"/>
      <c r="B6" s="831"/>
      <c r="C6" s="831"/>
      <c r="D6" s="831"/>
      <c r="E6" s="831"/>
      <c r="F6" s="831"/>
    </row>
    <row r="7" spans="1:14" x14ac:dyDescent="0.3">
      <c r="A7" s="754" t="s">
        <v>72</v>
      </c>
      <c r="B7" s="754"/>
      <c r="C7" s="754"/>
      <c r="D7" s="754"/>
      <c r="E7" s="754"/>
      <c r="F7" s="754"/>
    </row>
    <row r="8" spans="1:14" x14ac:dyDescent="0.3">
      <c r="A8" s="103"/>
      <c r="B8" s="103"/>
      <c r="C8" s="103"/>
      <c r="D8" s="103"/>
      <c r="E8" s="103"/>
      <c r="F8" s="153"/>
    </row>
    <row r="9" spans="1:14" x14ac:dyDescent="0.3">
      <c r="A9" s="14" t="s">
        <v>73</v>
      </c>
      <c r="B9" s="885" t="str">
        <f>'PRESUPUESTO OFICIAL (Entidad)'!C26</f>
        <v>MAMPOSTERIA</v>
      </c>
      <c r="C9" s="885"/>
      <c r="D9" s="885"/>
      <c r="E9" s="851" t="s">
        <v>74</v>
      </c>
      <c r="F9" s="917" t="str">
        <f>'PRESUPUESTO OFICIAL (Entidad)'!D28</f>
        <v>ML</v>
      </c>
    </row>
    <row r="10" spans="1:14" ht="29.25" customHeight="1" x14ac:dyDescent="0.3">
      <c r="A10" s="915" t="s">
        <v>75</v>
      </c>
      <c r="B10" s="922" t="str">
        <f>'PRESUPUESTO OFICIAL (Entidad)'!C28</f>
        <v>Construccion de Mesón en concreto 3000 psi, a=0,60, e=0.10 enchapado, inc. Acero (1Ø1/2"c.015 ambos sentidos).</v>
      </c>
      <c r="C10" s="922"/>
      <c r="D10" s="922"/>
      <c r="E10" s="851"/>
      <c r="F10" s="917"/>
    </row>
    <row r="11" spans="1:14" x14ac:dyDescent="0.3">
      <c r="A11" s="915"/>
      <c r="B11" s="210" t="s">
        <v>171</v>
      </c>
      <c r="C11" s="210" t="s">
        <v>1200</v>
      </c>
      <c r="D11" s="210"/>
      <c r="E11" s="210"/>
      <c r="F11" s="210"/>
    </row>
    <row r="12" spans="1:14" ht="16.2" thickBot="1" x14ac:dyDescent="0.35">
      <c r="A12" s="103"/>
      <c r="B12" s="103"/>
      <c r="C12" s="103"/>
      <c r="D12" s="103"/>
      <c r="E12" s="103"/>
      <c r="F12" s="153"/>
    </row>
    <row r="13" spans="1:14" x14ac:dyDescent="0.3">
      <c r="A13" s="888" t="s">
        <v>76</v>
      </c>
      <c r="B13" s="889"/>
      <c r="C13" s="889"/>
      <c r="D13" s="889"/>
      <c r="E13" s="889"/>
      <c r="F13" s="890"/>
      <c r="H13" s="34"/>
      <c r="I13" s="34"/>
      <c r="J13" s="34"/>
      <c r="K13" s="34"/>
      <c r="L13" s="34"/>
      <c r="M13" s="34"/>
      <c r="N13" s="34"/>
    </row>
    <row r="14" spans="1:14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1"/>
      <c r="I14" s="1"/>
      <c r="J14" s="1"/>
      <c r="K14" s="1"/>
      <c r="L14" s="1"/>
      <c r="M14" s="1"/>
      <c r="N14" s="1"/>
    </row>
    <row r="15" spans="1:14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130420.08</v>
      </c>
      <c r="F15" s="186">
        <f t="shared" ref="F15:F19" si="0">D15*E15</f>
        <v>6521.0040000000008</v>
      </c>
    </row>
    <row r="16" spans="1:14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6521.0040000000008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34"/>
      <c r="I22" s="34"/>
      <c r="J22" s="34"/>
      <c r="K22" s="34"/>
      <c r="L22" s="34"/>
      <c r="M22" s="34"/>
      <c r="N22" s="34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1"/>
      <c r="I23" s="1"/>
      <c r="J23" s="1"/>
      <c r="K23" s="1"/>
      <c r="L23" s="1"/>
      <c r="M23" s="1"/>
      <c r="N23" s="1"/>
    </row>
    <row r="24" spans="1:15" ht="13.5" customHeight="1" x14ac:dyDescent="0.3">
      <c r="A24" s="903" t="s">
        <v>416</v>
      </c>
      <c r="B24" s="904"/>
      <c r="C24" s="156" t="s">
        <v>9</v>
      </c>
      <c r="D24" s="248">
        <v>0.06</v>
      </c>
      <c r="E24" s="213">
        <f>MAT!E25</f>
        <v>607218</v>
      </c>
      <c r="F24" s="167">
        <f>D24*E24</f>
        <v>36433.08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  <c r="N24" s="103"/>
    </row>
    <row r="25" spans="1:15" ht="13.5" customHeight="1" x14ac:dyDescent="0.3">
      <c r="A25" s="903" t="s">
        <v>612</v>
      </c>
      <c r="B25" s="904"/>
      <c r="C25" s="156" t="s">
        <v>111</v>
      </c>
      <c r="D25" s="165">
        <f>M25</f>
        <v>12.5244</v>
      </c>
      <c r="E25" s="213">
        <f>MAT!E139</f>
        <v>4618.0555555555557</v>
      </c>
      <c r="F25" s="167">
        <f t="shared" ref="F25:F31" si="1">D25*E25</f>
        <v>57838.375</v>
      </c>
      <c r="H25" s="28" t="s">
        <v>518</v>
      </c>
      <c r="I25" s="249">
        <v>1</v>
      </c>
      <c r="J25" s="28">
        <v>12</v>
      </c>
      <c r="K25" s="28">
        <v>0.99399999999999999</v>
      </c>
      <c r="L25" s="28">
        <f>I25*J25*K25</f>
        <v>11.928000000000001</v>
      </c>
      <c r="M25" s="249">
        <f>(L25*0.05)+L25</f>
        <v>12.5244</v>
      </c>
      <c r="N25" s="214"/>
      <c r="O25" s="214"/>
    </row>
    <row r="26" spans="1:15" ht="13.5" customHeight="1" x14ac:dyDescent="0.3">
      <c r="A26" s="903" t="s">
        <v>517</v>
      </c>
      <c r="B26" s="904"/>
      <c r="C26" s="156" t="s">
        <v>111</v>
      </c>
      <c r="D26" s="165">
        <v>0.26</v>
      </c>
      <c r="E26" s="213">
        <f>MAT!E41</f>
        <v>6894.1166666666659</v>
      </c>
      <c r="F26" s="167">
        <f t="shared" si="1"/>
        <v>1792.4703333333332</v>
      </c>
      <c r="H26" s="28"/>
      <c r="I26" s="28"/>
      <c r="J26" s="28"/>
      <c r="K26" s="28"/>
      <c r="L26" s="28"/>
      <c r="M26" s="28"/>
    </row>
    <row r="27" spans="1:15" ht="13.5" customHeight="1" x14ac:dyDescent="0.3">
      <c r="A27" s="903" t="s">
        <v>514</v>
      </c>
      <c r="B27" s="904"/>
      <c r="C27" s="156" t="s">
        <v>9</v>
      </c>
      <c r="D27" s="165">
        <v>0.02</v>
      </c>
      <c r="E27" s="213">
        <f>MAT!E31</f>
        <v>442836</v>
      </c>
      <c r="F27" s="167">
        <f t="shared" si="1"/>
        <v>8856.7199999999993</v>
      </c>
      <c r="I27" s="214"/>
      <c r="K27" s="103"/>
    </row>
    <row r="28" spans="1:15" ht="15" customHeight="1" x14ac:dyDescent="0.3">
      <c r="A28" s="903" t="s">
        <v>508</v>
      </c>
      <c r="B28" s="904"/>
      <c r="C28" s="156" t="s">
        <v>8</v>
      </c>
      <c r="D28" s="165">
        <v>0.1</v>
      </c>
      <c r="E28" s="213">
        <f>MAT!E81</f>
        <v>35900</v>
      </c>
      <c r="F28" s="167">
        <f t="shared" si="1"/>
        <v>3590</v>
      </c>
      <c r="K28" s="10"/>
    </row>
    <row r="29" spans="1:15" x14ac:dyDescent="0.3">
      <c r="A29" s="903" t="s">
        <v>404</v>
      </c>
      <c r="B29" s="904"/>
      <c r="C29" s="156" t="s">
        <v>111</v>
      </c>
      <c r="D29" s="165">
        <v>1</v>
      </c>
      <c r="E29" s="213">
        <f>MAT!E61</f>
        <v>3000</v>
      </c>
      <c r="F29" s="167">
        <f t="shared" si="1"/>
        <v>3000</v>
      </c>
      <c r="K29" s="217"/>
    </row>
    <row r="30" spans="1:15" x14ac:dyDescent="0.3">
      <c r="A30" s="903" t="s">
        <v>718</v>
      </c>
      <c r="B30" s="904"/>
      <c r="C30" s="156" t="s">
        <v>8</v>
      </c>
      <c r="D30" s="165">
        <v>0.75</v>
      </c>
      <c r="E30" s="213">
        <f>MAT!E62</f>
        <v>59500</v>
      </c>
      <c r="F30" s="167">
        <f t="shared" si="1"/>
        <v>44625</v>
      </c>
    </row>
    <row r="31" spans="1:15" ht="16.2" thickBot="1" x14ac:dyDescent="0.35">
      <c r="A31" s="905" t="s">
        <v>519</v>
      </c>
      <c r="B31" s="906"/>
      <c r="C31" s="178" t="s">
        <v>19</v>
      </c>
      <c r="D31" s="178">
        <v>1.8</v>
      </c>
      <c r="E31" s="251">
        <f>MAT!E76</f>
        <v>4900</v>
      </c>
      <c r="F31" s="179">
        <f t="shared" si="1"/>
        <v>8820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164955.64533333335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3.39</v>
      </c>
      <c r="F42" s="167">
        <f>D42*E42</f>
        <v>130420.08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130420.08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301897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965D-E899-45E8-A3AB-E2BABF1C9F0B}">
  <sheetPr codeName="Hoja18">
    <tabColor rgb="FFFFFF00"/>
  </sheetPr>
  <dimension ref="A1:O53"/>
  <sheetViews>
    <sheetView view="pageBreakPreview" topLeftCell="A34" zoomScale="70" zoomScaleNormal="100" zoomScaleSheetLayoutView="70" workbookViewId="0">
      <selection activeCell="H47" sqref="H47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(Entidad)'!C26</f>
        <v>MAMPOSTERIA</v>
      </c>
      <c r="C9" s="885"/>
      <c r="D9" s="885"/>
      <c r="E9" s="851" t="s">
        <v>74</v>
      </c>
      <c r="F9" s="917" t="str">
        <f>'PRESUPUESTO OFICIAL (Entidad)'!D29</f>
        <v>ML</v>
      </c>
    </row>
    <row r="10" spans="1:6" ht="45.75" customHeight="1" x14ac:dyDescent="0.3">
      <c r="A10" s="915" t="s">
        <v>75</v>
      </c>
      <c r="B10" s="922" t="str">
        <f>'PRESUPUESTO OFICIAL (Entidad)'!C29</f>
        <v>Construccion de Alfajía en Concreto 3000 PSI, E= 0.15X0.25 MTS – Incluye: Acero de refuerzo de 60000 PSI (2Ø3/8" refuerzo y E=Ø1/4" c. 0,35 m).</v>
      </c>
      <c r="C10" s="922"/>
      <c r="D10" s="922"/>
      <c r="E10" s="851"/>
      <c r="F10" s="917"/>
    </row>
    <row r="11" spans="1:6" x14ac:dyDescent="0.3">
      <c r="A11" s="915"/>
      <c r="B11" s="210" t="s">
        <v>351</v>
      </c>
      <c r="C11" s="210" t="s">
        <v>912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53860.799999999996</v>
      </c>
      <c r="F15" s="186">
        <f t="shared" ref="F15:F19" si="0">D15*E15</f>
        <v>2693.04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2693.04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03" t="s">
        <v>416</v>
      </c>
      <c r="B24" s="904"/>
      <c r="C24" s="156" t="s">
        <v>9</v>
      </c>
      <c r="D24" s="253">
        <f>0.15*0.25</f>
        <v>3.7499999999999999E-2</v>
      </c>
      <c r="E24" s="213">
        <f>MAT!E25</f>
        <v>607218</v>
      </c>
      <c r="F24" s="167">
        <f>D24*E24</f>
        <v>22770.674999999999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  <c r="N24" s="103"/>
    </row>
    <row r="25" spans="1:15" x14ac:dyDescent="0.3">
      <c r="A25" s="903" t="s">
        <v>696</v>
      </c>
      <c r="B25" s="904"/>
      <c r="C25" s="156" t="s">
        <v>111</v>
      </c>
      <c r="D25" s="165">
        <f>M25</f>
        <v>1.1648000000000001</v>
      </c>
      <c r="E25" s="213">
        <f>MAT!E141</f>
        <v>2685.7491666666665</v>
      </c>
      <c r="F25" s="167">
        <f>D25*E25</f>
        <v>3128.3606293333332</v>
      </c>
      <c r="H25" s="28" t="s">
        <v>109</v>
      </c>
      <c r="I25" s="249">
        <v>1</v>
      </c>
      <c r="J25" s="28">
        <v>2</v>
      </c>
      <c r="K25" s="28">
        <v>0.56000000000000005</v>
      </c>
      <c r="L25" s="28">
        <f>I25*J25*K25</f>
        <v>1.1200000000000001</v>
      </c>
      <c r="M25" s="249">
        <f>(L25*0.04)+L25</f>
        <v>1.1648000000000001</v>
      </c>
      <c r="N25" s="214"/>
      <c r="O25" s="214"/>
    </row>
    <row r="26" spans="1:15" x14ac:dyDescent="0.3">
      <c r="A26" s="972" t="s">
        <v>719</v>
      </c>
      <c r="B26" s="972"/>
      <c r="C26" s="156" t="s">
        <v>111</v>
      </c>
      <c r="D26" s="50">
        <f>L26</f>
        <v>0.26249999999999996</v>
      </c>
      <c r="E26" s="213">
        <f>MAT!E140</f>
        <v>1458.3333333333335</v>
      </c>
      <c r="F26" s="167">
        <f t="shared" ref="F26:F28" si="1">D26*E26</f>
        <v>382.8125</v>
      </c>
      <c r="H26" s="28" t="s">
        <v>110</v>
      </c>
      <c r="I26" s="28">
        <v>0.35</v>
      </c>
      <c r="J26" s="28">
        <v>3</v>
      </c>
      <c r="K26" s="28">
        <v>0.25</v>
      </c>
      <c r="L26" s="28">
        <f>I26*J26*K26</f>
        <v>0.26249999999999996</v>
      </c>
      <c r="M26" s="28"/>
    </row>
    <row r="27" spans="1:15" ht="15.75" customHeight="1" x14ac:dyDescent="0.3">
      <c r="A27" s="903" t="s">
        <v>517</v>
      </c>
      <c r="B27" s="904"/>
      <c r="C27" s="156" t="s">
        <v>111</v>
      </c>
      <c r="D27" s="165">
        <v>0.03</v>
      </c>
      <c r="E27" s="213">
        <f>MAT!E41</f>
        <v>6894.1166666666659</v>
      </c>
      <c r="F27" s="167">
        <f t="shared" si="1"/>
        <v>206.82349999999997</v>
      </c>
      <c r="L27" s="252">
        <f>M25+L26</f>
        <v>1.4273</v>
      </c>
    </row>
    <row r="28" spans="1:15" ht="15" customHeight="1" x14ac:dyDescent="0.3">
      <c r="A28" s="903" t="s">
        <v>508</v>
      </c>
      <c r="B28" s="904"/>
      <c r="C28" s="156" t="s">
        <v>8</v>
      </c>
      <c r="D28" s="165">
        <v>0.06</v>
      </c>
      <c r="E28" s="213">
        <f>MAT!E81</f>
        <v>35900</v>
      </c>
      <c r="F28" s="167">
        <f t="shared" si="1"/>
        <v>2154</v>
      </c>
      <c r="I28" s="214"/>
      <c r="K28" s="103"/>
    </row>
    <row r="29" spans="1:15" x14ac:dyDescent="0.3">
      <c r="A29" s="970"/>
      <c r="B29" s="971"/>
      <c r="C29" s="52"/>
      <c r="D29" s="52"/>
      <c r="E29" s="52"/>
      <c r="F29" s="167">
        <f t="shared" ref="F29:F30" si="2">D30*E30</f>
        <v>0</v>
      </c>
      <c r="K29" s="10"/>
    </row>
    <row r="30" spans="1:15" x14ac:dyDescent="0.3">
      <c r="A30" s="970"/>
      <c r="B30" s="971"/>
      <c r="C30" s="52"/>
      <c r="D30" s="52"/>
      <c r="E30" s="52"/>
      <c r="F30" s="167">
        <f t="shared" si="2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28642.67162933333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1.4</v>
      </c>
      <c r="F42" s="167">
        <f>D42*E42</f>
        <v>53860.799999999996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53860.799999999996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85197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26:B26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13995-F0F2-469B-B900-9B6FFE0A833E}">
  <sheetPr codeName="Hoja19">
    <tabColor rgb="FFFFFF00"/>
  </sheetPr>
  <dimension ref="A1:O53"/>
  <sheetViews>
    <sheetView view="pageBreakPreview" topLeftCell="A22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(Entidad)'!C30</f>
        <v>ESTRUCTURA</v>
      </c>
      <c r="C9" s="885"/>
      <c r="D9" s="885"/>
      <c r="E9" s="851" t="s">
        <v>74</v>
      </c>
      <c r="F9" s="917" t="str">
        <f>'PRESUPUESTO OFICIAL (Entidad)'!D31</f>
        <v>ML</v>
      </c>
    </row>
    <row r="10" spans="1:6" ht="45.75" customHeight="1" x14ac:dyDescent="0.3">
      <c r="A10" s="915" t="s">
        <v>75</v>
      </c>
      <c r="B10" s="922" t="str">
        <f>'PRESUPUESTO OFICIAL (Entidad)'!C31</f>
        <v>Viga aérea en concreto de 3000 PSI. (0,30*0,30mts).  Incluye acero de refuerzo   fy= 60000 PSI. (4Ø5/8" refuerzo y E=Ø3/8" c./d. 0,10 mts).</v>
      </c>
      <c r="C10" s="922"/>
      <c r="D10" s="922"/>
      <c r="E10" s="851"/>
      <c r="F10" s="917"/>
    </row>
    <row r="11" spans="1:6" x14ac:dyDescent="0.3">
      <c r="A11" s="915"/>
      <c r="B11" s="210" t="s">
        <v>172</v>
      </c>
      <c r="C11" s="210" t="s">
        <v>905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53860.799999999996</v>
      </c>
      <c r="F15" s="186">
        <f t="shared" ref="F15:F19" si="0">D15*E15</f>
        <v>2693.04</v>
      </c>
    </row>
    <row r="16" spans="1:6" x14ac:dyDescent="0.3">
      <c r="A16" s="893" t="s">
        <v>399</v>
      </c>
      <c r="B16" s="894"/>
      <c r="C16" s="158" t="s">
        <v>639</v>
      </c>
      <c r="D16" s="158">
        <v>0.03</v>
      </c>
      <c r="E16" s="185">
        <f>EQ!F21</f>
        <v>50000</v>
      </c>
      <c r="F16" s="186">
        <f t="shared" si="0"/>
        <v>1500</v>
      </c>
    </row>
    <row r="17" spans="1:15" x14ac:dyDescent="0.3">
      <c r="A17" s="893" t="s">
        <v>515</v>
      </c>
      <c r="B17" s="894"/>
      <c r="C17" s="158" t="s">
        <v>69</v>
      </c>
      <c r="D17" s="158">
        <v>1.4</v>
      </c>
      <c r="E17" s="185">
        <f>EQ!F14</f>
        <v>3000</v>
      </c>
      <c r="F17" s="186">
        <f t="shared" si="0"/>
        <v>4200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8393.0400000000009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1"/>
      <c r="I23" s="1"/>
      <c r="J23" s="1"/>
      <c r="K23" s="1"/>
      <c r="L23" s="1"/>
      <c r="M23" s="1"/>
      <c r="N23" s="1"/>
    </row>
    <row r="24" spans="1:15" ht="15" customHeight="1" x14ac:dyDescent="0.3">
      <c r="A24" s="911" t="s">
        <v>416</v>
      </c>
      <c r="B24" s="912"/>
      <c r="C24" s="156" t="s">
        <v>9</v>
      </c>
      <c r="D24" s="248">
        <f>0.3*0.3</f>
        <v>0.09</v>
      </c>
      <c r="E24" s="213">
        <f>MAT!E25</f>
        <v>607218</v>
      </c>
      <c r="F24" s="167">
        <f>D24*E24</f>
        <v>54649.619999999995</v>
      </c>
      <c r="H24" s="34"/>
      <c r="I24" s="34"/>
      <c r="J24" s="34"/>
      <c r="K24" s="34"/>
      <c r="L24" s="34"/>
      <c r="M24" s="34"/>
      <c r="N24" s="34"/>
    </row>
    <row r="25" spans="1:15" x14ac:dyDescent="0.3">
      <c r="A25" s="903" t="s">
        <v>508</v>
      </c>
      <c r="B25" s="904"/>
      <c r="C25" s="156" t="s">
        <v>8</v>
      </c>
      <c r="D25" s="165">
        <v>0.16</v>
      </c>
      <c r="E25" s="213">
        <f>MAT!E81</f>
        <v>35900</v>
      </c>
      <c r="F25" s="167">
        <f t="shared" ref="F25:F30" si="1">D25*E25</f>
        <v>5744</v>
      </c>
      <c r="I25" s="103" t="s">
        <v>18</v>
      </c>
      <c r="J25" s="103" t="s">
        <v>12</v>
      </c>
      <c r="K25" s="103" t="s">
        <v>112</v>
      </c>
      <c r="L25" s="103" t="s">
        <v>111</v>
      </c>
      <c r="M25" s="103" t="s">
        <v>113</v>
      </c>
      <c r="O25" s="214"/>
    </row>
    <row r="26" spans="1:15" ht="15" customHeight="1" x14ac:dyDescent="0.3">
      <c r="A26" s="903" t="s">
        <v>695</v>
      </c>
      <c r="B26" s="904"/>
      <c r="C26" s="156" t="s">
        <v>111</v>
      </c>
      <c r="D26" s="165">
        <f>M26</f>
        <v>6.6115200000000005</v>
      </c>
      <c r="E26" s="213">
        <f>MAT!E142</f>
        <v>7238.8888888888896</v>
      </c>
      <c r="F26" s="167">
        <f>D26*E26</f>
        <v>47860.058666666679</v>
      </c>
      <c r="H26" s="28" t="s">
        <v>510</v>
      </c>
      <c r="I26" s="249">
        <v>1</v>
      </c>
      <c r="J26" s="28">
        <f>1*4</f>
        <v>4</v>
      </c>
      <c r="K26" s="28">
        <v>1.552</v>
      </c>
      <c r="L26" s="28">
        <f>I26*J26*K26</f>
        <v>6.2080000000000002</v>
      </c>
      <c r="M26" s="249">
        <f>(L26*0.065)+L26</f>
        <v>6.6115200000000005</v>
      </c>
      <c r="N26" s="214"/>
    </row>
    <row r="27" spans="1:15" ht="15.75" customHeight="1" x14ac:dyDescent="0.3">
      <c r="A27" s="903" t="s">
        <v>696</v>
      </c>
      <c r="B27" s="904"/>
      <c r="C27" s="156" t="s">
        <v>111</v>
      </c>
      <c r="D27" s="165">
        <f>L27</f>
        <v>6.9440000000000008</v>
      </c>
      <c r="E27" s="213">
        <f>MAT!E141</f>
        <v>2685.7491666666665</v>
      </c>
      <c r="F27" s="167">
        <f>D27*E27</f>
        <v>18649.842213333333</v>
      </c>
      <c r="H27" s="28" t="s">
        <v>109</v>
      </c>
      <c r="I27" s="28">
        <v>1.24</v>
      </c>
      <c r="J27" s="28">
        <f>1/0.1</f>
        <v>10</v>
      </c>
      <c r="K27" s="28">
        <v>0.56000000000000005</v>
      </c>
      <c r="L27" s="28">
        <f>I27*J27*K27</f>
        <v>6.9440000000000008</v>
      </c>
      <c r="M27" s="28"/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I29" s="214"/>
      <c r="K29" s="103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10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  <c r="K31" s="217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126903.52088000001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1.4</v>
      </c>
      <c r="F42" s="167">
        <f>D42*E42</f>
        <v>53860.799999999996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53860.799999999996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189157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53:B53"/>
    <mergeCell ref="D53:F53"/>
    <mergeCell ref="A34:F34"/>
    <mergeCell ref="A38:E38"/>
    <mergeCell ref="A40:F40"/>
    <mergeCell ref="A46:E46"/>
    <mergeCell ref="A48:E48"/>
    <mergeCell ref="A41:B41"/>
    <mergeCell ref="A42:B42"/>
    <mergeCell ref="A43:B43"/>
    <mergeCell ref="A44:B44"/>
    <mergeCell ref="A45:B45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7:F7"/>
    <mergeCell ref="A6:F6"/>
    <mergeCell ref="A1:F5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2AEA1-51E7-45D8-8C78-8F1896FD6D5B}">
  <sheetPr codeName="Hoja20"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(Entidad)'!C30</f>
        <v>ESTRUCTURA</v>
      </c>
      <c r="C9" s="885"/>
      <c r="D9" s="885"/>
      <c r="E9" s="851" t="s">
        <v>74</v>
      </c>
      <c r="F9" s="917" t="str">
        <f>'PRESUPUESTO OFICIAL (Entidad)'!D32</f>
        <v>ML</v>
      </c>
    </row>
    <row r="10" spans="1:6" ht="45.75" customHeight="1" x14ac:dyDescent="0.3">
      <c r="A10" s="915" t="s">
        <v>75</v>
      </c>
      <c r="B10" s="922" t="str">
        <f>'PRESUPUESTO OFICIAL (Entidad)'!C32</f>
        <v>Columna en concreto de 3000 PSI (0.30x0.30mts).  Incluye acero de refuerzo de 60000 PSI (6Ø5/8",  refuerzo y E=Ø3/8" c./d. 0,10 mts Y 0,15 mts).</v>
      </c>
      <c r="C10" s="922"/>
      <c r="D10" s="922"/>
      <c r="E10" s="851"/>
      <c r="F10" s="917"/>
    </row>
    <row r="11" spans="1:6" x14ac:dyDescent="0.3">
      <c r="A11" s="915"/>
      <c r="B11" s="210" t="s">
        <v>173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x14ac:dyDescent="0.3">
      <c r="A16" s="893" t="s">
        <v>399</v>
      </c>
      <c r="B16" s="894"/>
      <c r="C16" s="158" t="s">
        <v>43</v>
      </c>
      <c r="D16" s="158">
        <v>0.02</v>
      </c>
      <c r="E16" s="185">
        <f>EQ!F21</f>
        <v>50000</v>
      </c>
      <c r="F16" s="186">
        <f t="shared" si="0"/>
        <v>1000</v>
      </c>
    </row>
    <row r="17" spans="1:15" x14ac:dyDescent="0.3">
      <c r="A17" s="893" t="s">
        <v>515</v>
      </c>
      <c r="B17" s="894"/>
      <c r="C17" s="158" t="s">
        <v>69</v>
      </c>
      <c r="D17" s="158">
        <v>1.4</v>
      </c>
      <c r="E17" s="185">
        <f>EQ!F14</f>
        <v>3000</v>
      </c>
      <c r="F17" s="186">
        <f t="shared" si="0"/>
        <v>4200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7508.32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0.3*0.3</f>
        <v>0.09</v>
      </c>
      <c r="E24" s="213">
        <f>MAT!E25</f>
        <v>607218</v>
      </c>
      <c r="F24" s="167">
        <f>D24*E24</f>
        <v>54649.619999999995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</row>
    <row r="25" spans="1:15" x14ac:dyDescent="0.3">
      <c r="A25" s="903" t="s">
        <v>508</v>
      </c>
      <c r="B25" s="904"/>
      <c r="C25" s="156" t="s">
        <v>8</v>
      </c>
      <c r="D25" s="165">
        <v>0.18</v>
      </c>
      <c r="E25" s="213">
        <f>MAT!E81</f>
        <v>35900</v>
      </c>
      <c r="F25" s="167">
        <f t="shared" ref="F25:F30" si="1">D25*E25</f>
        <v>6462</v>
      </c>
      <c r="H25" s="28" t="s">
        <v>510</v>
      </c>
      <c r="I25" s="249">
        <v>1</v>
      </c>
      <c r="J25" s="28">
        <v>6</v>
      </c>
      <c r="K25" s="28">
        <v>1.552</v>
      </c>
      <c r="L25" s="28">
        <f>I25*J25*K25</f>
        <v>9.3120000000000012</v>
      </c>
      <c r="M25" s="249">
        <f>(L25*0.065)+L25</f>
        <v>9.9172800000000016</v>
      </c>
      <c r="N25" s="214"/>
      <c r="O25" s="214"/>
    </row>
    <row r="26" spans="1:15" ht="15" customHeight="1" x14ac:dyDescent="0.3">
      <c r="A26" s="903" t="s">
        <v>695</v>
      </c>
      <c r="B26" s="904"/>
      <c r="C26" s="156" t="s">
        <v>111</v>
      </c>
      <c r="D26" s="165">
        <f>M25</f>
        <v>9.9172800000000016</v>
      </c>
      <c r="E26" s="213">
        <f>MAT!E142</f>
        <v>7238.8888888888896</v>
      </c>
      <c r="F26" s="167">
        <f>D26*E26</f>
        <v>71790.088000000018</v>
      </c>
      <c r="H26" s="28" t="s">
        <v>109</v>
      </c>
      <c r="I26" s="28">
        <v>1.1200000000000001</v>
      </c>
      <c r="J26" s="28">
        <f>1/0.1</f>
        <v>10</v>
      </c>
      <c r="K26" s="28">
        <v>0.56000000000000005</v>
      </c>
      <c r="L26" s="28">
        <f>I26*J26*K26</f>
        <v>6.2720000000000011</v>
      </c>
      <c r="M26" s="28"/>
    </row>
    <row r="27" spans="1:15" ht="15.75" customHeight="1" x14ac:dyDescent="0.3">
      <c r="A27" s="903" t="s">
        <v>696</v>
      </c>
      <c r="B27" s="904"/>
      <c r="C27" s="156" t="s">
        <v>111</v>
      </c>
      <c r="D27" s="165">
        <f>L26</f>
        <v>6.2720000000000011</v>
      </c>
      <c r="E27" s="213">
        <f>MAT!E141</f>
        <v>2685.7491666666665</v>
      </c>
      <c r="F27" s="167">
        <f>D27*E27</f>
        <v>16845.018773333337</v>
      </c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149746.72677333336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203421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0" orientation="portrait" r:id="rId1"/>
  <colBreaks count="1" manualBreakCount="1">
    <brk id="6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02616-5548-4999-BAEC-219B82DAD2D2}">
  <sheetPr codeName="Hoja21">
    <tabColor rgb="FFFFFF00"/>
  </sheetPr>
  <dimension ref="A1:O53"/>
  <sheetViews>
    <sheetView view="pageBreakPreview" topLeftCell="A37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(Entidad)'!C30</f>
        <v>ESTRUCTURA</v>
      </c>
      <c r="C9" s="885"/>
      <c r="D9" s="885"/>
      <c r="E9" s="851" t="s">
        <v>74</v>
      </c>
      <c r="F9" s="917" t="str">
        <f>'PRESUPUESTO OFICIAL (Entidad)'!D33</f>
        <v>ML</v>
      </c>
    </row>
    <row r="10" spans="1:6" ht="45.75" customHeight="1" x14ac:dyDescent="0.3">
      <c r="A10" s="915" t="s">
        <v>75</v>
      </c>
      <c r="B10" s="922" t="str">
        <f>'PRESUPUESTO OFICIAL (Entidad)'!C33</f>
        <v>Columna de confinamiento (0,20x0,15mts) en concreto de 3000 PSI. Incluye refuerzo  de 6000 PSI ( 4Ø 1/2" refuerzo y E=Ø 1/4" c./d. 0,10 mts).</v>
      </c>
      <c r="C10" s="922"/>
      <c r="D10" s="922"/>
      <c r="E10" s="851"/>
      <c r="F10" s="917"/>
    </row>
    <row r="11" spans="1:6" x14ac:dyDescent="0.3">
      <c r="A11" s="915"/>
      <c r="B11" s="210" t="s">
        <v>174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x14ac:dyDescent="0.3">
      <c r="A16" s="893" t="s">
        <v>399</v>
      </c>
      <c r="B16" s="894"/>
      <c r="C16" s="158" t="s">
        <v>69</v>
      </c>
      <c r="D16" s="158">
        <v>0.02</v>
      </c>
      <c r="E16" s="185">
        <f>EQ!F21</f>
        <v>50000</v>
      </c>
      <c r="F16" s="186">
        <f t="shared" si="0"/>
        <v>1000</v>
      </c>
    </row>
    <row r="17" spans="1:15" x14ac:dyDescent="0.3">
      <c r="A17" s="893" t="s">
        <v>515</v>
      </c>
      <c r="B17" s="894"/>
      <c r="C17" s="158" t="s">
        <v>69</v>
      </c>
      <c r="D17" s="158">
        <v>0.5</v>
      </c>
      <c r="E17" s="185">
        <f>EQ!F14</f>
        <v>3000</v>
      </c>
      <c r="F17" s="186">
        <f t="shared" si="0"/>
        <v>1500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4423.6000000000004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0.2*0.15</f>
        <v>0.03</v>
      </c>
      <c r="E24" s="213">
        <f>MAT!E25</f>
        <v>607218</v>
      </c>
      <c r="F24" s="167">
        <f>D24*E24</f>
        <v>18216.54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</row>
    <row r="25" spans="1:15" x14ac:dyDescent="0.3">
      <c r="A25" s="903" t="s">
        <v>721</v>
      </c>
      <c r="B25" s="904"/>
      <c r="C25" s="156" t="s">
        <v>111</v>
      </c>
      <c r="D25" s="253">
        <f>M25</f>
        <v>4.1748000000000003</v>
      </c>
      <c r="E25" s="213">
        <f>MAT!E139</f>
        <v>4618.0555555555557</v>
      </c>
      <c r="F25" s="167">
        <f t="shared" ref="F25:F30" si="1">D25*E25</f>
        <v>19279.458333333336</v>
      </c>
      <c r="H25" s="28" t="s">
        <v>518</v>
      </c>
      <c r="I25" s="249">
        <v>1</v>
      </c>
      <c r="J25" s="28">
        <v>4</v>
      </c>
      <c r="K25" s="28">
        <v>0.99399999999999999</v>
      </c>
      <c r="L25" s="28">
        <f>I25*J25*K25</f>
        <v>3.976</v>
      </c>
      <c r="M25" s="249">
        <f>(L25*0.05)+L25</f>
        <v>4.1748000000000003</v>
      </c>
      <c r="N25" s="214"/>
      <c r="O25" s="214"/>
    </row>
    <row r="26" spans="1:15" ht="15" customHeight="1" x14ac:dyDescent="0.3">
      <c r="A26" s="903" t="s">
        <v>719</v>
      </c>
      <c r="B26" s="904"/>
      <c r="C26" s="156" t="s">
        <v>111</v>
      </c>
      <c r="D26" s="253">
        <f>L26</f>
        <v>1.85</v>
      </c>
      <c r="E26" s="213">
        <f>MAT!E140</f>
        <v>1458.3333333333335</v>
      </c>
      <c r="F26" s="167">
        <f>D26*E26</f>
        <v>2697.916666666667</v>
      </c>
      <c r="H26" s="28" t="s">
        <v>110</v>
      </c>
      <c r="I26" s="28">
        <v>0.74</v>
      </c>
      <c r="J26" s="28">
        <f>1/0.1</f>
        <v>10</v>
      </c>
      <c r="K26" s="28">
        <v>0.25</v>
      </c>
      <c r="L26" s="28">
        <f>I26*J26*K26</f>
        <v>1.85</v>
      </c>
      <c r="M26" s="28"/>
    </row>
    <row r="27" spans="1:15" ht="15.75" customHeight="1" x14ac:dyDescent="0.3">
      <c r="A27" s="903" t="s">
        <v>508</v>
      </c>
      <c r="B27" s="904"/>
      <c r="C27" s="156" t="s">
        <v>8</v>
      </c>
      <c r="D27" s="165">
        <v>0.12</v>
      </c>
      <c r="E27" s="213">
        <f>MAT!E81</f>
        <v>35900</v>
      </c>
      <c r="F27" s="167">
        <f>D27*E27</f>
        <v>4308</v>
      </c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44501.915000000001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87398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3F92-1BAE-45F1-AC34-797B50CD63DE}">
  <sheetPr codeName="Hoja22">
    <tabColor rgb="FFFFFF00"/>
  </sheetPr>
  <dimension ref="A1:O53"/>
  <sheetViews>
    <sheetView view="pageBreakPreview" topLeftCell="A22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(Entidad)'!C30</f>
        <v>ESTRUCTURA</v>
      </c>
      <c r="C9" s="885"/>
      <c r="D9" s="885"/>
      <c r="E9" s="851" t="s">
        <v>74</v>
      </c>
      <c r="F9" s="917" t="str">
        <f>'PRESUPUESTO OFICIAL (Entidad)'!D34</f>
        <v>ML</v>
      </c>
    </row>
    <row r="10" spans="1:6" ht="30.75" customHeight="1" x14ac:dyDescent="0.3">
      <c r="A10" s="915" t="s">
        <v>75</v>
      </c>
      <c r="B10" s="922" t="str">
        <f>'PRESUPUESTO OFICIAL (Entidad)'!C34</f>
        <v>Viga cinta en concreto 3000 PSI ( 0.10x0.20mts). Incluye acero (2Ø3/8" refuerzo y E=Ø1/4" c/d. 0,10mts).</v>
      </c>
      <c r="C10" s="922"/>
      <c r="D10" s="922"/>
      <c r="E10" s="851"/>
      <c r="F10" s="917"/>
    </row>
    <row r="11" spans="1:6" x14ac:dyDescent="0.3">
      <c r="A11" s="915"/>
      <c r="B11" s="210" t="s">
        <v>175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x14ac:dyDescent="0.3">
      <c r="A16" s="893" t="s">
        <v>515</v>
      </c>
      <c r="B16" s="894"/>
      <c r="C16" s="158" t="s">
        <v>69</v>
      </c>
      <c r="D16" s="158">
        <v>0.35</v>
      </c>
      <c r="E16" s="185">
        <f>EQ!F14</f>
        <v>3000</v>
      </c>
      <c r="F16" s="186">
        <f t="shared" si="0"/>
        <v>1050</v>
      </c>
    </row>
    <row r="17" spans="1:15" x14ac:dyDescent="0.3">
      <c r="A17" s="893"/>
      <c r="B17" s="894"/>
      <c r="C17" s="158"/>
      <c r="D17" s="158"/>
      <c r="E17" s="185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2973.6000000000004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0.1*0.2</f>
        <v>2.0000000000000004E-2</v>
      </c>
      <c r="E24" s="213">
        <f>MAT!E25</f>
        <v>607218</v>
      </c>
      <c r="F24" s="167">
        <f>D24*E24</f>
        <v>12144.360000000002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</row>
    <row r="25" spans="1:15" x14ac:dyDescent="0.3">
      <c r="A25" s="903" t="s">
        <v>696</v>
      </c>
      <c r="B25" s="904"/>
      <c r="C25" s="156" t="s">
        <v>111</v>
      </c>
      <c r="D25" s="253">
        <f>M25</f>
        <v>1.1648000000000001</v>
      </c>
      <c r="E25" s="213">
        <f>MAT!E141</f>
        <v>2685.7491666666665</v>
      </c>
      <c r="F25" s="167">
        <f t="shared" ref="F25:F30" si="1">D25*E25</f>
        <v>3128.3606293333332</v>
      </c>
      <c r="H25" s="28" t="s">
        <v>109</v>
      </c>
      <c r="I25" s="249">
        <v>1</v>
      </c>
      <c r="J25" s="28">
        <v>2</v>
      </c>
      <c r="K25" s="28">
        <v>0.56000000000000005</v>
      </c>
      <c r="L25" s="28">
        <f>I25*J25*K25</f>
        <v>1.1200000000000001</v>
      </c>
      <c r="M25" s="249">
        <f>(L25*0.04)+L25</f>
        <v>1.1648000000000001</v>
      </c>
      <c r="N25" s="214"/>
      <c r="O25" s="214"/>
    </row>
    <row r="26" spans="1:15" ht="15" customHeight="1" x14ac:dyDescent="0.3">
      <c r="A26" s="903" t="s">
        <v>719</v>
      </c>
      <c r="B26" s="904"/>
      <c r="C26" s="156" t="s">
        <v>111</v>
      </c>
      <c r="D26" s="253">
        <f>L26</f>
        <v>0.875</v>
      </c>
      <c r="E26" s="213">
        <f>MAT!E140</f>
        <v>1458.3333333333335</v>
      </c>
      <c r="F26" s="167">
        <f>D26*E26</f>
        <v>1276.0416666666667</v>
      </c>
      <c r="H26" s="28" t="s">
        <v>110</v>
      </c>
      <c r="I26" s="28">
        <v>0.35</v>
      </c>
      <c r="J26" s="28">
        <f>1/0.1</f>
        <v>10</v>
      </c>
      <c r="K26" s="28">
        <v>0.25</v>
      </c>
      <c r="L26" s="28">
        <f>I26*J26*K26</f>
        <v>0.875</v>
      </c>
      <c r="M26" s="28"/>
    </row>
    <row r="27" spans="1:15" ht="15.75" customHeight="1" x14ac:dyDescent="0.3">
      <c r="A27" s="903" t="s">
        <v>508</v>
      </c>
      <c r="B27" s="904"/>
      <c r="C27" s="156" t="s">
        <v>8</v>
      </c>
      <c r="D27" s="165">
        <v>0.1</v>
      </c>
      <c r="E27" s="213">
        <f>MAT!E81</f>
        <v>35900</v>
      </c>
      <c r="F27" s="167">
        <f>D27*E27</f>
        <v>3590</v>
      </c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20138.762296000004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x14ac:dyDescent="0.3">
      <c r="A43" s="883"/>
      <c r="B43" s="884"/>
      <c r="C43" s="176"/>
      <c r="D43" s="156"/>
      <c r="E43" s="156"/>
      <c r="F43" s="167">
        <f t="shared" ref="F43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ref="F44:F45" si="4">D44*E44</f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4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61584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D465C-8939-4D40-9B9F-FDFFA4B31E05}">
  <sheetPr codeName="Hoja23">
    <tabColor rgb="FFFFFF00"/>
  </sheetPr>
  <dimension ref="A1:O53"/>
  <sheetViews>
    <sheetView view="pageBreakPreview" topLeftCell="A29" zoomScale="70" zoomScaleNormal="100" zoomScaleSheetLayoutView="70" workbookViewId="0">
      <selection activeCell="D25" sqref="D25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(Entidad)'!C30</f>
        <v>ESTRUCTURA</v>
      </c>
      <c r="C9" s="885"/>
      <c r="D9" s="885"/>
      <c r="E9" s="851" t="s">
        <v>74</v>
      </c>
      <c r="F9" s="917" t="str">
        <f>'PRESUPUESTO OFICIAL (Entidad)'!D35</f>
        <v>M2</v>
      </c>
    </row>
    <row r="10" spans="1:6" ht="32.25" customHeight="1" x14ac:dyDescent="0.3">
      <c r="A10" s="915" t="s">
        <v>75</v>
      </c>
      <c r="B10" s="922" t="str">
        <f>'PRESUPUESTO OFICIAL (Entidad)'!C35</f>
        <v>Construccion de Placa aerea en concreto armado de 3000 psi e = 10 cm.</v>
      </c>
      <c r="C10" s="922"/>
      <c r="D10" s="922"/>
      <c r="E10" s="851"/>
      <c r="F10" s="917"/>
    </row>
    <row r="11" spans="1:6" x14ac:dyDescent="0.3">
      <c r="A11" s="915"/>
      <c r="B11" s="210" t="s">
        <v>354</v>
      </c>
      <c r="C11" s="210" t="s">
        <v>219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65402.400000000001</v>
      </c>
      <c r="F15" s="186">
        <f t="shared" ref="F15:F19" si="0">D15*E15</f>
        <v>3270.1200000000003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3270.1200000000003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1.2*1.2*0.15</f>
        <v>0.216</v>
      </c>
      <c r="E24" s="213">
        <f>MAT!E25</f>
        <v>607218</v>
      </c>
      <c r="F24" s="167">
        <f>D24*E24</f>
        <v>131159.08799999999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/>
    </row>
    <row r="25" spans="1:15" ht="15.75" customHeight="1" x14ac:dyDescent="0.3">
      <c r="A25" s="903" t="s">
        <v>721</v>
      </c>
      <c r="B25" s="904"/>
      <c r="C25" s="156" t="s">
        <v>111</v>
      </c>
      <c r="D25" s="253">
        <f>L25</f>
        <v>25.0488</v>
      </c>
      <c r="E25" s="213">
        <f>MAT!E139</f>
        <v>4618.0555555555557</v>
      </c>
      <c r="F25" s="167">
        <f t="shared" ref="F25" si="1">D25*E25</f>
        <v>115676.75</v>
      </c>
      <c r="H25" s="28" t="s">
        <v>518</v>
      </c>
      <c r="I25" s="249">
        <v>1.4</v>
      </c>
      <c r="J25" s="28">
        <v>18</v>
      </c>
      <c r="K25" s="28">
        <v>0.99399999999999999</v>
      </c>
      <c r="L25" s="28">
        <f>I25*J25*K25</f>
        <v>25.0488</v>
      </c>
      <c r="M25" s="249"/>
      <c r="N25" s="214"/>
      <c r="O25" s="214"/>
    </row>
    <row r="26" spans="1:15" x14ac:dyDescent="0.3">
      <c r="A26" s="903" t="s">
        <v>508</v>
      </c>
      <c r="B26" s="904"/>
      <c r="C26" s="156" t="s">
        <v>8</v>
      </c>
      <c r="D26" s="165">
        <v>0.5</v>
      </c>
      <c r="E26" s="213">
        <f>MAT!E81</f>
        <v>35900</v>
      </c>
      <c r="F26" s="167">
        <f t="shared" ref="F26:F31" si="2">D26*E26</f>
        <v>17950</v>
      </c>
    </row>
    <row r="27" spans="1:15" x14ac:dyDescent="0.3">
      <c r="A27" s="903"/>
      <c r="B27" s="904"/>
      <c r="C27" s="156"/>
      <c r="D27" s="165"/>
      <c r="E27" s="213"/>
      <c r="F27" s="167">
        <f t="shared" si="2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2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2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2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264785.83799999999</v>
      </c>
    </row>
    <row r="33" spans="1:12" ht="16.8" thickTop="1" thickBot="1" x14ac:dyDescent="0.35">
      <c r="A33" s="103"/>
      <c r="B33" s="103"/>
      <c r="C33" s="103"/>
      <c r="D33" s="103"/>
      <c r="E33" s="103"/>
      <c r="F33" s="153"/>
    </row>
    <row r="34" spans="1:12" x14ac:dyDescent="0.3">
      <c r="A34" s="895" t="s">
        <v>85</v>
      </c>
      <c r="B34" s="896"/>
      <c r="C34" s="896"/>
      <c r="D34" s="896"/>
      <c r="E34" s="896"/>
      <c r="F34" s="897"/>
    </row>
    <row r="35" spans="1:12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12" x14ac:dyDescent="0.3">
      <c r="A36" s="169"/>
      <c r="B36" s="111"/>
      <c r="C36" s="158"/>
      <c r="D36" s="158"/>
      <c r="E36" s="158"/>
      <c r="F36" s="186">
        <f>C36*D36*E36</f>
        <v>0</v>
      </c>
      <c r="J36" s="214"/>
      <c r="L36" s="103"/>
    </row>
    <row r="37" spans="1:12" ht="16.2" thickBot="1" x14ac:dyDescent="0.35">
      <c r="A37" s="171"/>
      <c r="B37" s="197"/>
      <c r="C37" s="163"/>
      <c r="D37" s="163"/>
      <c r="E37" s="163"/>
      <c r="F37" s="190">
        <f>C37*D37*E37</f>
        <v>0</v>
      </c>
      <c r="J37" s="149"/>
    </row>
    <row r="38" spans="1:12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J38" s="214"/>
    </row>
    <row r="39" spans="1:12" ht="16.8" thickTop="1" thickBot="1" x14ac:dyDescent="0.35">
      <c r="A39" s="103"/>
      <c r="B39" s="103"/>
      <c r="C39" s="103"/>
      <c r="D39" s="103"/>
      <c r="E39" s="103"/>
      <c r="F39" s="153"/>
    </row>
    <row r="40" spans="1:12" x14ac:dyDescent="0.3">
      <c r="A40" s="895" t="s">
        <v>91</v>
      </c>
      <c r="B40" s="896"/>
      <c r="C40" s="896"/>
      <c r="D40" s="896"/>
      <c r="E40" s="896"/>
      <c r="F40" s="897"/>
      <c r="L40" s="10"/>
    </row>
    <row r="41" spans="1:12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L41" s="217"/>
    </row>
    <row r="42" spans="1:12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1.7</v>
      </c>
      <c r="F42" s="167">
        <f>D42*E42</f>
        <v>65402.400000000001</v>
      </c>
    </row>
    <row r="43" spans="1:12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12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12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12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65402.400000000001</v>
      </c>
    </row>
    <row r="47" spans="1:12" ht="16.2" thickTop="1" x14ac:dyDescent="0.3">
      <c r="A47" s="103"/>
      <c r="B47" s="103"/>
      <c r="C47" s="103"/>
      <c r="D47" s="103"/>
      <c r="E47" s="103"/>
      <c r="F47" s="153"/>
    </row>
    <row r="48" spans="1:12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333458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BF8E5-C334-4EC9-970D-744F0413F752}">
  <sheetPr codeName="Hoja24">
    <tabColor rgb="FFFFFF00"/>
  </sheetPr>
  <dimension ref="A1:O53"/>
  <sheetViews>
    <sheetView view="pageBreakPreview" topLeftCell="A28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(Entidad)'!D37</f>
        <v>UND</v>
      </c>
    </row>
    <row r="10" spans="1:6" ht="19.5" customHeight="1" x14ac:dyDescent="0.3">
      <c r="A10" s="915" t="s">
        <v>75</v>
      </c>
      <c r="B10" s="922" t="str">
        <f>'PRESUPUESTO OFICIAL (Entidad)'!C37</f>
        <v>Suministro e instalación de Tablero monofásico 4 circuitos.</v>
      </c>
      <c r="C10" s="922"/>
      <c r="D10" s="922"/>
      <c r="E10" s="851"/>
      <c r="F10" s="917"/>
    </row>
    <row r="11" spans="1:6" x14ac:dyDescent="0.3">
      <c r="A11" s="915"/>
      <c r="B11" s="210" t="s">
        <v>176</v>
      </c>
      <c r="C11" s="210" t="s">
        <v>920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95024.7</v>
      </c>
      <c r="F15" s="186">
        <f t="shared" ref="F15:F19" si="0">D15*E15</f>
        <v>4751.2349999999997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4751.2349999999997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75" customHeight="1" x14ac:dyDescent="0.3">
      <c r="A24" s="911" t="s">
        <v>521</v>
      </c>
      <c r="B24" s="912"/>
      <c r="C24" s="156" t="s">
        <v>21</v>
      </c>
      <c r="D24" s="156">
        <v>1</v>
      </c>
      <c r="E24" s="211">
        <f>MAT!E118</f>
        <v>249900</v>
      </c>
      <c r="F24" s="167">
        <f>D24*E24</f>
        <v>249900</v>
      </c>
    </row>
    <row r="25" spans="1:15" ht="15.75" customHeight="1" x14ac:dyDescent="0.3">
      <c r="A25" s="911" t="s">
        <v>522</v>
      </c>
      <c r="B25" s="912"/>
      <c r="C25" s="156" t="s">
        <v>21</v>
      </c>
      <c r="D25" s="165">
        <v>2</v>
      </c>
      <c r="E25" s="211">
        <f>MAT!E53</f>
        <v>19500</v>
      </c>
      <c r="F25" s="167">
        <f t="shared" ref="F25:F31" si="1">D25*E25</f>
        <v>39000</v>
      </c>
      <c r="I25" s="214"/>
      <c r="M25" s="214"/>
      <c r="N25" s="214"/>
      <c r="O25" s="214"/>
    </row>
    <row r="26" spans="1:15" ht="15.75" customHeight="1" x14ac:dyDescent="0.3">
      <c r="A26" s="911"/>
      <c r="B26" s="912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/>
      <c r="K29" s="10"/>
    </row>
    <row r="30" spans="1:15" x14ac:dyDescent="0.3">
      <c r="A30" s="903"/>
      <c r="B30" s="904"/>
      <c r="C30" s="156"/>
      <c r="D30" s="165"/>
      <c r="E30" s="216"/>
      <c r="F30" s="167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288900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1.9</v>
      </c>
      <c r="F42" s="167">
        <f>D42*E42</f>
        <v>95024.7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95024.7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388676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0E42-0C7E-4368-A61C-C050312FC287}">
  <sheetPr codeName="Hoja25">
    <tabColor rgb="FFFFFF00"/>
  </sheetPr>
  <dimension ref="A1:O54"/>
  <sheetViews>
    <sheetView view="pageBreakPreview" topLeftCell="A25" zoomScale="70" zoomScaleNormal="100" zoomScaleSheetLayoutView="70" workbookViewId="0">
      <selection activeCell="A53" sqref="A53:B5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(Entidad)'!D38</f>
        <v>UND</v>
      </c>
    </row>
    <row r="10" spans="1:6" ht="17.25" customHeight="1" x14ac:dyDescent="0.3">
      <c r="A10" s="915" t="s">
        <v>75</v>
      </c>
      <c r="B10" s="922" t="str">
        <f>'PRESUPUESTO OFICIAL (Entidad)'!C38</f>
        <v>Suministro e instalación de Salida toma corriente doble 110 v.</v>
      </c>
      <c r="C10" s="922"/>
      <c r="D10" s="922"/>
      <c r="E10" s="851"/>
      <c r="F10" s="917"/>
    </row>
    <row r="11" spans="1:6" x14ac:dyDescent="0.3">
      <c r="A11" s="915"/>
      <c r="B11" s="210" t="s">
        <v>177</v>
      </c>
      <c r="C11" s="210" t="s">
        <v>915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F47</f>
        <v>35009.1</v>
      </c>
      <c r="F15" s="186">
        <f t="shared" ref="F15:F19" si="0">D15*E15</f>
        <v>1750.4549999999999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1750.4549999999999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21" customHeight="1" x14ac:dyDescent="0.3">
      <c r="A24" s="973" t="s">
        <v>565</v>
      </c>
      <c r="B24" s="974"/>
      <c r="C24" s="156" t="s">
        <v>19</v>
      </c>
      <c r="D24" s="156">
        <v>0.5</v>
      </c>
      <c r="E24" s="211">
        <f>MAT!E129</f>
        <v>3586.8344444444447</v>
      </c>
      <c r="F24" s="167">
        <f t="shared" ref="F24:F32" si="1">D24*E24</f>
        <v>1793.4172222222223</v>
      </c>
    </row>
    <row r="25" spans="1:15" ht="15.75" customHeight="1" x14ac:dyDescent="0.3">
      <c r="A25" s="973" t="s">
        <v>575</v>
      </c>
      <c r="B25" s="974"/>
      <c r="C25" s="156" t="s">
        <v>19</v>
      </c>
      <c r="D25" s="165">
        <v>1.03</v>
      </c>
      <c r="E25" s="211">
        <f>MAT!E38</f>
        <v>6250</v>
      </c>
      <c r="F25" s="167">
        <f t="shared" si="1"/>
        <v>6437.5</v>
      </c>
      <c r="I25" s="214"/>
      <c r="M25" s="214"/>
      <c r="N25" s="214"/>
      <c r="O25" s="214"/>
    </row>
    <row r="26" spans="1:15" ht="15.75" customHeight="1" x14ac:dyDescent="0.3">
      <c r="A26" s="973" t="s">
        <v>576</v>
      </c>
      <c r="B26" s="974"/>
      <c r="C26" s="156" t="s">
        <v>19</v>
      </c>
      <c r="D26" s="165">
        <v>1.03</v>
      </c>
      <c r="E26" s="211">
        <f>MAT!E40</f>
        <v>2000</v>
      </c>
      <c r="F26" s="167">
        <f t="shared" si="1"/>
        <v>2060</v>
      </c>
    </row>
    <row r="27" spans="1:15" ht="15.75" customHeight="1" x14ac:dyDescent="0.3">
      <c r="A27" s="973" t="s">
        <v>665</v>
      </c>
      <c r="B27" s="974"/>
      <c r="C27" s="156" t="s">
        <v>21</v>
      </c>
      <c r="D27" s="165">
        <v>2</v>
      </c>
      <c r="E27" s="211">
        <f>MAT!E37</f>
        <v>500</v>
      </c>
      <c r="F27" s="167">
        <f t="shared" si="1"/>
        <v>1000</v>
      </c>
    </row>
    <row r="28" spans="1:15" ht="15" customHeight="1" x14ac:dyDescent="0.3">
      <c r="A28" s="973" t="s">
        <v>722</v>
      </c>
      <c r="B28" s="974"/>
      <c r="C28" s="156" t="s">
        <v>21</v>
      </c>
      <c r="D28" s="165">
        <v>0.05</v>
      </c>
      <c r="E28" s="211">
        <f>MAT!E67</f>
        <v>4000</v>
      </c>
      <c r="F28" s="167">
        <f t="shared" si="1"/>
        <v>200</v>
      </c>
      <c r="I28" s="214"/>
      <c r="K28" s="103"/>
    </row>
    <row r="29" spans="1:15" x14ac:dyDescent="0.3">
      <c r="A29" s="973" t="s">
        <v>723</v>
      </c>
      <c r="B29" s="974"/>
      <c r="C29" s="156" t="s">
        <v>422</v>
      </c>
      <c r="D29" s="165">
        <v>0.01</v>
      </c>
      <c r="E29" s="211">
        <f>MAT!E117</f>
        <v>67028.289999999994</v>
      </c>
      <c r="F29" s="167">
        <f t="shared" si="1"/>
        <v>670.28289999999993</v>
      </c>
      <c r="K29" s="10"/>
    </row>
    <row r="30" spans="1:15" x14ac:dyDescent="0.3">
      <c r="A30" s="973" t="s">
        <v>627</v>
      </c>
      <c r="B30" s="974"/>
      <c r="C30" s="156" t="s">
        <v>422</v>
      </c>
      <c r="D30" s="165">
        <v>0.01</v>
      </c>
      <c r="E30" s="211">
        <f>MAT!E92</f>
        <v>36952.94</v>
      </c>
      <c r="F30" s="167">
        <f t="shared" si="1"/>
        <v>369.52940000000001</v>
      </c>
      <c r="K30" s="10"/>
    </row>
    <row r="31" spans="1:15" ht="15.75" customHeight="1" x14ac:dyDescent="0.3">
      <c r="A31" s="975" t="s">
        <v>724</v>
      </c>
      <c r="B31" s="976"/>
      <c r="C31" s="257" t="s">
        <v>21</v>
      </c>
      <c r="D31" s="258">
        <v>1</v>
      </c>
      <c r="E31" s="211">
        <f>MAT!E56</f>
        <v>1350</v>
      </c>
      <c r="F31" s="167">
        <f t="shared" si="1"/>
        <v>1350</v>
      </c>
      <c r="K31" s="217"/>
    </row>
    <row r="32" spans="1:15" ht="16.5" customHeight="1" thickBot="1" x14ac:dyDescent="0.35">
      <c r="A32" s="977" t="s">
        <v>725</v>
      </c>
      <c r="B32" s="906"/>
      <c r="C32" s="178" t="s">
        <v>21</v>
      </c>
      <c r="D32" s="178">
        <v>1</v>
      </c>
      <c r="E32" s="259">
        <f>MAT!E126</f>
        <v>8250</v>
      </c>
      <c r="F32" s="179">
        <f t="shared" si="1"/>
        <v>8250</v>
      </c>
    </row>
    <row r="33" spans="1:6" ht="16.2" thickBot="1" x14ac:dyDescent="0.35">
      <c r="A33" s="900" t="s">
        <v>84</v>
      </c>
      <c r="B33" s="900"/>
      <c r="C33" s="900"/>
      <c r="D33" s="900"/>
      <c r="E33" s="900"/>
      <c r="F33" s="168">
        <f>SUM(F24:F32)</f>
        <v>22130.729522222224</v>
      </c>
    </row>
    <row r="34" spans="1:6" ht="16.8" thickTop="1" thickBot="1" x14ac:dyDescent="0.35">
      <c r="A34" s="103"/>
      <c r="B34" s="103"/>
      <c r="C34" s="103"/>
      <c r="D34" s="103"/>
      <c r="E34" s="103"/>
      <c r="F34" s="153"/>
    </row>
    <row r="35" spans="1:6" x14ac:dyDescent="0.3">
      <c r="A35" s="895" t="s">
        <v>85</v>
      </c>
      <c r="B35" s="896"/>
      <c r="C35" s="896"/>
      <c r="D35" s="896"/>
      <c r="E35" s="896"/>
      <c r="F35" s="897"/>
    </row>
    <row r="36" spans="1:6" ht="31.2" x14ac:dyDescent="0.3">
      <c r="A36" s="169" t="s">
        <v>86</v>
      </c>
      <c r="B36" s="156" t="s">
        <v>94</v>
      </c>
      <c r="C36" s="158" t="s">
        <v>96</v>
      </c>
      <c r="D36" s="158" t="s">
        <v>97</v>
      </c>
      <c r="E36" s="158" t="s">
        <v>95</v>
      </c>
      <c r="F36" s="160" t="s">
        <v>82</v>
      </c>
    </row>
    <row r="37" spans="1:6" x14ac:dyDescent="0.3">
      <c r="A37" s="169"/>
      <c r="B37" s="111"/>
      <c r="C37" s="158"/>
      <c r="D37" s="158"/>
      <c r="E37" s="158"/>
      <c r="F37" s="186">
        <f>C37*D37*E37</f>
        <v>0</v>
      </c>
    </row>
    <row r="38" spans="1:6" ht="16.2" thickBot="1" x14ac:dyDescent="0.35">
      <c r="A38" s="171"/>
      <c r="B38" s="197"/>
      <c r="C38" s="163"/>
      <c r="D38" s="163"/>
      <c r="E38" s="163"/>
      <c r="F38" s="190">
        <f>C38*D38*E38</f>
        <v>0</v>
      </c>
    </row>
    <row r="39" spans="1:6" ht="15.75" customHeight="1" thickBot="1" x14ac:dyDescent="0.35">
      <c r="A39" s="907" t="s">
        <v>90</v>
      </c>
      <c r="B39" s="907"/>
      <c r="C39" s="907"/>
      <c r="D39" s="907"/>
      <c r="E39" s="907"/>
      <c r="F39" s="198">
        <f>SUM(F37:F38)</f>
        <v>0</v>
      </c>
    </row>
    <row r="40" spans="1:6" ht="16.8" thickTop="1" thickBot="1" x14ac:dyDescent="0.35">
      <c r="A40" s="103"/>
      <c r="B40" s="103"/>
      <c r="C40" s="103"/>
      <c r="D40" s="103"/>
      <c r="E40" s="103"/>
      <c r="F40" s="153"/>
    </row>
    <row r="41" spans="1:6" x14ac:dyDescent="0.3">
      <c r="A41" s="895" t="s">
        <v>91</v>
      </c>
      <c r="B41" s="896"/>
      <c r="C41" s="896"/>
      <c r="D41" s="896"/>
      <c r="E41" s="896"/>
      <c r="F41" s="897"/>
    </row>
    <row r="42" spans="1:6" ht="24.75" customHeight="1" x14ac:dyDescent="0.3">
      <c r="A42" s="891" t="s">
        <v>48</v>
      </c>
      <c r="B42" s="892"/>
      <c r="C42" s="156" t="s">
        <v>23</v>
      </c>
      <c r="D42" s="156" t="s">
        <v>378</v>
      </c>
      <c r="E42" s="156" t="s">
        <v>98</v>
      </c>
      <c r="F42" s="157" t="s">
        <v>79</v>
      </c>
    </row>
    <row r="43" spans="1:6" ht="15" customHeight="1" x14ac:dyDescent="0.3">
      <c r="A43" s="893" t="str">
        <f>M.O!B99</f>
        <v>MANO DE OBRA ELECTRICA</v>
      </c>
      <c r="B43" s="894"/>
      <c r="C43" s="176" t="s">
        <v>43</v>
      </c>
      <c r="D43" s="177">
        <f>M.O!F106</f>
        <v>50013</v>
      </c>
      <c r="E43" s="156">
        <v>0.7</v>
      </c>
      <c r="F43" s="167">
        <f>D43*E43</f>
        <v>35009.1</v>
      </c>
    </row>
    <row r="44" spans="1:6" x14ac:dyDescent="0.3">
      <c r="A44" s="883"/>
      <c r="B44" s="884"/>
      <c r="C44" s="176"/>
      <c r="D44" s="156"/>
      <c r="E44" s="156"/>
      <c r="F44" s="167">
        <f t="shared" ref="F44:F46" si="2">D44*E44</f>
        <v>0</v>
      </c>
    </row>
    <row r="45" spans="1:6" x14ac:dyDescent="0.3">
      <c r="A45" s="883"/>
      <c r="B45" s="884"/>
      <c r="C45" s="156"/>
      <c r="D45" s="156"/>
      <c r="E45" s="156"/>
      <c r="F45" s="167">
        <f t="shared" si="2"/>
        <v>0</v>
      </c>
    </row>
    <row r="46" spans="1:6" ht="16.2" thickBot="1" x14ac:dyDescent="0.35">
      <c r="A46" s="898"/>
      <c r="B46" s="899"/>
      <c r="C46" s="178"/>
      <c r="D46" s="178"/>
      <c r="E46" s="178"/>
      <c r="F46" s="179">
        <f t="shared" si="2"/>
        <v>0</v>
      </c>
    </row>
    <row r="47" spans="1:6" ht="15.75" customHeight="1" thickBot="1" x14ac:dyDescent="0.35">
      <c r="A47" s="907" t="s">
        <v>92</v>
      </c>
      <c r="B47" s="907"/>
      <c r="C47" s="907"/>
      <c r="D47" s="907"/>
      <c r="E47" s="907"/>
      <c r="F47" s="175">
        <f>SUM(F43:F46)</f>
        <v>35009.1</v>
      </c>
    </row>
    <row r="48" spans="1:6" ht="16.2" thickTop="1" x14ac:dyDescent="0.3">
      <c r="A48" s="103"/>
      <c r="B48" s="103"/>
      <c r="C48" s="103"/>
      <c r="D48" s="103"/>
      <c r="E48" s="103"/>
      <c r="F48" s="153"/>
    </row>
    <row r="49" spans="1:7" ht="15.75" customHeight="1" thickBot="1" x14ac:dyDescent="0.35">
      <c r="A49" s="907" t="s">
        <v>93</v>
      </c>
      <c r="B49" s="907"/>
      <c r="C49" s="907"/>
      <c r="D49" s="907"/>
      <c r="E49" s="907"/>
      <c r="F49" s="180">
        <f>ROUND(SUM(F33+F47+F20+F39),0)</f>
        <v>58890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1" spans="1:7" x14ac:dyDescent="0.3">
      <c r="A51" s="103"/>
      <c r="B51" s="103"/>
      <c r="C51" s="103"/>
      <c r="D51" s="103"/>
      <c r="E51" s="103"/>
      <c r="F51" s="153"/>
    </row>
    <row r="53" spans="1:7" x14ac:dyDescent="0.3">
      <c r="A53" s="856" t="s">
        <v>120</v>
      </c>
      <c r="B53" s="856"/>
      <c r="D53" s="856" t="s">
        <v>122</v>
      </c>
      <c r="E53" s="856"/>
      <c r="F53" s="856"/>
      <c r="G53" s="9"/>
    </row>
    <row r="54" spans="1:7" x14ac:dyDescent="0.3">
      <c r="A54" s="741" t="s">
        <v>121</v>
      </c>
      <c r="B54" s="741"/>
      <c r="D54" s="741" t="s">
        <v>123</v>
      </c>
      <c r="E54" s="741"/>
      <c r="F54" s="741"/>
    </row>
  </sheetData>
  <mergeCells count="42">
    <mergeCell ref="A17:B17"/>
    <mergeCell ref="A32:B32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3:B53"/>
    <mergeCell ref="D53:F53"/>
    <mergeCell ref="A54:B54"/>
    <mergeCell ref="D54:F54"/>
    <mergeCell ref="A18:B18"/>
    <mergeCell ref="A33:E33"/>
    <mergeCell ref="A20:E20"/>
    <mergeCell ref="A22:F22"/>
    <mergeCell ref="A23:B23"/>
    <mergeCell ref="A24:B24"/>
    <mergeCell ref="A25:B25"/>
    <mergeCell ref="A26:B26"/>
    <mergeCell ref="A27:B27"/>
    <mergeCell ref="A28:B28"/>
    <mergeCell ref="A30:B30"/>
    <mergeCell ref="A1:F5"/>
    <mergeCell ref="A47:E47"/>
    <mergeCell ref="A49:E49"/>
    <mergeCell ref="A46:B46"/>
    <mergeCell ref="A42:B42"/>
    <mergeCell ref="A43:B43"/>
    <mergeCell ref="A44:B44"/>
    <mergeCell ref="A45:B45"/>
    <mergeCell ref="A29:B29"/>
    <mergeCell ref="A31:B31"/>
    <mergeCell ref="A35:F35"/>
    <mergeCell ref="A39:E39"/>
    <mergeCell ref="A41:F41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B6A4-4081-49D6-A3BC-51F798613CD1}">
  <sheetPr codeName="Hoja26"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(Entidad)'!D39</f>
        <v>UND</v>
      </c>
    </row>
    <row r="10" spans="1:6" ht="18.75" customHeight="1" x14ac:dyDescent="0.3">
      <c r="A10" s="915" t="s">
        <v>75</v>
      </c>
      <c r="B10" s="922" t="str">
        <f>'PRESUPUESTO OFICIAL (Entidad)'!C39</f>
        <v>Suministro e instalación de Salida Interruptor Sencillo 110 v.</v>
      </c>
      <c r="C10" s="922"/>
      <c r="D10" s="922"/>
      <c r="E10" s="851"/>
      <c r="F10" s="917"/>
    </row>
    <row r="11" spans="1:6" x14ac:dyDescent="0.3">
      <c r="A11" s="915"/>
      <c r="B11" s="210" t="s">
        <v>241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17504.55</v>
      </c>
      <c r="F15" s="186">
        <f t="shared" ref="F15:F19" si="0">D15*E15</f>
        <v>875.22749999999996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875.22749999999996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3" t="s">
        <v>565</v>
      </c>
      <c r="B24" s="974"/>
      <c r="C24" s="156" t="s">
        <v>19</v>
      </c>
      <c r="D24" s="156">
        <v>1.1000000000000001</v>
      </c>
      <c r="E24" s="211">
        <f>MAT!E86</f>
        <v>800</v>
      </c>
      <c r="F24" s="167">
        <f t="shared" ref="F24:F31" si="1">D24*E24</f>
        <v>880.00000000000011</v>
      </c>
    </row>
    <row r="25" spans="1:15" x14ac:dyDescent="0.3">
      <c r="A25" s="973" t="s">
        <v>578</v>
      </c>
      <c r="B25" s="974"/>
      <c r="C25" s="156" t="s">
        <v>19</v>
      </c>
      <c r="D25" s="165">
        <v>2</v>
      </c>
      <c r="E25" s="211">
        <f>MAT!E39</f>
        <v>3096.3585333333335</v>
      </c>
      <c r="F25" s="167">
        <f t="shared" si="1"/>
        <v>6192.7170666666671</v>
      </c>
      <c r="I25" s="214"/>
      <c r="M25" s="214"/>
      <c r="N25" s="214"/>
      <c r="O25" s="214"/>
    </row>
    <row r="26" spans="1:15" ht="15" customHeight="1" x14ac:dyDescent="0.3">
      <c r="A26" s="973" t="s">
        <v>665</v>
      </c>
      <c r="B26" s="974"/>
      <c r="C26" s="156" t="s">
        <v>21</v>
      </c>
      <c r="D26" s="165">
        <v>2</v>
      </c>
      <c r="E26" s="211">
        <f>MAT!E37</f>
        <v>500</v>
      </c>
      <c r="F26" s="167">
        <f t="shared" si="1"/>
        <v>1000</v>
      </c>
    </row>
    <row r="27" spans="1:15" x14ac:dyDescent="0.3">
      <c r="A27" s="973" t="s">
        <v>726</v>
      </c>
      <c r="B27" s="974"/>
      <c r="C27" s="156" t="s">
        <v>21</v>
      </c>
      <c r="D27" s="165">
        <v>1</v>
      </c>
      <c r="E27" s="211">
        <f>MAT!E58</f>
        <v>690.75666666666666</v>
      </c>
      <c r="F27" s="167">
        <f t="shared" si="1"/>
        <v>690.75666666666666</v>
      </c>
    </row>
    <row r="28" spans="1:15" ht="15" customHeight="1" x14ac:dyDescent="0.3">
      <c r="A28" s="973" t="s">
        <v>722</v>
      </c>
      <c r="B28" s="974"/>
      <c r="C28" s="156" t="s">
        <v>21</v>
      </c>
      <c r="D28" s="165">
        <v>0.04</v>
      </c>
      <c r="E28" s="211">
        <f>MAT!E67</f>
        <v>4000</v>
      </c>
      <c r="F28" s="167">
        <f t="shared" si="1"/>
        <v>160</v>
      </c>
      <c r="I28" s="214"/>
      <c r="K28" s="103"/>
    </row>
    <row r="29" spans="1:15" x14ac:dyDescent="0.3">
      <c r="A29" s="973" t="s">
        <v>723</v>
      </c>
      <c r="B29" s="974"/>
      <c r="C29" s="156" t="s">
        <v>422</v>
      </c>
      <c r="D29" s="255">
        <v>2E-3</v>
      </c>
      <c r="E29" s="211">
        <f>MAT!E117</f>
        <v>67028.289999999994</v>
      </c>
      <c r="F29" s="167">
        <f t="shared" si="1"/>
        <v>134.05658</v>
      </c>
      <c r="K29" s="10"/>
    </row>
    <row r="30" spans="1:15" ht="15.75" customHeight="1" x14ac:dyDescent="0.3">
      <c r="A30" s="973" t="s">
        <v>626</v>
      </c>
      <c r="B30" s="974"/>
      <c r="C30" s="156" t="s">
        <v>422</v>
      </c>
      <c r="D30" s="255">
        <v>2E-3</v>
      </c>
      <c r="E30" s="211">
        <f>MAT!E92</f>
        <v>36952.94</v>
      </c>
      <c r="F30" s="167">
        <f t="shared" si="1"/>
        <v>73.90588000000001</v>
      </c>
      <c r="K30" s="217"/>
    </row>
    <row r="31" spans="1:15" ht="16.5" customHeight="1" thickBot="1" x14ac:dyDescent="0.35">
      <c r="A31" s="905" t="s">
        <v>728</v>
      </c>
      <c r="B31" s="906"/>
      <c r="C31" s="178" t="s">
        <v>21</v>
      </c>
      <c r="D31" s="178">
        <v>1</v>
      </c>
      <c r="E31" s="259">
        <f>MAT!E85</f>
        <v>5350</v>
      </c>
      <c r="F31" s="179">
        <f t="shared" si="1"/>
        <v>5350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14481.436193333335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0.35</v>
      </c>
      <c r="F42" s="167">
        <f>D42*E42</f>
        <v>17504.55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17504.55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32861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963D6-6E7F-41DF-BF04-ED6E7A1B1B12}">
  <sheetPr codeName="Hoja27"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(Entidad)'!D40</f>
        <v>UND</v>
      </c>
    </row>
    <row r="10" spans="1:6" ht="20.25" customHeight="1" x14ac:dyDescent="0.3">
      <c r="A10" s="915" t="s">
        <v>75</v>
      </c>
      <c r="B10" s="922" t="str">
        <f>'PRESUPUESTO OFICIAL (Entidad)'!C40</f>
        <v xml:space="preserve">Suministro e instalación de Salida Interruptor Doble 110 v. </v>
      </c>
      <c r="C10" s="922"/>
      <c r="D10" s="922"/>
      <c r="E10" s="851"/>
      <c r="F10" s="917"/>
    </row>
    <row r="11" spans="1:6" x14ac:dyDescent="0.3">
      <c r="A11" s="915"/>
      <c r="B11" s="210" t="s">
        <v>242</v>
      </c>
      <c r="C11" s="210" t="s">
        <v>222</v>
      </c>
      <c r="D11" s="210" t="s">
        <v>916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17504.55</v>
      </c>
      <c r="F15" s="186">
        <f t="shared" ref="F15:F19" si="0">D15*E15</f>
        <v>875.22749999999996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875.22749999999996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3" t="s">
        <v>565</v>
      </c>
      <c r="B24" s="974"/>
      <c r="C24" s="156" t="s">
        <v>19</v>
      </c>
      <c r="D24" s="156">
        <v>1.1000000000000001</v>
      </c>
      <c r="E24" s="211">
        <f>MAT!E129</f>
        <v>3586.8344444444447</v>
      </c>
      <c r="F24" s="167">
        <f>D24*E24</f>
        <v>3945.5178888888895</v>
      </c>
    </row>
    <row r="25" spans="1:15" x14ac:dyDescent="0.3">
      <c r="A25" s="973" t="s">
        <v>578</v>
      </c>
      <c r="B25" s="974"/>
      <c r="C25" s="156" t="s">
        <v>19</v>
      </c>
      <c r="D25" s="165">
        <v>2</v>
      </c>
      <c r="E25" s="211">
        <f>MAT!E39</f>
        <v>3096.3585333333335</v>
      </c>
      <c r="F25" s="167">
        <f t="shared" ref="F25:F31" si="1">D25*E25</f>
        <v>6192.7170666666671</v>
      </c>
      <c r="I25" s="214"/>
      <c r="M25" s="214"/>
      <c r="N25" s="214"/>
      <c r="O25" s="214"/>
    </row>
    <row r="26" spans="1:15" ht="15" customHeight="1" x14ac:dyDescent="0.3">
      <c r="A26" s="973" t="s">
        <v>665</v>
      </c>
      <c r="B26" s="974"/>
      <c r="C26" s="156" t="s">
        <v>21</v>
      </c>
      <c r="D26" s="165">
        <v>2</v>
      </c>
      <c r="E26" s="211">
        <f>MAT!E37</f>
        <v>500</v>
      </c>
      <c r="F26" s="167">
        <f t="shared" si="1"/>
        <v>1000</v>
      </c>
    </row>
    <row r="27" spans="1:15" x14ac:dyDescent="0.3">
      <c r="A27" s="973" t="s">
        <v>726</v>
      </c>
      <c r="B27" s="974"/>
      <c r="C27" s="156" t="s">
        <v>21</v>
      </c>
      <c r="D27" s="165">
        <v>1</v>
      </c>
      <c r="E27" s="211">
        <f>MAT!E58</f>
        <v>690.75666666666666</v>
      </c>
      <c r="F27" s="167">
        <f t="shared" si="1"/>
        <v>690.75666666666666</v>
      </c>
    </row>
    <row r="28" spans="1:15" ht="15" customHeight="1" x14ac:dyDescent="0.3">
      <c r="A28" s="973" t="s">
        <v>722</v>
      </c>
      <c r="B28" s="974"/>
      <c r="C28" s="156" t="s">
        <v>21</v>
      </c>
      <c r="D28" s="165">
        <v>0.04</v>
      </c>
      <c r="E28" s="211">
        <f>MAT!E67</f>
        <v>4000</v>
      </c>
      <c r="F28" s="167">
        <f t="shared" si="1"/>
        <v>160</v>
      </c>
      <c r="I28" s="214"/>
      <c r="K28" s="103"/>
    </row>
    <row r="29" spans="1:15" x14ac:dyDescent="0.3">
      <c r="A29" s="973" t="s">
        <v>723</v>
      </c>
      <c r="B29" s="974"/>
      <c r="C29" s="156" t="s">
        <v>422</v>
      </c>
      <c r="D29" s="255">
        <v>2E-3</v>
      </c>
      <c r="E29" s="211">
        <f>MAT!E117</f>
        <v>67028.289999999994</v>
      </c>
      <c r="F29" s="167">
        <f t="shared" si="1"/>
        <v>134.05658</v>
      </c>
      <c r="K29" s="10"/>
    </row>
    <row r="30" spans="1:15" ht="15.75" customHeight="1" x14ac:dyDescent="0.3">
      <c r="A30" s="973" t="s">
        <v>626</v>
      </c>
      <c r="B30" s="974"/>
      <c r="C30" s="156" t="s">
        <v>422</v>
      </c>
      <c r="D30" s="255">
        <v>2E-3</v>
      </c>
      <c r="E30" s="211">
        <f>MAT!E92</f>
        <v>36952.94</v>
      </c>
      <c r="F30" s="167">
        <f t="shared" si="1"/>
        <v>73.90588000000001</v>
      </c>
      <c r="K30" s="217"/>
    </row>
    <row r="31" spans="1:15" ht="16.5" customHeight="1" thickBot="1" x14ac:dyDescent="0.35">
      <c r="A31" s="905" t="s">
        <v>727</v>
      </c>
      <c r="B31" s="906"/>
      <c r="C31" s="178" t="s">
        <v>21</v>
      </c>
      <c r="D31" s="178">
        <v>1</v>
      </c>
      <c r="E31" s="259">
        <f>MAT!E84</f>
        <v>7450</v>
      </c>
      <c r="F31" s="179">
        <f t="shared" si="1"/>
        <v>7450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19646.954082222222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0.35</v>
      </c>
      <c r="F42" s="167">
        <f>D42*E42</f>
        <v>17504.55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17504.55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38027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2794-4217-4795-98C1-AD6E02E5148E}">
  <sheetPr codeName="Hoja28">
    <tabColor rgb="FFFFFF00"/>
  </sheetPr>
  <dimension ref="A1:O53"/>
  <sheetViews>
    <sheetView view="pageBreakPreview" topLeftCell="A28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(Entidad)'!D41</f>
        <v>UND</v>
      </c>
    </row>
    <row r="10" spans="1:6" ht="30.75" customHeight="1" x14ac:dyDescent="0.3">
      <c r="A10" s="915" t="s">
        <v>75</v>
      </c>
      <c r="B10" s="922" t="str">
        <f>'PRESUPUESTO OFICIAL (Entidad)'!C41</f>
        <v>Suministro e instalación de Salida lampara fluorescente electrónica 2 X 48 w, incluye lampara.</v>
      </c>
      <c r="C10" s="922"/>
      <c r="D10" s="922"/>
      <c r="E10" s="851"/>
      <c r="F10" s="917"/>
    </row>
    <row r="11" spans="1:6" x14ac:dyDescent="0.3">
      <c r="A11" s="915"/>
      <c r="B11" s="210" t="s">
        <v>243</v>
      </c>
      <c r="C11" s="210" t="s">
        <v>914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70018.2</v>
      </c>
      <c r="F15" s="186">
        <f t="shared" ref="F15:F19" si="0">D15*E15</f>
        <v>3500.91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3500.91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27" customHeight="1" x14ac:dyDescent="0.3">
      <c r="A24" s="973" t="s">
        <v>565</v>
      </c>
      <c r="B24" s="974"/>
      <c r="C24" s="156" t="s">
        <v>19</v>
      </c>
      <c r="D24" s="156">
        <v>0.5</v>
      </c>
      <c r="E24" s="211">
        <f>MAT!E129</f>
        <v>3586.8344444444447</v>
      </c>
      <c r="F24" s="167">
        <f t="shared" ref="F24:F31" si="1">D24*E24</f>
        <v>1793.4172222222223</v>
      </c>
    </row>
    <row r="25" spans="1:15" x14ac:dyDescent="0.3">
      <c r="A25" s="973" t="s">
        <v>578</v>
      </c>
      <c r="B25" s="974"/>
      <c r="C25" s="156" t="s">
        <v>19</v>
      </c>
      <c r="D25" s="165">
        <v>1.03</v>
      </c>
      <c r="E25" s="211">
        <f>MAT!E39</f>
        <v>3096.3585333333335</v>
      </c>
      <c r="F25" s="167">
        <f t="shared" si="1"/>
        <v>3189.2492893333338</v>
      </c>
      <c r="I25" s="214"/>
      <c r="M25" s="214"/>
      <c r="N25" s="214"/>
      <c r="O25" s="214"/>
    </row>
    <row r="26" spans="1:15" ht="15" customHeight="1" x14ac:dyDescent="0.3">
      <c r="A26" s="973" t="s">
        <v>665</v>
      </c>
      <c r="B26" s="974"/>
      <c r="C26" s="156" t="s">
        <v>21</v>
      </c>
      <c r="D26" s="165">
        <v>2</v>
      </c>
      <c r="E26" s="211">
        <f>MAT!E37</f>
        <v>500</v>
      </c>
      <c r="F26" s="167">
        <f t="shared" si="1"/>
        <v>1000</v>
      </c>
    </row>
    <row r="27" spans="1:15" x14ac:dyDescent="0.3">
      <c r="A27" s="973" t="s">
        <v>722</v>
      </c>
      <c r="B27" s="974"/>
      <c r="C27" s="156" t="s">
        <v>21</v>
      </c>
      <c r="D27" s="165">
        <v>0.05</v>
      </c>
      <c r="E27" s="211">
        <f>MAT!E67</f>
        <v>4000</v>
      </c>
      <c r="F27" s="167">
        <f t="shared" si="1"/>
        <v>200</v>
      </c>
    </row>
    <row r="28" spans="1:15" ht="15" customHeight="1" x14ac:dyDescent="0.3">
      <c r="A28" s="973" t="s">
        <v>733</v>
      </c>
      <c r="B28" s="974"/>
      <c r="C28" s="156" t="s">
        <v>21</v>
      </c>
      <c r="D28" s="165">
        <v>1</v>
      </c>
      <c r="E28" s="211">
        <f>MAT!E57</f>
        <v>1020.1666666666666</v>
      </c>
      <c r="F28" s="167">
        <f t="shared" si="1"/>
        <v>1020.1666666666666</v>
      </c>
      <c r="I28" s="214"/>
      <c r="K28" s="103"/>
    </row>
    <row r="29" spans="1:15" x14ac:dyDescent="0.3">
      <c r="A29" s="903" t="s">
        <v>734</v>
      </c>
      <c r="B29" s="904"/>
      <c r="C29" s="156" t="s">
        <v>21</v>
      </c>
      <c r="D29" s="165">
        <v>1</v>
      </c>
      <c r="E29" s="211">
        <f>MAT!E89</f>
        <v>178000</v>
      </c>
      <c r="F29" s="167">
        <f t="shared" si="1"/>
        <v>178000</v>
      </c>
      <c r="K29" s="10"/>
    </row>
    <row r="30" spans="1:15" x14ac:dyDescent="0.3">
      <c r="A30" s="973" t="s">
        <v>735</v>
      </c>
      <c r="B30" s="974"/>
      <c r="C30" s="156" t="s">
        <v>422</v>
      </c>
      <c r="D30" s="255">
        <v>3.0000000000000001E-3</v>
      </c>
      <c r="E30" s="211">
        <f>MAT!E117</f>
        <v>67028.289999999994</v>
      </c>
      <c r="F30" s="167">
        <f t="shared" si="1"/>
        <v>201.08487</v>
      </c>
      <c r="K30" s="217"/>
    </row>
    <row r="31" spans="1:15" ht="16.2" thickBot="1" x14ac:dyDescent="0.35">
      <c r="A31" s="978" t="s">
        <v>626</v>
      </c>
      <c r="B31" s="979"/>
      <c r="C31" s="178" t="s">
        <v>422</v>
      </c>
      <c r="D31" s="178">
        <v>3.0000000000000001E-3</v>
      </c>
      <c r="E31" s="251">
        <f>MAT!E92</f>
        <v>36952.94</v>
      </c>
      <c r="F31" s="179">
        <f t="shared" si="1"/>
        <v>110.85882000000001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185514.77686822222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1.4</v>
      </c>
      <c r="F42" s="167">
        <f>D42*E42</f>
        <v>70018.2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70018.2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259034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18D6D-053C-4715-BFDB-39A0B5307D75}">
  <sheetPr codeName="Hoja29">
    <tabColor rgb="FFFFFF00"/>
  </sheetPr>
  <dimension ref="A1:O55"/>
  <sheetViews>
    <sheetView view="pageBreakPreview" topLeftCell="A37" zoomScale="70" zoomScaleNormal="100" zoomScaleSheetLayoutView="70" workbookViewId="0">
      <selection activeCell="A54" sqref="A54:B5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(Entidad)'!D42</f>
        <v>UND</v>
      </c>
    </row>
    <row r="10" spans="1:6" ht="28.5" customHeight="1" x14ac:dyDescent="0.3">
      <c r="A10" s="915" t="s">
        <v>75</v>
      </c>
      <c r="B10" s="922" t="str">
        <f>'PRESUPUESTO OFICIAL (Entidad)'!C42</f>
        <v>Suministro e instalación de Puesta a tierra de tablero de distribicion, polo a tierra, varilla C. W. 2,40 ml.</v>
      </c>
      <c r="C10" s="922"/>
      <c r="D10" s="922"/>
      <c r="E10" s="851"/>
      <c r="F10" s="917"/>
    </row>
    <row r="11" spans="1:6" x14ac:dyDescent="0.3">
      <c r="A11" s="915"/>
      <c r="B11" s="210" t="s">
        <v>244</v>
      </c>
      <c r="C11" s="210" t="s">
        <v>919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F48</f>
        <v>110028.6</v>
      </c>
      <c r="F15" s="186">
        <f t="shared" ref="F15:F19" si="0">D15*E15</f>
        <v>5501.43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5501.43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3" t="s">
        <v>736</v>
      </c>
      <c r="B24" s="914"/>
      <c r="C24" s="156" t="s">
        <v>21</v>
      </c>
      <c r="D24" s="165">
        <v>1</v>
      </c>
      <c r="E24" s="211">
        <f>MAT!E138</f>
        <v>55000</v>
      </c>
      <c r="F24" s="167">
        <f>D24*E24</f>
        <v>55000</v>
      </c>
    </row>
    <row r="25" spans="1:15" ht="25.5" customHeight="1" x14ac:dyDescent="0.3">
      <c r="A25" s="980" t="s">
        <v>567</v>
      </c>
      <c r="B25" s="981"/>
      <c r="C25" s="156" t="s">
        <v>21</v>
      </c>
      <c r="D25" s="165">
        <v>1</v>
      </c>
      <c r="E25" s="211">
        <f>MAT!E51</f>
        <v>800</v>
      </c>
      <c r="F25" s="167">
        <f t="shared" ref="F25:F33" si="1">D25*E25</f>
        <v>800</v>
      </c>
      <c r="I25" s="214"/>
      <c r="M25" s="214"/>
      <c r="N25" s="214"/>
      <c r="O25" s="214"/>
    </row>
    <row r="26" spans="1:15" ht="15" customHeight="1" x14ac:dyDescent="0.3">
      <c r="A26" s="980" t="s">
        <v>578</v>
      </c>
      <c r="B26" s="981"/>
      <c r="C26" s="156" t="s">
        <v>19</v>
      </c>
      <c r="D26" s="165">
        <v>6</v>
      </c>
      <c r="E26" s="211">
        <f>MAT!E39</f>
        <v>3096.3585333333335</v>
      </c>
      <c r="F26" s="167">
        <f t="shared" si="1"/>
        <v>18578.1512</v>
      </c>
    </row>
    <row r="27" spans="1:15" x14ac:dyDescent="0.3">
      <c r="A27" s="980" t="s">
        <v>565</v>
      </c>
      <c r="B27" s="981"/>
      <c r="C27" s="156" t="s">
        <v>19</v>
      </c>
      <c r="D27" s="165">
        <v>3</v>
      </c>
      <c r="E27" s="211">
        <f>MAT!E129</f>
        <v>3586.8344444444447</v>
      </c>
      <c r="F27" s="167">
        <f t="shared" si="1"/>
        <v>10760.503333333334</v>
      </c>
    </row>
    <row r="28" spans="1:15" x14ac:dyDescent="0.3">
      <c r="A28" s="980" t="s">
        <v>568</v>
      </c>
      <c r="B28" s="981"/>
      <c r="C28" s="156" t="s">
        <v>21</v>
      </c>
      <c r="D28" s="165">
        <v>1</v>
      </c>
      <c r="E28" s="213">
        <f>MAT!E121</f>
        <v>18450</v>
      </c>
      <c r="F28" s="167">
        <f t="shared" si="1"/>
        <v>18450</v>
      </c>
    </row>
    <row r="29" spans="1:15" x14ac:dyDescent="0.3">
      <c r="A29" s="980" t="s">
        <v>596</v>
      </c>
      <c r="B29" s="981"/>
      <c r="C29" s="156" t="s">
        <v>21</v>
      </c>
      <c r="D29" s="165">
        <v>1</v>
      </c>
      <c r="E29" s="213">
        <f>MAT!E59</f>
        <v>35000</v>
      </c>
      <c r="F29" s="167">
        <f t="shared" si="1"/>
        <v>35000</v>
      </c>
    </row>
    <row r="30" spans="1:15" ht="15" customHeight="1" x14ac:dyDescent="0.3">
      <c r="A30" s="980"/>
      <c r="B30" s="981"/>
      <c r="C30" s="156"/>
      <c r="D30" s="165"/>
      <c r="E30" s="213"/>
      <c r="F30" s="167">
        <f t="shared" si="1"/>
        <v>0</v>
      </c>
      <c r="I30" s="214"/>
      <c r="K30" s="103"/>
    </row>
    <row r="31" spans="1:15" x14ac:dyDescent="0.3">
      <c r="A31" s="980"/>
      <c r="B31" s="981"/>
      <c r="C31" s="156"/>
      <c r="D31" s="165"/>
      <c r="E31" s="213"/>
      <c r="F31" s="167">
        <f t="shared" si="1"/>
        <v>0</v>
      </c>
      <c r="K31" s="10"/>
    </row>
    <row r="32" spans="1:15" x14ac:dyDescent="0.3">
      <c r="A32" s="980"/>
      <c r="B32" s="981"/>
      <c r="C32" s="156"/>
      <c r="D32" s="165"/>
      <c r="E32" s="213"/>
      <c r="F32" s="167">
        <f t="shared" si="1"/>
        <v>0</v>
      </c>
      <c r="K32" s="217"/>
    </row>
    <row r="33" spans="1:6" ht="16.2" thickBot="1" x14ac:dyDescent="0.35">
      <c r="A33" s="982"/>
      <c r="B33" s="983"/>
      <c r="C33" s="178"/>
      <c r="D33" s="178"/>
      <c r="E33" s="254"/>
      <c r="F33" s="179">
        <f t="shared" si="1"/>
        <v>0</v>
      </c>
    </row>
    <row r="34" spans="1:6" ht="15.75" customHeight="1" thickBot="1" x14ac:dyDescent="0.35">
      <c r="A34" s="900" t="s">
        <v>84</v>
      </c>
      <c r="B34" s="900"/>
      <c r="C34" s="900"/>
      <c r="D34" s="900"/>
      <c r="E34" s="900"/>
      <c r="F34" s="168">
        <f>SUM(F24:F33)</f>
        <v>138588.65453333332</v>
      </c>
    </row>
    <row r="35" spans="1:6" ht="16.8" thickTop="1" thickBot="1" x14ac:dyDescent="0.35">
      <c r="A35" s="103"/>
      <c r="B35" s="103"/>
      <c r="C35" s="103"/>
      <c r="D35" s="103"/>
      <c r="E35" s="103"/>
      <c r="F35" s="153"/>
    </row>
    <row r="36" spans="1:6" x14ac:dyDescent="0.3">
      <c r="A36" s="895" t="s">
        <v>85</v>
      </c>
      <c r="B36" s="896"/>
      <c r="C36" s="896"/>
      <c r="D36" s="896"/>
      <c r="E36" s="896"/>
      <c r="F36" s="897"/>
    </row>
    <row r="37" spans="1:6" ht="31.2" x14ac:dyDescent="0.3">
      <c r="A37" s="169" t="s">
        <v>86</v>
      </c>
      <c r="B37" s="156" t="s">
        <v>94</v>
      </c>
      <c r="C37" s="158" t="s">
        <v>96</v>
      </c>
      <c r="D37" s="158" t="s">
        <v>97</v>
      </c>
      <c r="E37" s="158" t="s">
        <v>95</v>
      </c>
      <c r="F37" s="160" t="s">
        <v>82</v>
      </c>
    </row>
    <row r="38" spans="1:6" x14ac:dyDescent="0.3">
      <c r="A38" s="169"/>
      <c r="B38" s="111"/>
      <c r="C38" s="158"/>
      <c r="D38" s="158"/>
      <c r="E38" s="158"/>
      <c r="F38" s="186">
        <f>C38*D38*E38</f>
        <v>0</v>
      </c>
    </row>
    <row r="39" spans="1:6" ht="16.2" thickBot="1" x14ac:dyDescent="0.35">
      <c r="A39" s="171"/>
      <c r="B39" s="197"/>
      <c r="C39" s="163"/>
      <c r="D39" s="163"/>
      <c r="E39" s="163"/>
      <c r="F39" s="190">
        <f>C39*D39*E39</f>
        <v>0</v>
      </c>
    </row>
    <row r="40" spans="1:6" ht="15.75" customHeight="1" thickBot="1" x14ac:dyDescent="0.35">
      <c r="A40" s="907" t="s">
        <v>90</v>
      </c>
      <c r="B40" s="907"/>
      <c r="C40" s="907"/>
      <c r="D40" s="907"/>
      <c r="E40" s="907"/>
      <c r="F40" s="198">
        <f>SUM(F38:F39)</f>
        <v>0</v>
      </c>
    </row>
    <row r="41" spans="1:6" ht="16.8" thickTop="1" thickBot="1" x14ac:dyDescent="0.35">
      <c r="A41" s="103"/>
      <c r="B41" s="103"/>
      <c r="C41" s="103"/>
      <c r="D41" s="103"/>
      <c r="E41" s="103"/>
      <c r="F41" s="153"/>
    </row>
    <row r="42" spans="1:6" x14ac:dyDescent="0.3">
      <c r="A42" s="895" t="s">
        <v>91</v>
      </c>
      <c r="B42" s="896"/>
      <c r="C42" s="896"/>
      <c r="D42" s="896"/>
      <c r="E42" s="896"/>
      <c r="F42" s="897"/>
    </row>
    <row r="43" spans="1:6" ht="24.75" customHeight="1" x14ac:dyDescent="0.3">
      <c r="A43" s="891" t="s">
        <v>48</v>
      </c>
      <c r="B43" s="892"/>
      <c r="C43" s="156" t="s">
        <v>23</v>
      </c>
      <c r="D43" s="156" t="s">
        <v>378</v>
      </c>
      <c r="E43" s="156" t="s">
        <v>98</v>
      </c>
      <c r="F43" s="157" t="s">
        <v>79</v>
      </c>
    </row>
    <row r="44" spans="1:6" ht="15" customHeight="1" x14ac:dyDescent="0.3">
      <c r="A44" s="893" t="str">
        <f>M.O!B99</f>
        <v>MANO DE OBRA ELECTRICA</v>
      </c>
      <c r="B44" s="894"/>
      <c r="C44" s="176" t="s">
        <v>43</v>
      </c>
      <c r="D44" s="177">
        <f>M.O!F106</f>
        <v>50013</v>
      </c>
      <c r="E44" s="156">
        <v>2.2000000000000002</v>
      </c>
      <c r="F44" s="167">
        <f>D44*E44</f>
        <v>110028.6</v>
      </c>
    </row>
    <row r="45" spans="1:6" x14ac:dyDescent="0.3">
      <c r="A45" s="883"/>
      <c r="B45" s="884"/>
      <c r="C45" s="176"/>
      <c r="D45" s="156"/>
      <c r="E45" s="156"/>
      <c r="F45" s="167">
        <f t="shared" ref="F45:F47" si="2">D45*E45</f>
        <v>0</v>
      </c>
    </row>
    <row r="46" spans="1:6" x14ac:dyDescent="0.3">
      <c r="A46" s="883"/>
      <c r="B46" s="884"/>
      <c r="C46" s="156"/>
      <c r="D46" s="156"/>
      <c r="E46" s="156"/>
      <c r="F46" s="167">
        <f t="shared" si="2"/>
        <v>0</v>
      </c>
    </row>
    <row r="47" spans="1:6" ht="16.2" thickBot="1" x14ac:dyDescent="0.35">
      <c r="A47" s="898"/>
      <c r="B47" s="899"/>
      <c r="C47" s="178"/>
      <c r="D47" s="178"/>
      <c r="E47" s="178"/>
      <c r="F47" s="179">
        <f t="shared" si="2"/>
        <v>0</v>
      </c>
    </row>
    <row r="48" spans="1:6" ht="15.75" customHeight="1" thickBot="1" x14ac:dyDescent="0.35">
      <c r="A48" s="907" t="s">
        <v>92</v>
      </c>
      <c r="B48" s="907"/>
      <c r="C48" s="907"/>
      <c r="D48" s="907"/>
      <c r="E48" s="907"/>
      <c r="F48" s="175">
        <f>SUM(F44:F47)</f>
        <v>110028.6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75" customHeight="1" thickBot="1" x14ac:dyDescent="0.35">
      <c r="A50" s="907" t="s">
        <v>93</v>
      </c>
      <c r="B50" s="907"/>
      <c r="C50" s="907"/>
      <c r="D50" s="907"/>
      <c r="E50" s="907"/>
      <c r="F50" s="180">
        <f>ROUND(SUM(F34+F48+F20+F40),0)</f>
        <v>254119</v>
      </c>
    </row>
    <row r="51" spans="1:7" ht="16.2" thickTop="1" x14ac:dyDescent="0.3">
      <c r="A51" s="103"/>
      <c r="B51" s="103"/>
      <c r="C51" s="103"/>
      <c r="D51" s="103"/>
      <c r="E51" s="103"/>
      <c r="F51" s="153"/>
    </row>
    <row r="52" spans="1:7" x14ac:dyDescent="0.3">
      <c r="A52" s="103"/>
      <c r="B52" s="103"/>
      <c r="C52" s="103"/>
      <c r="D52" s="103"/>
      <c r="E52" s="103"/>
      <c r="F52" s="153"/>
    </row>
    <row r="54" spans="1:7" x14ac:dyDescent="0.3">
      <c r="A54" s="856" t="s">
        <v>120</v>
      </c>
      <c r="B54" s="856"/>
      <c r="D54" s="856" t="s">
        <v>122</v>
      </c>
      <c r="E54" s="856"/>
      <c r="F54" s="856"/>
      <c r="G54" s="9"/>
    </row>
    <row r="55" spans="1:7" x14ac:dyDescent="0.3">
      <c r="A55" s="741" t="s">
        <v>121</v>
      </c>
      <c r="B55" s="741"/>
      <c r="D55" s="741" t="s">
        <v>123</v>
      </c>
      <c r="E55" s="741"/>
      <c r="F55" s="741"/>
    </row>
  </sheetData>
  <mergeCells count="43">
    <mergeCell ref="A17:B17"/>
    <mergeCell ref="A33:B33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15:B15"/>
    <mergeCell ref="A16:B16"/>
    <mergeCell ref="A54:B54"/>
    <mergeCell ref="D54:F54"/>
    <mergeCell ref="A55:B55"/>
    <mergeCell ref="D55:F55"/>
    <mergeCell ref="A18:B18"/>
    <mergeCell ref="A34:E34"/>
    <mergeCell ref="A20:E20"/>
    <mergeCell ref="A22:F22"/>
    <mergeCell ref="A23:B23"/>
    <mergeCell ref="A24:B24"/>
    <mergeCell ref="A25:B25"/>
    <mergeCell ref="A26:B26"/>
    <mergeCell ref="A27:B27"/>
    <mergeCell ref="A30:B30"/>
    <mergeCell ref="A1:F5"/>
    <mergeCell ref="A29:B29"/>
    <mergeCell ref="A28:B28"/>
    <mergeCell ref="A48:E48"/>
    <mergeCell ref="A50:E50"/>
    <mergeCell ref="A47:B47"/>
    <mergeCell ref="A43:B43"/>
    <mergeCell ref="A44:B44"/>
    <mergeCell ref="A45:B45"/>
    <mergeCell ref="A46:B46"/>
    <mergeCell ref="A31:B31"/>
    <mergeCell ref="A32:B32"/>
    <mergeCell ref="A36:F36"/>
    <mergeCell ref="A40:E40"/>
    <mergeCell ref="A42:F42"/>
    <mergeCell ref="A14:B14"/>
  </mergeCells>
  <pageMargins left="0.7" right="0.7" top="0.75" bottom="0.75" header="0.3" footer="0.3"/>
  <pageSetup paperSize="9" scale="79" orientation="portrait" r:id="rId1"/>
  <colBreaks count="1" manualBreakCount="1">
    <brk id="6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11090-CF60-4132-B884-45969F5EF60B}">
  <sheetPr codeName="Hoja30">
    <tabColor rgb="FFFFFF00"/>
  </sheetPr>
  <dimension ref="A1:O53"/>
  <sheetViews>
    <sheetView view="pageBreakPreview" topLeftCell="A31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(Entidad)'!D43</f>
        <v>ML</v>
      </c>
    </row>
    <row r="10" spans="1:6" ht="47.25" customHeight="1" x14ac:dyDescent="0.3">
      <c r="A10" s="915" t="s">
        <v>75</v>
      </c>
      <c r="B10" s="922" t="str">
        <f>'PRESUPUESTO OFICIAL (Entidad)'!C43</f>
        <v>Suministro e instalación de Red electrica en tuberia pvc de 1/2", incluye 1 linea No 10 + 1 neutro No 10 + 1 Linea No 14  para toma corrientes.</v>
      </c>
      <c r="C10" s="922"/>
      <c r="D10" s="922"/>
      <c r="E10" s="851"/>
      <c r="F10" s="917"/>
    </row>
    <row r="11" spans="1:6" x14ac:dyDescent="0.3">
      <c r="A11" s="915"/>
      <c r="B11" s="210" t="s">
        <v>245</v>
      </c>
      <c r="C11" s="210" t="s">
        <v>918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22505.850000000002</v>
      </c>
      <c r="F15" s="186">
        <f t="shared" ref="F15:F19" si="0">D15*E15</f>
        <v>1125.2925000000002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1125.2925000000002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03" t="s">
        <v>565</v>
      </c>
      <c r="B24" s="904"/>
      <c r="C24" s="156" t="s">
        <v>19</v>
      </c>
      <c r="D24" s="156">
        <v>1.03</v>
      </c>
      <c r="E24" s="211">
        <f>MAT!E129</f>
        <v>3586.8344444444447</v>
      </c>
      <c r="F24" s="167">
        <f>D24*E24</f>
        <v>3694.4394777777779</v>
      </c>
    </row>
    <row r="25" spans="1:15" x14ac:dyDescent="0.3">
      <c r="A25" s="903" t="s">
        <v>575</v>
      </c>
      <c r="B25" s="904"/>
      <c r="C25" s="156" t="s">
        <v>19</v>
      </c>
      <c r="D25" s="165">
        <v>2.0299999999999998</v>
      </c>
      <c r="E25" s="211">
        <f>MAT!E38</f>
        <v>6250</v>
      </c>
      <c r="F25" s="167">
        <f t="shared" ref="F25:F31" si="1">D25*E25</f>
        <v>12687.499999999998</v>
      </c>
      <c r="I25" s="214"/>
      <c r="M25" s="214"/>
      <c r="N25" s="214"/>
      <c r="O25" s="214"/>
    </row>
    <row r="26" spans="1:15" ht="15" customHeight="1" x14ac:dyDescent="0.3">
      <c r="A26" s="903" t="s">
        <v>576</v>
      </c>
      <c r="B26" s="904"/>
      <c r="C26" s="156" t="s">
        <v>19</v>
      </c>
      <c r="D26" s="165">
        <v>1.03</v>
      </c>
      <c r="E26" s="211">
        <f>MAT!E40</f>
        <v>2000</v>
      </c>
      <c r="F26" s="167">
        <f t="shared" si="1"/>
        <v>2060</v>
      </c>
    </row>
    <row r="27" spans="1:15" x14ac:dyDescent="0.3">
      <c r="A27" s="903" t="s">
        <v>577</v>
      </c>
      <c r="B27" s="904"/>
      <c r="C27" s="156" t="s">
        <v>21</v>
      </c>
      <c r="D27" s="165">
        <v>0.25</v>
      </c>
      <c r="E27" s="211">
        <f>MAT!E74</f>
        <v>700</v>
      </c>
      <c r="F27" s="167">
        <f t="shared" si="1"/>
        <v>175</v>
      </c>
    </row>
    <row r="28" spans="1:15" ht="15" customHeight="1" x14ac:dyDescent="0.3">
      <c r="A28" s="903" t="s">
        <v>566</v>
      </c>
      <c r="B28" s="904"/>
      <c r="C28" s="156" t="s">
        <v>21</v>
      </c>
      <c r="D28" s="165">
        <v>0.05</v>
      </c>
      <c r="E28" s="211">
        <f>MAT!E67</f>
        <v>4000</v>
      </c>
      <c r="F28" s="167">
        <f t="shared" si="1"/>
        <v>200</v>
      </c>
      <c r="I28" s="214"/>
      <c r="K28" s="103"/>
    </row>
    <row r="29" spans="1:15" x14ac:dyDescent="0.3">
      <c r="A29" s="974" t="s">
        <v>723</v>
      </c>
      <c r="B29" s="974"/>
      <c r="C29" s="156" t="s">
        <v>422</v>
      </c>
      <c r="D29" s="255">
        <v>3.0000000000000001E-3</v>
      </c>
      <c r="E29" s="211">
        <f>MAT!E117</f>
        <v>67028.289999999994</v>
      </c>
      <c r="F29" s="167">
        <f t="shared" si="1"/>
        <v>201.08487</v>
      </c>
      <c r="K29" s="10"/>
    </row>
    <row r="30" spans="1:15" x14ac:dyDescent="0.3">
      <c r="A30" s="974" t="s">
        <v>626</v>
      </c>
      <c r="B30" s="974"/>
      <c r="C30" s="156" t="s">
        <v>422</v>
      </c>
      <c r="D30" s="255">
        <v>3.0000000000000001E-3</v>
      </c>
      <c r="E30" s="211">
        <f>MAT!E92</f>
        <v>36952.94</v>
      </c>
      <c r="F30" s="167">
        <f t="shared" si="1"/>
        <v>110.85882000000001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19128.883167777778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0.45</v>
      </c>
      <c r="F42" s="167">
        <f>D42*E42</f>
        <v>22505.850000000002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22505.850000000002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42760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A4AF2-A481-40C7-BAD5-27075FD3EC85}">
  <sheetPr codeName="Hoja31">
    <tabColor rgb="FFFFFF00"/>
  </sheetPr>
  <dimension ref="A1:O53"/>
  <sheetViews>
    <sheetView view="pageBreakPreview" topLeftCell="A34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(Entidad)'!D44</f>
        <v>ML</v>
      </c>
    </row>
    <row r="10" spans="1:6" ht="30.75" customHeight="1" x14ac:dyDescent="0.3">
      <c r="A10" s="915" t="s">
        <v>75</v>
      </c>
      <c r="B10" s="922" t="str">
        <f>'PRESUPUESTO OFICIAL (Entidad)'!C44</f>
        <v>Suministro e instalación de Red electrica en tuberia pvc de 1/2", incluye  1 N° 12 + neutro N° 12 para luminarias.</v>
      </c>
      <c r="C10" s="922"/>
      <c r="D10" s="922"/>
      <c r="E10" s="851"/>
      <c r="F10" s="917"/>
    </row>
    <row r="11" spans="1:6" x14ac:dyDescent="0.3">
      <c r="A11" s="915"/>
      <c r="B11" s="210" t="s">
        <v>289</v>
      </c>
      <c r="C11" s="210" t="s">
        <v>668</v>
      </c>
      <c r="D11" s="210" t="s">
        <v>917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23506.109999999997</v>
      </c>
      <c r="F15" s="186">
        <f t="shared" ref="F15:F19" si="0">D15*E15</f>
        <v>1175.3054999999999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1175.3054999999999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3.5" customHeight="1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03" t="s">
        <v>565</v>
      </c>
      <c r="B24" s="904"/>
      <c r="C24" s="156" t="s">
        <v>19</v>
      </c>
      <c r="D24" s="156">
        <v>1.03</v>
      </c>
      <c r="E24" s="211">
        <f>MAT!E129</f>
        <v>3586.8344444444447</v>
      </c>
      <c r="F24" s="167">
        <f>D24*E24</f>
        <v>3694.4394777777779</v>
      </c>
    </row>
    <row r="25" spans="1:15" x14ac:dyDescent="0.3">
      <c r="A25" s="903" t="s">
        <v>578</v>
      </c>
      <c r="B25" s="904"/>
      <c r="C25" s="156" t="s">
        <v>19</v>
      </c>
      <c r="D25" s="165">
        <v>2.0299999999999998</v>
      </c>
      <c r="E25" s="211">
        <f>MAT!E39</f>
        <v>3096.3585333333335</v>
      </c>
      <c r="F25" s="167">
        <f t="shared" ref="F25:F31" si="1">D25*E25</f>
        <v>6285.6078226666668</v>
      </c>
      <c r="I25" s="214"/>
      <c r="M25" s="214"/>
      <c r="N25" s="214"/>
      <c r="O25" s="214"/>
    </row>
    <row r="26" spans="1:15" ht="15" customHeight="1" x14ac:dyDescent="0.3">
      <c r="A26" s="903" t="s">
        <v>577</v>
      </c>
      <c r="B26" s="904"/>
      <c r="C26" s="156" t="s">
        <v>21</v>
      </c>
      <c r="D26" s="165">
        <v>0.25</v>
      </c>
      <c r="E26" s="211">
        <f>MAT!E74</f>
        <v>700</v>
      </c>
      <c r="F26" s="167">
        <f t="shared" si="1"/>
        <v>175</v>
      </c>
    </row>
    <row r="27" spans="1:15" x14ac:dyDescent="0.3">
      <c r="A27" s="903" t="s">
        <v>566</v>
      </c>
      <c r="B27" s="904"/>
      <c r="C27" s="156" t="s">
        <v>21</v>
      </c>
      <c r="D27" s="165">
        <v>0.05</v>
      </c>
      <c r="E27" s="211">
        <f>MAT!E67</f>
        <v>4000</v>
      </c>
      <c r="F27" s="167">
        <f t="shared" si="1"/>
        <v>200</v>
      </c>
    </row>
    <row r="28" spans="1:15" ht="15" customHeight="1" x14ac:dyDescent="0.3">
      <c r="A28" s="974" t="s">
        <v>723</v>
      </c>
      <c r="B28" s="974"/>
      <c r="C28" s="156" t="s">
        <v>422</v>
      </c>
      <c r="D28" s="255">
        <v>3.0000000000000001E-3</v>
      </c>
      <c r="E28" s="211">
        <f>MAT!E117</f>
        <v>67028.289999999994</v>
      </c>
      <c r="F28" s="167">
        <f t="shared" si="1"/>
        <v>201.08487</v>
      </c>
      <c r="I28" s="214"/>
      <c r="K28" s="103"/>
    </row>
    <row r="29" spans="1:15" x14ac:dyDescent="0.3">
      <c r="A29" s="974" t="s">
        <v>626</v>
      </c>
      <c r="B29" s="974"/>
      <c r="C29" s="156" t="s">
        <v>422</v>
      </c>
      <c r="D29" s="255">
        <v>3.0000000000000001E-3</v>
      </c>
      <c r="E29" s="211">
        <f>MAT!E92</f>
        <v>36952.94</v>
      </c>
      <c r="F29" s="167">
        <f t="shared" si="1"/>
        <v>110.85882000000001</v>
      </c>
      <c r="K29" s="10"/>
    </row>
    <row r="30" spans="1:15" x14ac:dyDescent="0.3">
      <c r="A30" s="974"/>
      <c r="B30" s="974"/>
      <c r="C30" s="156"/>
      <c r="D30" s="255"/>
      <c r="E30" s="211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10666.990990444445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0.47</v>
      </c>
      <c r="F42" s="167">
        <f>D42*E42</f>
        <v>23506.109999999997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23506.109999999997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35348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F615B-FD95-4597-B23A-CA510FDA5BD7}">
  <sheetPr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(Entidad)'!C36</f>
        <v>INSTALACIONES ELÉCTRICAS</v>
      </c>
      <c r="C9" s="885"/>
      <c r="D9" s="885"/>
      <c r="E9" s="851" t="s">
        <v>74</v>
      </c>
      <c r="F9" s="917" t="str">
        <f>'PRESUPUESTO OFICIAL (Entidad)'!D45</f>
        <v>ML</v>
      </c>
    </row>
    <row r="10" spans="1:6" ht="18.75" customHeight="1" x14ac:dyDescent="0.3">
      <c r="A10" s="915" t="s">
        <v>75</v>
      </c>
      <c r="B10" s="922" t="str">
        <f>'PRESUPUESTO OFICIAL (Entidad)'!C45</f>
        <v>Suministro e instalación de Cable concentrico monofasico.</v>
      </c>
      <c r="C10" s="922"/>
      <c r="D10" s="922"/>
      <c r="E10" s="851"/>
      <c r="F10" s="917"/>
    </row>
    <row r="11" spans="1:6" x14ac:dyDescent="0.3">
      <c r="A11" s="915"/>
      <c r="B11" s="210" t="s">
        <v>731</v>
      </c>
      <c r="C11" s="210" t="s">
        <v>775</v>
      </c>
      <c r="D11" s="210" t="s">
        <v>921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4001.04</v>
      </c>
      <c r="F15" s="186">
        <f t="shared" ref="F15:F19" si="0">D15*E15</f>
        <v>200.05200000000002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200.05200000000002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3.5" customHeight="1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3" t="s">
        <v>737</v>
      </c>
      <c r="B24" s="914"/>
      <c r="C24" s="156" t="s">
        <v>19</v>
      </c>
      <c r="D24" s="156">
        <v>1.03</v>
      </c>
      <c r="E24" s="211">
        <f>MAT!E55</f>
        <v>26900</v>
      </c>
      <c r="F24" s="167">
        <f>D24*E24</f>
        <v>27707</v>
      </c>
    </row>
    <row r="25" spans="1:15" x14ac:dyDescent="0.3">
      <c r="A25" s="974"/>
      <c r="B25" s="974"/>
      <c r="C25" s="156"/>
      <c r="D25" s="165"/>
      <c r="E25" s="211"/>
      <c r="F25" s="167">
        <f t="shared" ref="F25:F31" si="1">D25*E25</f>
        <v>0</v>
      </c>
      <c r="I25" s="214"/>
      <c r="M25" s="214"/>
      <c r="N25" s="214"/>
      <c r="O25" s="214"/>
    </row>
    <row r="26" spans="1:15" ht="15" customHeight="1" x14ac:dyDescent="0.3">
      <c r="A26" s="974"/>
      <c r="B26" s="974"/>
      <c r="C26" s="156"/>
      <c r="D26" s="165"/>
      <c r="E26" s="211"/>
      <c r="F26" s="167">
        <f t="shared" si="1"/>
        <v>0</v>
      </c>
    </row>
    <row r="27" spans="1:15" x14ac:dyDescent="0.3">
      <c r="A27" s="974"/>
      <c r="B27" s="974"/>
      <c r="C27" s="156"/>
      <c r="D27" s="165"/>
      <c r="E27" s="211"/>
      <c r="F27" s="167">
        <f t="shared" si="1"/>
        <v>0</v>
      </c>
    </row>
    <row r="28" spans="1:15" ht="15" customHeight="1" x14ac:dyDescent="0.3">
      <c r="A28" s="974"/>
      <c r="B28" s="974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74"/>
      <c r="B29" s="974"/>
      <c r="C29" s="156"/>
      <c r="D29" s="255"/>
      <c r="E29" s="211"/>
      <c r="F29" s="167">
        <f t="shared" si="1"/>
        <v>0</v>
      </c>
      <c r="K29" s="10"/>
    </row>
    <row r="30" spans="1:15" x14ac:dyDescent="0.3">
      <c r="A30" s="974"/>
      <c r="B30" s="974"/>
      <c r="C30" s="156"/>
      <c r="D30" s="255"/>
      <c r="E30" s="211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27707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0.08</v>
      </c>
      <c r="F42" s="167">
        <f>D42*E42</f>
        <v>4001.04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4001.04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31908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:F5"/>
    <mergeCell ref="A6:F6"/>
    <mergeCell ref="A7:F7"/>
    <mergeCell ref="B9:D9"/>
    <mergeCell ref="E9:E10"/>
    <mergeCell ref="F9:F10"/>
    <mergeCell ref="A10:A11"/>
    <mergeCell ref="B10:D10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A401-4FFF-457D-A019-BE87448348B5}">
  <sheetPr codeName="Hoja32">
    <tabColor rgb="FFFFFF00"/>
  </sheetPr>
  <dimension ref="A1:O53"/>
  <sheetViews>
    <sheetView view="pageBreakPreview" topLeftCell="A22" zoomScale="70" zoomScaleNormal="100" zoomScaleSheetLayoutView="70" workbookViewId="0">
      <selection activeCell="I35" sqref="I35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(Entidad)'!D47</f>
        <v>UND</v>
      </c>
    </row>
    <row r="10" spans="1:6" ht="29.25" customHeight="1" x14ac:dyDescent="0.3">
      <c r="A10" s="915" t="s">
        <v>75</v>
      </c>
      <c r="B10" s="922" t="str">
        <f>'PRESUPUESTO OFICIAL (Entidad)'!C47</f>
        <v>Suministro e instalacion de Punto de desague en pvc 2", incluye tuberia.</v>
      </c>
      <c r="C10" s="922"/>
      <c r="D10" s="922"/>
      <c r="E10" s="851"/>
      <c r="F10" s="917"/>
    </row>
    <row r="11" spans="1:6" x14ac:dyDescent="0.3">
      <c r="A11" s="915"/>
      <c r="B11" s="210" t="s">
        <v>178</v>
      </c>
      <c r="C11" s="210" t="s">
        <v>224</v>
      </c>
      <c r="D11" s="210" t="s">
        <v>1185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50782.799999999996</v>
      </c>
      <c r="F15" s="186">
        <f t="shared" ref="F15:F19" si="0">D15*E15</f>
        <v>2539.14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2539.14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84" t="s">
        <v>597</v>
      </c>
      <c r="B24" s="918"/>
      <c r="C24" s="156" t="s">
        <v>427</v>
      </c>
      <c r="D24" s="156">
        <v>2E-3</v>
      </c>
      <c r="E24" s="211">
        <f>MAT!E117</f>
        <v>67028.289999999994</v>
      </c>
      <c r="F24" s="167">
        <f>D24*E24</f>
        <v>134.05658</v>
      </c>
    </row>
    <row r="25" spans="1:15" x14ac:dyDescent="0.3">
      <c r="A25" s="984" t="s">
        <v>598</v>
      </c>
      <c r="B25" s="918"/>
      <c r="C25" s="156" t="s">
        <v>427</v>
      </c>
      <c r="D25" s="255">
        <v>2E-3</v>
      </c>
      <c r="E25" s="211">
        <f>MAT!E92</f>
        <v>36952.94</v>
      </c>
      <c r="F25" s="167">
        <f t="shared" ref="F25:F31" si="1">D25*E25</f>
        <v>73.90588000000001</v>
      </c>
      <c r="I25" s="214"/>
      <c r="M25" s="214"/>
      <c r="N25" s="214"/>
      <c r="O25" s="214"/>
    </row>
    <row r="26" spans="1:15" x14ac:dyDescent="0.3">
      <c r="A26" s="984" t="s">
        <v>526</v>
      </c>
      <c r="B26" s="918"/>
      <c r="C26" s="156" t="s">
        <v>19</v>
      </c>
      <c r="D26" s="165">
        <f>1.19+0.5</f>
        <v>1.69</v>
      </c>
      <c r="E26" s="211">
        <f>MAT!E132</f>
        <v>5600</v>
      </c>
      <c r="F26" s="167">
        <f t="shared" si="1"/>
        <v>9464</v>
      </c>
    </row>
    <row r="27" spans="1:15" x14ac:dyDescent="0.3">
      <c r="A27" s="984" t="s">
        <v>600</v>
      </c>
      <c r="B27" s="918"/>
      <c r="C27" s="156" t="s">
        <v>21</v>
      </c>
      <c r="D27" s="165">
        <v>2</v>
      </c>
      <c r="E27" s="211">
        <f>MAT!E69</f>
        <v>2566.6666666666665</v>
      </c>
      <c r="F27" s="167">
        <f t="shared" si="1"/>
        <v>5133.333333333333</v>
      </c>
    </row>
    <row r="28" spans="1:15" ht="15" customHeight="1" x14ac:dyDescent="0.3">
      <c r="A28" s="984"/>
      <c r="B28" s="918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84"/>
      <c r="B29" s="918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14805.295793333335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1.2</v>
      </c>
      <c r="F42" s="167">
        <f>D42*E42</f>
        <v>50782.799999999996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50782.799999999996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68127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16D9-CCEE-4322-A8CE-0A01F50DBC2A}">
  <sheetPr codeName="Hoja33">
    <tabColor rgb="FFFFFF00"/>
  </sheetPr>
  <dimension ref="A1:O53"/>
  <sheetViews>
    <sheetView view="pageBreakPreview" topLeftCell="A45" zoomScale="70" zoomScaleNormal="100" zoomScaleSheetLayoutView="70" workbookViewId="0">
      <selection activeCell="O80" sqref="O80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(Entidad)'!D48</f>
        <v>UND</v>
      </c>
    </row>
    <row r="10" spans="1:6" ht="29.25" customHeight="1" x14ac:dyDescent="0.3">
      <c r="A10" s="915" t="s">
        <v>75</v>
      </c>
      <c r="B10" s="922" t="str">
        <f>'PRESUPUESTO OFICIAL (Entidad)'!C48</f>
        <v>Suministro e instalacion de Punto de desague en pvc 3", incluye tuberia.</v>
      </c>
      <c r="C10" s="922"/>
      <c r="D10" s="922"/>
      <c r="E10" s="851"/>
      <c r="F10" s="917"/>
    </row>
    <row r="11" spans="1:6" x14ac:dyDescent="0.3">
      <c r="A11" s="915"/>
      <c r="B11" s="210" t="s">
        <v>179</v>
      </c>
      <c r="C11" s="210" t="s">
        <v>225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50782.799999999996</v>
      </c>
      <c r="F15" s="186">
        <f t="shared" ref="F15:F19" si="0">D15*E15</f>
        <v>2539.14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2539.14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84" t="s">
        <v>597</v>
      </c>
      <c r="B24" s="918"/>
      <c r="C24" s="156" t="s">
        <v>427</v>
      </c>
      <c r="D24" s="86">
        <v>0.02</v>
      </c>
      <c r="E24" s="211">
        <f>MAT!E117</f>
        <v>67028.289999999994</v>
      </c>
      <c r="F24" s="167">
        <f>D24*E24</f>
        <v>1340.5657999999999</v>
      </c>
    </row>
    <row r="25" spans="1:15" x14ac:dyDescent="0.3">
      <c r="A25" s="984" t="s">
        <v>606</v>
      </c>
      <c r="B25" s="918"/>
      <c r="C25" s="156" t="s">
        <v>427</v>
      </c>
      <c r="D25" s="86">
        <v>0.02</v>
      </c>
      <c r="E25" s="211">
        <f>MAT!E92</f>
        <v>36952.94</v>
      </c>
      <c r="F25" s="167">
        <f t="shared" ref="F25:F31" si="1">D25*E25</f>
        <v>739.05880000000002</v>
      </c>
      <c r="I25" s="214"/>
      <c r="M25" s="214"/>
      <c r="N25" s="214"/>
      <c r="O25" s="214"/>
    </row>
    <row r="26" spans="1:15" ht="15" customHeight="1" x14ac:dyDescent="0.3">
      <c r="A26" s="984" t="s">
        <v>527</v>
      </c>
      <c r="B26" s="918"/>
      <c r="C26" s="156" t="s">
        <v>19</v>
      </c>
      <c r="D26" s="165">
        <f>(0.8+1.01)/2</f>
        <v>0.90500000000000003</v>
      </c>
      <c r="E26" s="211">
        <f>MAT!E133</f>
        <v>7380.8644444444444</v>
      </c>
      <c r="F26" s="167">
        <f t="shared" si="1"/>
        <v>6679.682322222222</v>
      </c>
    </row>
    <row r="27" spans="1:15" x14ac:dyDescent="0.3">
      <c r="A27" s="984" t="s">
        <v>601</v>
      </c>
      <c r="B27" s="918"/>
      <c r="C27" s="156" t="s">
        <v>21</v>
      </c>
      <c r="D27" s="165">
        <f>2/2</f>
        <v>1</v>
      </c>
      <c r="E27" s="211">
        <f>MAT!E70</f>
        <v>4633.333333333333</v>
      </c>
      <c r="F27" s="167">
        <f t="shared" si="1"/>
        <v>4633.333333333333</v>
      </c>
    </row>
    <row r="28" spans="1:15" ht="15" customHeight="1" x14ac:dyDescent="0.3">
      <c r="A28" s="984" t="s">
        <v>599</v>
      </c>
      <c r="B28" s="918"/>
      <c r="C28" s="156" t="s">
        <v>21</v>
      </c>
      <c r="D28" s="165">
        <f>2/2</f>
        <v>1</v>
      </c>
      <c r="E28" s="211">
        <f>MAT!E114</f>
        <v>8000</v>
      </c>
      <c r="F28" s="167">
        <f t="shared" si="1"/>
        <v>8000</v>
      </c>
      <c r="I28" s="214"/>
      <c r="K28" s="103"/>
    </row>
    <row r="29" spans="1:15" x14ac:dyDescent="0.3">
      <c r="A29" s="984"/>
      <c r="B29" s="918"/>
      <c r="C29" s="156"/>
      <c r="D29" s="165"/>
      <c r="E29" s="211"/>
      <c r="F29" s="167">
        <f t="shared" si="1"/>
        <v>0</v>
      </c>
      <c r="K29" s="10"/>
    </row>
    <row r="30" spans="1:15" x14ac:dyDescent="0.3">
      <c r="A30" s="984"/>
      <c r="B30" s="918"/>
      <c r="C30" s="156"/>
      <c r="D30" s="165"/>
      <c r="E30" s="211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21392.640255555554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1.2</v>
      </c>
      <c r="F42" s="167">
        <f>D42*E42</f>
        <v>50782.799999999996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50782.799999999996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74715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2E525-024D-4C20-9F48-03104BCCC6C4}">
  <sheetPr codeName="Hoja34">
    <tabColor rgb="FFFFFF00"/>
  </sheetPr>
  <dimension ref="A1:O53"/>
  <sheetViews>
    <sheetView view="pageBreakPreview" topLeftCell="A34" zoomScale="80" zoomScaleNormal="100" zoomScaleSheetLayoutView="80" workbookViewId="0">
      <selection activeCell="D11" sqref="D11"/>
    </sheetView>
  </sheetViews>
  <sheetFormatPr baseColWidth="10" defaultColWidth="11.44140625" defaultRowHeight="13.8" x14ac:dyDescent="0.25"/>
  <cols>
    <col min="1" max="1" width="14" style="2" customWidth="1"/>
    <col min="2" max="2" width="23" style="2" customWidth="1"/>
    <col min="3" max="3" width="14.33203125" style="2" customWidth="1"/>
    <col min="4" max="4" width="14.6640625" style="2" customWidth="1"/>
    <col min="5" max="5" width="14.5546875" style="2" customWidth="1"/>
    <col min="6" max="6" width="13.88671875" style="152" customWidth="1"/>
    <col min="7" max="10" width="11.44140625" style="2"/>
    <col min="11" max="11" width="13.109375" style="2" customWidth="1"/>
    <col min="12" max="16384" width="11.44140625" style="2"/>
  </cols>
  <sheetData>
    <row r="1" spans="1:6" x14ac:dyDescent="0.25">
      <c r="A1" s="831"/>
      <c r="B1" s="831"/>
      <c r="C1" s="831"/>
      <c r="D1" s="831"/>
      <c r="E1" s="831"/>
      <c r="F1" s="831"/>
    </row>
    <row r="2" spans="1:6" x14ac:dyDescent="0.25">
      <c r="A2" s="831"/>
      <c r="B2" s="831"/>
      <c r="C2" s="831"/>
      <c r="D2" s="831"/>
      <c r="E2" s="831"/>
      <c r="F2" s="831"/>
    </row>
    <row r="3" spans="1:6" x14ac:dyDescent="0.25">
      <c r="A3" s="831"/>
      <c r="B3" s="831"/>
      <c r="C3" s="831"/>
      <c r="D3" s="831"/>
      <c r="E3" s="831"/>
      <c r="F3" s="831"/>
    </row>
    <row r="4" spans="1:6" x14ac:dyDescent="0.25">
      <c r="A4" s="831"/>
      <c r="B4" s="831"/>
      <c r="C4" s="831"/>
      <c r="D4" s="831"/>
      <c r="E4" s="831"/>
      <c r="F4" s="831"/>
    </row>
    <row r="5" spans="1:6" x14ac:dyDescent="0.25">
      <c r="A5" s="831"/>
      <c r="B5" s="831"/>
      <c r="C5" s="831"/>
      <c r="D5" s="831"/>
      <c r="E5" s="831"/>
      <c r="F5" s="831"/>
    </row>
    <row r="6" spans="1:6" ht="14.4" x14ac:dyDescent="0.3">
      <c r="A6" s="831"/>
      <c r="B6" s="831"/>
      <c r="C6" s="831"/>
      <c r="D6" s="831"/>
      <c r="E6" s="831"/>
      <c r="F6" s="831"/>
    </row>
    <row r="7" spans="1:6" x14ac:dyDescent="0.25">
      <c r="A7" s="940" t="s">
        <v>72</v>
      </c>
      <c r="B7" s="940"/>
      <c r="C7" s="940"/>
      <c r="D7" s="940"/>
      <c r="E7" s="940"/>
      <c r="F7" s="940"/>
    </row>
    <row r="8" spans="1:6" x14ac:dyDescent="0.25">
      <c r="A8" s="3"/>
      <c r="B8" s="3"/>
      <c r="C8" s="3"/>
      <c r="D8" s="3"/>
      <c r="E8" s="3"/>
      <c r="F8" s="150"/>
    </row>
    <row r="9" spans="1:6" x14ac:dyDescent="0.25">
      <c r="A9" s="184" t="s">
        <v>73</v>
      </c>
      <c r="B9" s="943" t="str">
        <f>'PRESUPUESTO OFICIAL (Entidad)'!C46</f>
        <v>INSTALACIONES HIDRAULICAS Y SANITARIAS</v>
      </c>
      <c r="C9" s="943"/>
      <c r="D9" s="943"/>
      <c r="E9" s="944" t="s">
        <v>74</v>
      </c>
      <c r="F9" s="945" t="str">
        <f>'PRESUPUESTO OFICIAL (Entidad)'!D49</f>
        <v>UND</v>
      </c>
    </row>
    <row r="10" spans="1:6" ht="31.5" customHeight="1" x14ac:dyDescent="0.25">
      <c r="A10" s="946" t="s">
        <v>75</v>
      </c>
      <c r="B10" s="947" t="str">
        <f>'PRESUPUESTO OFICIAL (Entidad)'!C49</f>
        <v>Suministro e instalacion de Punto de desague en pvc 4", incluye tuberia.</v>
      </c>
      <c r="C10" s="947"/>
      <c r="D10" s="947"/>
      <c r="E10" s="944"/>
      <c r="F10" s="945"/>
    </row>
    <row r="11" spans="1:6" ht="15.6" x14ac:dyDescent="0.3">
      <c r="A11" s="946"/>
      <c r="B11" s="206" t="s">
        <v>247</v>
      </c>
      <c r="C11" s="210" t="s">
        <v>669</v>
      </c>
      <c r="D11" s="206"/>
      <c r="E11" s="206"/>
      <c r="F11" s="206"/>
    </row>
    <row r="12" spans="1:6" ht="14.4" thickBot="1" x14ac:dyDescent="0.3">
      <c r="A12" s="3"/>
      <c r="B12" s="3"/>
      <c r="C12" s="3"/>
      <c r="D12" s="3"/>
      <c r="E12" s="3"/>
      <c r="F12" s="150"/>
    </row>
    <row r="13" spans="1:6" x14ac:dyDescent="0.25">
      <c r="A13" s="948" t="s">
        <v>76</v>
      </c>
      <c r="B13" s="949"/>
      <c r="C13" s="949"/>
      <c r="D13" s="949"/>
      <c r="E13" s="949"/>
      <c r="F13" s="950"/>
    </row>
    <row r="14" spans="1:6" s="151" customFormat="1" x14ac:dyDescent="0.3">
      <c r="A14" s="951" t="s">
        <v>48</v>
      </c>
      <c r="B14" s="952"/>
      <c r="C14" s="107" t="s">
        <v>23</v>
      </c>
      <c r="D14" s="107" t="s">
        <v>77</v>
      </c>
      <c r="E14" s="107" t="s">
        <v>78</v>
      </c>
      <c r="F14" s="223" t="s">
        <v>79</v>
      </c>
    </row>
    <row r="15" spans="1:6" ht="15" customHeight="1" x14ac:dyDescent="0.25">
      <c r="A15" s="953" t="s">
        <v>516</v>
      </c>
      <c r="B15" s="954"/>
      <c r="C15" s="105" t="s">
        <v>56</v>
      </c>
      <c r="D15" s="105">
        <f>5/100</f>
        <v>0.05</v>
      </c>
      <c r="E15" s="224">
        <f>F46</f>
        <v>50782.799999999996</v>
      </c>
      <c r="F15" s="225">
        <f t="shared" ref="F15:F19" si="0">D15*E15</f>
        <v>2539.14</v>
      </c>
    </row>
    <row r="16" spans="1:6" x14ac:dyDescent="0.25">
      <c r="A16" s="953"/>
      <c r="B16" s="954"/>
      <c r="C16" s="105"/>
      <c r="D16" s="105"/>
      <c r="E16" s="224"/>
      <c r="F16" s="225">
        <f t="shared" si="0"/>
        <v>0</v>
      </c>
    </row>
    <row r="17" spans="1:15" x14ac:dyDescent="0.25">
      <c r="A17" s="955"/>
      <c r="B17" s="956"/>
      <c r="C17" s="105"/>
      <c r="D17" s="105"/>
      <c r="E17" s="226"/>
      <c r="F17" s="225">
        <f t="shared" si="0"/>
        <v>0</v>
      </c>
    </row>
    <row r="18" spans="1:15" x14ac:dyDescent="0.25">
      <c r="A18" s="955"/>
      <c r="B18" s="956"/>
      <c r="C18" s="105"/>
      <c r="D18" s="105"/>
      <c r="E18" s="226"/>
      <c r="F18" s="225">
        <f t="shared" si="0"/>
        <v>0</v>
      </c>
    </row>
    <row r="19" spans="1:15" ht="14.4" thickBot="1" x14ac:dyDescent="0.3">
      <c r="A19" s="941"/>
      <c r="B19" s="942"/>
      <c r="C19" s="227"/>
      <c r="D19" s="227"/>
      <c r="E19" s="228"/>
      <c r="F19" s="225">
        <f t="shared" si="0"/>
        <v>0</v>
      </c>
    </row>
    <row r="20" spans="1:15" ht="14.4" thickBot="1" x14ac:dyDescent="0.3">
      <c r="A20" s="957" t="s">
        <v>80</v>
      </c>
      <c r="B20" s="957"/>
      <c r="C20" s="957"/>
      <c r="D20" s="957"/>
      <c r="E20" s="957"/>
      <c r="F20" s="229">
        <f>SUM(F15:F19)</f>
        <v>2539.14</v>
      </c>
    </row>
    <row r="21" spans="1:15" ht="15" thickTop="1" thickBot="1" x14ac:dyDescent="0.3">
      <c r="A21" s="3"/>
      <c r="B21" s="3"/>
      <c r="C21" s="3"/>
      <c r="D21" s="3"/>
      <c r="E21" s="3"/>
      <c r="F21" s="150"/>
    </row>
    <row r="22" spans="1:15" x14ac:dyDescent="0.25">
      <c r="A22" s="958" t="s">
        <v>81</v>
      </c>
      <c r="B22" s="959"/>
      <c r="C22" s="959"/>
      <c r="D22" s="959"/>
      <c r="E22" s="959"/>
      <c r="F22" s="960"/>
    </row>
    <row r="23" spans="1:15" s="151" customFormat="1" x14ac:dyDescent="0.3">
      <c r="A23" s="961" t="s">
        <v>48</v>
      </c>
      <c r="B23" s="962"/>
      <c r="C23" s="107" t="s">
        <v>21</v>
      </c>
      <c r="D23" s="107" t="s">
        <v>12</v>
      </c>
      <c r="E23" s="107" t="s">
        <v>82</v>
      </c>
      <c r="F23" s="223" t="s">
        <v>79</v>
      </c>
    </row>
    <row r="24" spans="1:15" ht="15" customHeight="1" x14ac:dyDescent="0.25">
      <c r="A24" s="985" t="s">
        <v>597</v>
      </c>
      <c r="B24" s="986"/>
      <c r="C24" s="107" t="s">
        <v>427</v>
      </c>
      <c r="D24" s="22">
        <v>0.02</v>
      </c>
      <c r="E24" s="230">
        <f>MAT!E117</f>
        <v>67028.289999999994</v>
      </c>
      <c r="F24" s="231">
        <f>D24*E24</f>
        <v>1340.5657999999999</v>
      </c>
    </row>
    <row r="25" spans="1:15" x14ac:dyDescent="0.25">
      <c r="A25" s="985" t="s">
        <v>606</v>
      </c>
      <c r="B25" s="986"/>
      <c r="C25" s="107" t="s">
        <v>427</v>
      </c>
      <c r="D25" s="22">
        <v>0.02</v>
      </c>
      <c r="E25" s="230">
        <f>MAT!E92</f>
        <v>36952.94</v>
      </c>
      <c r="F25" s="231">
        <f t="shared" ref="F25:F31" si="1">D25*E25</f>
        <v>739.05880000000002</v>
      </c>
      <c r="I25" s="207"/>
      <c r="M25" s="207"/>
      <c r="N25" s="207"/>
      <c r="O25" s="207"/>
    </row>
    <row r="26" spans="1:15" ht="15" customHeight="1" x14ac:dyDescent="0.25">
      <c r="A26" s="985" t="s">
        <v>602</v>
      </c>
      <c r="B26" s="986"/>
      <c r="C26" s="107" t="s">
        <v>19</v>
      </c>
      <c r="D26" s="233">
        <v>1.67</v>
      </c>
      <c r="E26" s="230">
        <f>MAT!E134</f>
        <v>12450</v>
      </c>
      <c r="F26" s="231">
        <f t="shared" si="1"/>
        <v>20791.5</v>
      </c>
    </row>
    <row r="27" spans="1:15" x14ac:dyDescent="0.25">
      <c r="A27" s="963" t="s">
        <v>603</v>
      </c>
      <c r="B27" s="964"/>
      <c r="C27" s="107" t="s">
        <v>21</v>
      </c>
      <c r="D27" s="233">
        <v>2</v>
      </c>
      <c r="E27" s="230">
        <f>MAT!E135</f>
        <v>4500</v>
      </c>
      <c r="F27" s="231">
        <f t="shared" si="1"/>
        <v>9000</v>
      </c>
    </row>
    <row r="28" spans="1:15" ht="15" customHeight="1" x14ac:dyDescent="0.25">
      <c r="A28" s="987"/>
      <c r="B28" s="988"/>
      <c r="C28" s="107"/>
      <c r="D28" s="233"/>
      <c r="E28" s="230"/>
      <c r="F28" s="231">
        <f t="shared" si="1"/>
        <v>0</v>
      </c>
      <c r="I28" s="207"/>
      <c r="K28" s="3"/>
    </row>
    <row r="29" spans="1:15" x14ac:dyDescent="0.25">
      <c r="A29" s="963"/>
      <c r="B29" s="964"/>
      <c r="C29" s="107"/>
      <c r="D29" s="233"/>
      <c r="E29" s="234"/>
      <c r="F29" s="231">
        <f t="shared" si="1"/>
        <v>0</v>
      </c>
      <c r="K29" s="208"/>
    </row>
    <row r="30" spans="1:15" x14ac:dyDescent="0.25">
      <c r="A30" s="963"/>
      <c r="B30" s="964"/>
      <c r="C30" s="107"/>
      <c r="D30" s="233"/>
      <c r="E30" s="234"/>
      <c r="F30" s="231">
        <f t="shared" si="1"/>
        <v>0</v>
      </c>
      <c r="K30" s="209"/>
    </row>
    <row r="31" spans="1:15" ht="14.4" thickBot="1" x14ac:dyDescent="0.3">
      <c r="A31" s="965"/>
      <c r="B31" s="966"/>
      <c r="C31" s="235"/>
      <c r="D31" s="235"/>
      <c r="E31" s="236"/>
      <c r="F31" s="237">
        <f t="shared" si="1"/>
        <v>0</v>
      </c>
    </row>
    <row r="32" spans="1:15" ht="15.75" customHeight="1" thickBot="1" x14ac:dyDescent="0.3">
      <c r="A32" s="957" t="s">
        <v>84</v>
      </c>
      <c r="B32" s="957"/>
      <c r="C32" s="957"/>
      <c r="D32" s="957"/>
      <c r="E32" s="957"/>
      <c r="F32" s="238">
        <f>SUM(F24:F31)</f>
        <v>31871.124599999999</v>
      </c>
    </row>
    <row r="33" spans="1:6" ht="15" thickTop="1" thickBot="1" x14ac:dyDescent="0.3">
      <c r="A33" s="3"/>
      <c r="B33" s="3"/>
      <c r="C33" s="3"/>
      <c r="D33" s="3"/>
      <c r="E33" s="3"/>
      <c r="F33" s="150"/>
    </row>
    <row r="34" spans="1:6" x14ac:dyDescent="0.25">
      <c r="A34" s="958" t="s">
        <v>85</v>
      </c>
      <c r="B34" s="959"/>
      <c r="C34" s="959"/>
      <c r="D34" s="959"/>
      <c r="E34" s="959"/>
      <c r="F34" s="960"/>
    </row>
    <row r="35" spans="1:6" x14ac:dyDescent="0.25">
      <c r="A35" s="104" t="s">
        <v>86</v>
      </c>
      <c r="B35" s="107" t="s">
        <v>94</v>
      </c>
      <c r="C35" s="105" t="s">
        <v>96</v>
      </c>
      <c r="D35" s="105" t="s">
        <v>97</v>
      </c>
      <c r="E35" s="105" t="s">
        <v>95</v>
      </c>
      <c r="F35" s="106" t="s">
        <v>82</v>
      </c>
    </row>
    <row r="36" spans="1:6" x14ac:dyDescent="0.25">
      <c r="A36" s="104"/>
      <c r="B36" s="49"/>
      <c r="C36" s="105"/>
      <c r="D36" s="105"/>
      <c r="E36" s="105"/>
      <c r="F36" s="225">
        <f>C36*D36*E36</f>
        <v>0</v>
      </c>
    </row>
    <row r="37" spans="1:6" ht="14.4" thickBot="1" x14ac:dyDescent="0.3">
      <c r="A37" s="239"/>
      <c r="B37" s="240"/>
      <c r="C37" s="227"/>
      <c r="D37" s="227"/>
      <c r="E37" s="227"/>
      <c r="F37" s="241">
        <f>C37*D37*E37</f>
        <v>0</v>
      </c>
    </row>
    <row r="38" spans="1:6" ht="15.75" customHeight="1" thickBot="1" x14ac:dyDescent="0.3">
      <c r="A38" s="969" t="s">
        <v>90</v>
      </c>
      <c r="B38" s="969"/>
      <c r="C38" s="969"/>
      <c r="D38" s="969"/>
      <c r="E38" s="969"/>
      <c r="F38" s="242">
        <f>SUM(F36:F37)</f>
        <v>0</v>
      </c>
    </row>
    <row r="39" spans="1:6" ht="15" thickTop="1" thickBot="1" x14ac:dyDescent="0.3">
      <c r="A39" s="3"/>
      <c r="B39" s="3"/>
      <c r="C39" s="3"/>
      <c r="D39" s="3"/>
      <c r="E39" s="3"/>
      <c r="F39" s="150"/>
    </row>
    <row r="40" spans="1:6" x14ac:dyDescent="0.25">
      <c r="A40" s="958" t="s">
        <v>91</v>
      </c>
      <c r="B40" s="959"/>
      <c r="C40" s="959"/>
      <c r="D40" s="959"/>
      <c r="E40" s="959"/>
      <c r="F40" s="960"/>
    </row>
    <row r="41" spans="1:6" ht="24.75" customHeight="1" x14ac:dyDescent="0.25">
      <c r="A41" s="951" t="s">
        <v>48</v>
      </c>
      <c r="B41" s="952"/>
      <c r="C41" s="107" t="s">
        <v>23</v>
      </c>
      <c r="D41" s="107" t="s">
        <v>378</v>
      </c>
      <c r="E41" s="107" t="s">
        <v>98</v>
      </c>
      <c r="F41" s="223" t="s">
        <v>79</v>
      </c>
    </row>
    <row r="42" spans="1:6" ht="15" customHeight="1" x14ac:dyDescent="0.25">
      <c r="A42" s="953" t="str">
        <f>M.O!B72</f>
        <v>MANO DE OBRA HIDRAULICA</v>
      </c>
      <c r="B42" s="954"/>
      <c r="C42" s="243" t="s">
        <v>43</v>
      </c>
      <c r="D42" s="244">
        <f>M.O!F79</f>
        <v>42319</v>
      </c>
      <c r="E42" s="107">
        <v>1.2</v>
      </c>
      <c r="F42" s="231">
        <f>D42*E42</f>
        <v>50782.799999999996</v>
      </c>
    </row>
    <row r="43" spans="1:6" x14ac:dyDescent="0.25">
      <c r="A43" s="955"/>
      <c r="B43" s="956"/>
      <c r="C43" s="243"/>
      <c r="D43" s="107"/>
      <c r="E43" s="107"/>
      <c r="F43" s="231">
        <f t="shared" ref="F43:F45" si="2">D43*E43</f>
        <v>0</v>
      </c>
    </row>
    <row r="44" spans="1:6" x14ac:dyDescent="0.25">
      <c r="A44" s="955"/>
      <c r="B44" s="956"/>
      <c r="C44" s="107"/>
      <c r="D44" s="107"/>
      <c r="E44" s="107"/>
      <c r="F44" s="231">
        <f t="shared" si="2"/>
        <v>0</v>
      </c>
    </row>
    <row r="45" spans="1:6" ht="14.4" thickBot="1" x14ac:dyDescent="0.3">
      <c r="A45" s="941"/>
      <c r="B45" s="942"/>
      <c r="C45" s="235"/>
      <c r="D45" s="235"/>
      <c r="E45" s="235"/>
      <c r="F45" s="237">
        <f t="shared" si="2"/>
        <v>0</v>
      </c>
    </row>
    <row r="46" spans="1:6" ht="15.75" customHeight="1" thickBot="1" x14ac:dyDescent="0.3">
      <c r="A46" s="969" t="s">
        <v>92</v>
      </c>
      <c r="B46" s="969"/>
      <c r="C46" s="969"/>
      <c r="D46" s="969"/>
      <c r="E46" s="969"/>
      <c r="F46" s="245">
        <f>SUM(F42:F45)</f>
        <v>50782.799999999996</v>
      </c>
    </row>
    <row r="47" spans="1:6" ht="14.4" thickTop="1" x14ac:dyDescent="0.25">
      <c r="A47" s="3"/>
      <c r="B47" s="3"/>
      <c r="C47" s="3"/>
      <c r="D47" s="3"/>
      <c r="E47" s="3"/>
      <c r="F47" s="150"/>
    </row>
    <row r="48" spans="1:6" ht="15.75" customHeight="1" thickBot="1" x14ac:dyDescent="0.3">
      <c r="A48" s="969" t="s">
        <v>93</v>
      </c>
      <c r="B48" s="969"/>
      <c r="C48" s="969"/>
      <c r="D48" s="969"/>
      <c r="E48" s="969"/>
      <c r="F48" s="246">
        <f>ROUND(SUM(F32+F46+F20+F38),0)</f>
        <v>85193</v>
      </c>
    </row>
    <row r="49" spans="1:7" ht="14.4" thickTop="1" x14ac:dyDescent="0.25">
      <c r="A49" s="3"/>
      <c r="B49" s="3"/>
      <c r="C49" s="3"/>
      <c r="D49" s="3"/>
      <c r="E49" s="3"/>
      <c r="F49" s="150"/>
    </row>
    <row r="50" spans="1:7" x14ac:dyDescent="0.25">
      <c r="A50" s="3"/>
      <c r="B50" s="3"/>
      <c r="C50" s="3"/>
      <c r="D50" s="3"/>
      <c r="E50" s="3"/>
      <c r="F50" s="150"/>
    </row>
    <row r="52" spans="1:7" ht="15.6" x14ac:dyDescent="0.3">
      <c r="A52" s="856" t="s">
        <v>120</v>
      </c>
      <c r="B52" s="856"/>
      <c r="D52" s="967" t="s">
        <v>122</v>
      </c>
      <c r="E52" s="967"/>
      <c r="F52" s="967"/>
      <c r="G52" s="247"/>
    </row>
    <row r="53" spans="1:7" x14ac:dyDescent="0.25">
      <c r="A53" s="968" t="s">
        <v>121</v>
      </c>
      <c r="B53" s="968"/>
      <c r="D53" s="968" t="s">
        <v>123</v>
      </c>
      <c r="E53" s="968"/>
      <c r="F53" s="968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DA39C-0301-4E8C-BDC5-43EC1D663290}">
  <sheetPr codeName="Hoja35">
    <tabColor rgb="FFFFFF00"/>
  </sheetPr>
  <dimension ref="A1:O53"/>
  <sheetViews>
    <sheetView view="pageBreakPreview" topLeftCell="A24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(Entidad)'!D50</f>
        <v>UND</v>
      </c>
    </row>
    <row r="10" spans="1:6" ht="15" customHeight="1" x14ac:dyDescent="0.3">
      <c r="A10" s="915" t="s">
        <v>75</v>
      </c>
      <c r="B10" s="922" t="str">
        <f>'PRESUPUESTO OFICIAL (Entidad)'!C50</f>
        <v>Caja de inspeccion de 60x60 cm, ladrillo.</v>
      </c>
      <c r="C10" s="922"/>
      <c r="D10" s="922"/>
      <c r="E10" s="851"/>
      <c r="F10" s="917"/>
    </row>
    <row r="11" spans="1:6" x14ac:dyDescent="0.3">
      <c r="A11" s="915"/>
      <c r="B11" s="210" t="s">
        <v>248</v>
      </c>
      <c r="C11" s="210" t="s">
        <v>670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169276</v>
      </c>
      <c r="F15" s="186">
        <f t="shared" ref="F15:F19" si="0">D15*E15</f>
        <v>8463.8000000000011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8463.8000000000011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8" customHeight="1" x14ac:dyDescent="0.3">
      <c r="A24" s="904" t="s">
        <v>191</v>
      </c>
      <c r="B24" s="904"/>
      <c r="C24" s="86" t="s">
        <v>9</v>
      </c>
      <c r="D24" s="165">
        <v>0.13</v>
      </c>
      <c r="E24" s="256">
        <f>MAT!E20</f>
        <v>33333.333333333336</v>
      </c>
      <c r="F24" s="167">
        <f>D24*E24</f>
        <v>4333.3333333333339</v>
      </c>
    </row>
    <row r="25" spans="1:15" x14ac:dyDescent="0.3">
      <c r="A25" s="904" t="s">
        <v>511</v>
      </c>
      <c r="B25" s="904"/>
      <c r="C25" s="86" t="s">
        <v>111</v>
      </c>
      <c r="D25" s="165">
        <v>4.16</v>
      </c>
      <c r="E25" s="256">
        <f>MAT!E35</f>
        <v>5050</v>
      </c>
      <c r="F25" s="167">
        <f t="shared" ref="F25:F31" si="1">D25*E25</f>
        <v>21008</v>
      </c>
      <c r="I25" s="214"/>
      <c r="M25" s="214"/>
      <c r="N25" s="214"/>
      <c r="O25" s="214"/>
    </row>
    <row r="26" spans="1:15" ht="15" customHeight="1" x14ac:dyDescent="0.3">
      <c r="A26" s="904" t="s">
        <v>747</v>
      </c>
      <c r="B26" s="904"/>
      <c r="C26" s="86" t="s">
        <v>21</v>
      </c>
      <c r="D26" s="165">
        <v>97</v>
      </c>
      <c r="E26" s="256">
        <f>MAT!E86</f>
        <v>800</v>
      </c>
      <c r="F26" s="167">
        <f t="shared" si="1"/>
        <v>77600</v>
      </c>
    </row>
    <row r="27" spans="1:15" x14ac:dyDescent="0.3">
      <c r="A27" s="904" t="s">
        <v>514</v>
      </c>
      <c r="B27" s="904"/>
      <c r="C27" s="86" t="s">
        <v>9</v>
      </c>
      <c r="D27" s="165">
        <v>8.5000000000000006E-2</v>
      </c>
      <c r="E27" s="256">
        <f>MAT!E31</f>
        <v>442836</v>
      </c>
      <c r="F27" s="167">
        <f t="shared" si="1"/>
        <v>37641.060000000005</v>
      </c>
    </row>
    <row r="28" spans="1:15" ht="15" customHeight="1" x14ac:dyDescent="0.3">
      <c r="A28" s="904" t="s">
        <v>192</v>
      </c>
      <c r="B28" s="904"/>
      <c r="C28" s="86" t="s">
        <v>9</v>
      </c>
      <c r="D28" s="165">
        <v>0.05</v>
      </c>
      <c r="E28" s="256">
        <f>MAT!E26</f>
        <v>514121</v>
      </c>
      <c r="F28" s="167">
        <f t="shared" si="1"/>
        <v>25706.050000000003</v>
      </c>
      <c r="I28" s="214"/>
      <c r="K28" s="103"/>
    </row>
    <row r="29" spans="1:15" x14ac:dyDescent="0.3">
      <c r="A29" s="904" t="s">
        <v>193</v>
      </c>
      <c r="B29" s="904"/>
      <c r="C29" s="86" t="s">
        <v>111</v>
      </c>
      <c r="D29" s="165">
        <v>0.54</v>
      </c>
      <c r="E29" s="256">
        <f>MAT!E16</f>
        <v>726.6658666666666</v>
      </c>
      <c r="F29" s="167">
        <f t="shared" si="1"/>
        <v>392.39956799999999</v>
      </c>
      <c r="K29" s="10"/>
    </row>
    <row r="30" spans="1:15" x14ac:dyDescent="0.3">
      <c r="A30" s="904" t="s">
        <v>609</v>
      </c>
      <c r="B30" s="904"/>
      <c r="C30" s="86" t="s">
        <v>9</v>
      </c>
      <c r="D30" s="165">
        <v>4.8</v>
      </c>
      <c r="E30" s="256">
        <f>MAT!E42</f>
        <v>5322.2222222222226</v>
      </c>
      <c r="F30" s="167">
        <f t="shared" si="1"/>
        <v>25546.666666666668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192227.50956800001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4</v>
      </c>
      <c r="F42" s="167">
        <f>D42*E42</f>
        <v>169276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169276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369967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817F-E4E3-4A4D-9EF0-2F2C93D6F010}">
  <sheetPr codeName="Hoja36"/>
  <dimension ref="A1:O55"/>
  <sheetViews>
    <sheetView view="pageBreakPreview" topLeftCell="A25" zoomScale="70" zoomScaleNormal="100" zoomScaleSheetLayoutView="70" workbookViewId="0">
      <selection activeCell="D12" sqref="D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(Entidad)'!D51</f>
        <v>UND</v>
      </c>
    </row>
    <row r="10" spans="1:6" ht="33" customHeight="1" x14ac:dyDescent="0.3">
      <c r="A10" s="915" t="s">
        <v>75</v>
      </c>
      <c r="B10" s="922" t="str">
        <f>'PRESUPUESTO OFICIAL (Entidad)'!C51</f>
        <v>Suministro e instalacion de Punto agua fria de ½" PVC, incluye tuberia.</v>
      </c>
      <c r="C10" s="922"/>
      <c r="D10" s="922"/>
      <c r="E10" s="851"/>
      <c r="F10" s="917"/>
    </row>
    <row r="11" spans="1:6" x14ac:dyDescent="0.3">
      <c r="A11" s="915"/>
      <c r="B11" s="210" t="s">
        <v>249</v>
      </c>
      <c r="C11" s="210" t="s">
        <v>671</v>
      </c>
      <c r="D11" s="210" t="s">
        <v>1187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F48</f>
        <v>63478.5</v>
      </c>
      <c r="F15" s="186">
        <f t="shared" ref="F15:F19" si="0">D15*E15</f>
        <v>3173.9250000000002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3173.9250000000002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3" t="s">
        <v>748</v>
      </c>
      <c r="B24" s="974"/>
      <c r="C24" s="156" t="s">
        <v>422</v>
      </c>
      <c r="D24" s="86">
        <v>0.02</v>
      </c>
      <c r="E24" s="211">
        <f>MAT!E117</f>
        <v>67028.289999999994</v>
      </c>
      <c r="F24" s="167">
        <f>D24*E24</f>
        <v>1340.5657999999999</v>
      </c>
    </row>
    <row r="25" spans="1:15" x14ac:dyDescent="0.3">
      <c r="A25" s="973" t="s">
        <v>749</v>
      </c>
      <c r="B25" s="974"/>
      <c r="C25" s="156" t="s">
        <v>422</v>
      </c>
      <c r="D25" s="86">
        <v>0.02</v>
      </c>
      <c r="E25" s="211">
        <f>MAT!E92</f>
        <v>36952.94</v>
      </c>
      <c r="F25" s="167">
        <f t="shared" ref="F25:F33" si="1">D25*E25</f>
        <v>739.05880000000002</v>
      </c>
      <c r="I25" s="214"/>
      <c r="M25" s="214"/>
      <c r="N25" s="214"/>
      <c r="O25" s="214"/>
    </row>
    <row r="26" spans="1:15" ht="15" customHeight="1" x14ac:dyDescent="0.3">
      <c r="A26" s="990" t="s">
        <v>750</v>
      </c>
      <c r="B26" s="991"/>
      <c r="C26" s="315" t="s">
        <v>19</v>
      </c>
      <c r="D26" s="165">
        <v>1</v>
      </c>
      <c r="E26" s="211">
        <f>MAT!E131</f>
        <v>2600</v>
      </c>
      <c r="F26" s="167">
        <f t="shared" si="1"/>
        <v>2600</v>
      </c>
    </row>
    <row r="27" spans="1:15" ht="15.75" customHeight="1" x14ac:dyDescent="0.3">
      <c r="A27" s="903" t="s">
        <v>684</v>
      </c>
      <c r="B27" s="904"/>
      <c r="C27" s="156" t="s">
        <v>21</v>
      </c>
      <c r="D27" s="165">
        <v>0.1</v>
      </c>
      <c r="E27" s="211">
        <f>MAT!E68</f>
        <v>1000</v>
      </c>
      <c r="F27" s="167">
        <f t="shared" si="1"/>
        <v>100</v>
      </c>
    </row>
    <row r="28" spans="1:15" ht="15" customHeight="1" x14ac:dyDescent="0.3">
      <c r="A28" s="989" t="s">
        <v>751</v>
      </c>
      <c r="B28" s="918"/>
      <c r="C28" s="156" t="s">
        <v>21</v>
      </c>
      <c r="D28" s="165">
        <v>1</v>
      </c>
      <c r="E28" s="211">
        <f>MAT!E97</f>
        <v>11600</v>
      </c>
      <c r="F28" s="167">
        <f t="shared" si="1"/>
        <v>11600</v>
      </c>
      <c r="I28" s="214"/>
      <c r="K28" s="103"/>
    </row>
    <row r="29" spans="1:15" ht="15" customHeight="1" x14ac:dyDescent="0.3">
      <c r="A29" s="989" t="s">
        <v>752</v>
      </c>
      <c r="B29" s="918"/>
      <c r="C29" s="156" t="s">
        <v>21</v>
      </c>
      <c r="D29" s="165">
        <v>1</v>
      </c>
      <c r="E29" s="211">
        <f>MAT!E72</f>
        <v>650</v>
      </c>
      <c r="F29" s="167">
        <f t="shared" si="1"/>
        <v>650</v>
      </c>
      <c r="I29" s="214"/>
      <c r="K29" s="103"/>
    </row>
    <row r="30" spans="1:15" ht="15" customHeight="1" x14ac:dyDescent="0.3">
      <c r="A30" s="989"/>
      <c r="B30" s="918"/>
      <c r="C30" s="156"/>
      <c r="D30" s="165"/>
      <c r="E30" s="211"/>
      <c r="F30" s="167">
        <f t="shared" si="1"/>
        <v>0</v>
      </c>
      <c r="I30" s="214"/>
      <c r="K30" s="103"/>
    </row>
    <row r="31" spans="1:15" x14ac:dyDescent="0.3">
      <c r="A31" s="989"/>
      <c r="B31" s="918"/>
      <c r="C31" s="156"/>
      <c r="D31" s="165"/>
      <c r="E31" s="211"/>
      <c r="F31" s="167">
        <f t="shared" si="1"/>
        <v>0</v>
      </c>
      <c r="K31" s="10"/>
    </row>
    <row r="32" spans="1:15" x14ac:dyDescent="0.3">
      <c r="A32" s="989"/>
      <c r="B32" s="918"/>
      <c r="C32" s="156"/>
      <c r="D32" s="165"/>
      <c r="E32" s="211"/>
      <c r="F32" s="167">
        <f t="shared" si="1"/>
        <v>0</v>
      </c>
      <c r="K32" s="217"/>
    </row>
    <row r="33" spans="1:6" ht="16.2" thickBot="1" x14ac:dyDescent="0.35">
      <c r="A33" s="992"/>
      <c r="B33" s="993"/>
      <c r="C33" s="178"/>
      <c r="D33" s="178"/>
      <c r="E33" s="218"/>
      <c r="F33" s="179">
        <f t="shared" si="1"/>
        <v>0</v>
      </c>
    </row>
    <row r="34" spans="1:6" ht="15.75" customHeight="1" thickBot="1" x14ac:dyDescent="0.35">
      <c r="A34" s="900" t="s">
        <v>84</v>
      </c>
      <c r="B34" s="900"/>
      <c r="C34" s="900"/>
      <c r="D34" s="900"/>
      <c r="E34" s="900"/>
      <c r="F34" s="168">
        <f>SUM(F24:F33)</f>
        <v>17029.624599999999</v>
      </c>
    </row>
    <row r="35" spans="1:6" ht="16.8" thickTop="1" thickBot="1" x14ac:dyDescent="0.35">
      <c r="A35" s="103"/>
      <c r="B35" s="103"/>
      <c r="C35" s="103"/>
      <c r="D35" s="103"/>
      <c r="E35" s="103"/>
      <c r="F35" s="153"/>
    </row>
    <row r="36" spans="1:6" x14ac:dyDescent="0.3">
      <c r="A36" s="895" t="s">
        <v>85</v>
      </c>
      <c r="B36" s="896"/>
      <c r="C36" s="896"/>
      <c r="D36" s="896"/>
      <c r="E36" s="896"/>
      <c r="F36" s="897"/>
    </row>
    <row r="37" spans="1:6" ht="31.2" x14ac:dyDescent="0.3">
      <c r="A37" s="169" t="s">
        <v>86</v>
      </c>
      <c r="B37" s="156" t="s">
        <v>94</v>
      </c>
      <c r="C37" s="158" t="s">
        <v>96</v>
      </c>
      <c r="D37" s="158" t="s">
        <v>97</v>
      </c>
      <c r="E37" s="158" t="s">
        <v>95</v>
      </c>
      <c r="F37" s="160" t="s">
        <v>82</v>
      </c>
    </row>
    <row r="38" spans="1:6" x14ac:dyDescent="0.3">
      <c r="A38" s="169"/>
      <c r="B38" s="111"/>
      <c r="C38" s="158"/>
      <c r="D38" s="158"/>
      <c r="E38" s="158"/>
      <c r="F38" s="186">
        <f>C38*D38*E38</f>
        <v>0</v>
      </c>
    </row>
    <row r="39" spans="1:6" ht="16.2" thickBot="1" x14ac:dyDescent="0.35">
      <c r="A39" s="171"/>
      <c r="B39" s="197"/>
      <c r="C39" s="163"/>
      <c r="D39" s="163"/>
      <c r="E39" s="163"/>
      <c r="F39" s="190">
        <f>C39*D39*E39</f>
        <v>0</v>
      </c>
    </row>
    <row r="40" spans="1:6" ht="15.75" customHeight="1" thickBot="1" x14ac:dyDescent="0.35">
      <c r="A40" s="907" t="s">
        <v>90</v>
      </c>
      <c r="B40" s="907"/>
      <c r="C40" s="907"/>
      <c r="D40" s="907"/>
      <c r="E40" s="907"/>
      <c r="F40" s="198">
        <f>SUM(F38:F39)</f>
        <v>0</v>
      </c>
    </row>
    <row r="41" spans="1:6" ht="16.8" thickTop="1" thickBot="1" x14ac:dyDescent="0.35">
      <c r="A41" s="103"/>
      <c r="B41" s="103"/>
      <c r="C41" s="103"/>
      <c r="D41" s="103"/>
      <c r="E41" s="103"/>
      <c r="F41" s="153"/>
    </row>
    <row r="42" spans="1:6" x14ac:dyDescent="0.3">
      <c r="A42" s="895" t="s">
        <v>91</v>
      </c>
      <c r="B42" s="896"/>
      <c r="C42" s="896"/>
      <c r="D42" s="896"/>
      <c r="E42" s="896"/>
      <c r="F42" s="897"/>
    </row>
    <row r="43" spans="1:6" ht="24.75" customHeight="1" x14ac:dyDescent="0.3">
      <c r="A43" s="891" t="s">
        <v>48</v>
      </c>
      <c r="B43" s="892"/>
      <c r="C43" s="156" t="s">
        <v>23</v>
      </c>
      <c r="D43" s="156" t="s">
        <v>378</v>
      </c>
      <c r="E43" s="156" t="s">
        <v>98</v>
      </c>
      <c r="F43" s="157" t="s">
        <v>79</v>
      </c>
    </row>
    <row r="44" spans="1:6" ht="15" customHeight="1" x14ac:dyDescent="0.3">
      <c r="A44" s="893" t="str">
        <f>M.O!B72</f>
        <v>MANO DE OBRA HIDRAULICA</v>
      </c>
      <c r="B44" s="894"/>
      <c r="C44" s="176" t="s">
        <v>43</v>
      </c>
      <c r="D44" s="177">
        <f>M.O!F79</f>
        <v>42319</v>
      </c>
      <c r="E44" s="156">
        <v>1.5</v>
      </c>
      <c r="F44" s="167">
        <f>D44*E44</f>
        <v>63478.5</v>
      </c>
    </row>
    <row r="45" spans="1:6" x14ac:dyDescent="0.3">
      <c r="A45" s="883"/>
      <c r="B45" s="884"/>
      <c r="C45" s="176"/>
      <c r="D45" s="156"/>
      <c r="E45" s="156"/>
      <c r="F45" s="167">
        <f t="shared" ref="F45:F47" si="2">D45*E45</f>
        <v>0</v>
      </c>
    </row>
    <row r="46" spans="1:6" x14ac:dyDescent="0.3">
      <c r="A46" s="883"/>
      <c r="B46" s="884"/>
      <c r="C46" s="156"/>
      <c r="D46" s="156"/>
      <c r="E46" s="156"/>
      <c r="F46" s="167">
        <f t="shared" si="2"/>
        <v>0</v>
      </c>
    </row>
    <row r="47" spans="1:6" ht="16.2" thickBot="1" x14ac:dyDescent="0.35">
      <c r="A47" s="898"/>
      <c r="B47" s="899"/>
      <c r="C47" s="178"/>
      <c r="D47" s="178"/>
      <c r="E47" s="178"/>
      <c r="F47" s="179">
        <f t="shared" si="2"/>
        <v>0</v>
      </c>
    </row>
    <row r="48" spans="1:6" ht="15.75" customHeight="1" thickBot="1" x14ac:dyDescent="0.35">
      <c r="A48" s="907" t="s">
        <v>92</v>
      </c>
      <c r="B48" s="907"/>
      <c r="C48" s="907"/>
      <c r="D48" s="907"/>
      <c r="E48" s="907"/>
      <c r="F48" s="175">
        <f>SUM(F44:F47)</f>
        <v>63478.5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75" customHeight="1" thickBot="1" x14ac:dyDescent="0.35">
      <c r="A50" s="907" t="s">
        <v>93</v>
      </c>
      <c r="B50" s="907"/>
      <c r="C50" s="907"/>
      <c r="D50" s="907"/>
      <c r="E50" s="907"/>
      <c r="F50" s="180">
        <f>ROUND(SUM(F34+F48+F20+F40),0)</f>
        <v>83682</v>
      </c>
    </row>
    <row r="51" spans="1:7" ht="16.2" thickTop="1" x14ac:dyDescent="0.3">
      <c r="A51" s="103"/>
      <c r="B51" s="103"/>
      <c r="C51" s="103"/>
      <c r="D51" s="103"/>
      <c r="E51" s="103"/>
      <c r="F51" s="153"/>
    </row>
    <row r="52" spans="1:7" x14ac:dyDescent="0.3">
      <c r="A52" s="103"/>
      <c r="B52" s="103"/>
      <c r="C52" s="103"/>
      <c r="D52" s="103"/>
      <c r="E52" s="103"/>
      <c r="F52" s="153"/>
    </row>
    <row r="54" spans="1:7" x14ac:dyDescent="0.3">
      <c r="A54" s="856" t="s">
        <v>120</v>
      </c>
      <c r="B54" s="856"/>
      <c r="D54" s="856" t="s">
        <v>122</v>
      </c>
      <c r="E54" s="856"/>
      <c r="F54" s="856"/>
      <c r="G54" s="9"/>
    </row>
    <row r="55" spans="1:7" x14ac:dyDescent="0.3">
      <c r="A55" s="741" t="s">
        <v>121</v>
      </c>
      <c r="B55" s="741"/>
      <c r="D55" s="741" t="s">
        <v>123</v>
      </c>
      <c r="E55" s="741"/>
      <c r="F55" s="741"/>
    </row>
  </sheetData>
  <mergeCells count="43">
    <mergeCell ref="A17:B17"/>
    <mergeCell ref="A33:B33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15:B15"/>
    <mergeCell ref="A16:B16"/>
    <mergeCell ref="A54:B54"/>
    <mergeCell ref="D54:F54"/>
    <mergeCell ref="A55:B55"/>
    <mergeCell ref="D55:F55"/>
    <mergeCell ref="A18:B18"/>
    <mergeCell ref="A34:E34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30:B30"/>
    <mergeCell ref="A29:B29"/>
    <mergeCell ref="A48:E48"/>
    <mergeCell ref="A50:E50"/>
    <mergeCell ref="A47:B47"/>
    <mergeCell ref="A43:B43"/>
    <mergeCell ref="A44:B44"/>
    <mergeCell ref="A45:B45"/>
    <mergeCell ref="A46:B46"/>
    <mergeCell ref="A31:B31"/>
    <mergeCell ref="A32:B32"/>
    <mergeCell ref="A36:F36"/>
    <mergeCell ref="A40:E40"/>
    <mergeCell ref="A42:F42"/>
    <mergeCell ref="A14:B14"/>
  </mergeCells>
  <pageMargins left="0.7" right="0.7" top="0.75" bottom="0.75" header="0.3" footer="0.3"/>
  <pageSetup paperSize="9" scale="80" orientation="portrait" r:id="rId1"/>
  <colBreaks count="1" manualBreakCount="1">
    <brk id="6" max="1048575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1B37F-9F7B-45F2-B9C0-6764A9C22EF9}">
  <sheetPr codeName="Hoja37">
    <tabColor rgb="FFFFFF00"/>
  </sheetPr>
  <dimension ref="A1:O53"/>
  <sheetViews>
    <sheetView view="pageBreakPreview" topLeftCell="A28" zoomScale="70" zoomScaleNormal="100" zoomScaleSheetLayoutView="70" workbookViewId="0">
      <selection activeCell="Q33" sqref="Q3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(Entidad)'!D52</f>
        <v>UND</v>
      </c>
    </row>
    <row r="10" spans="1:6" ht="15" customHeight="1" x14ac:dyDescent="0.3">
      <c r="A10" s="915" t="s">
        <v>75</v>
      </c>
      <c r="B10" s="922" t="str">
        <f>'PRESUPUESTO OFICIAL (Entidad)'!C52</f>
        <v>Suministro e instalacion de Registro de paso  directo  ½" (bola).</v>
      </c>
      <c r="C10" s="922"/>
      <c r="D10" s="922"/>
      <c r="E10" s="851"/>
      <c r="F10" s="917"/>
    </row>
    <row r="11" spans="1:6" x14ac:dyDescent="0.3">
      <c r="A11" s="915"/>
      <c r="B11" s="210" t="s">
        <v>250</v>
      </c>
      <c r="C11" s="210" t="s">
        <v>672</v>
      </c>
      <c r="D11" s="210" t="s">
        <v>1188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12695.699999999999</v>
      </c>
      <c r="F15" s="186">
        <f t="shared" ref="F15:F19" si="0">D15*E15</f>
        <v>634.78499999999997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634.78499999999997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3" t="s">
        <v>748</v>
      </c>
      <c r="B24" s="974"/>
      <c r="C24" s="156" t="s">
        <v>422</v>
      </c>
      <c r="D24" s="57">
        <v>0.02</v>
      </c>
      <c r="E24" s="211">
        <f>MAT!E117</f>
        <v>67028.289999999994</v>
      </c>
      <c r="F24" s="167">
        <f>D24*E24</f>
        <v>1340.5657999999999</v>
      </c>
    </row>
    <row r="25" spans="1:15" x14ac:dyDescent="0.3">
      <c r="A25" s="973" t="s">
        <v>749</v>
      </c>
      <c r="B25" s="974"/>
      <c r="C25" s="156" t="s">
        <v>422</v>
      </c>
      <c r="D25" s="57">
        <v>0.02</v>
      </c>
      <c r="E25" s="211">
        <f>MAT!E92</f>
        <v>36952.94</v>
      </c>
      <c r="F25" s="167">
        <f t="shared" ref="F25:F31" si="1">D25*E25</f>
        <v>739.05880000000002</v>
      </c>
      <c r="I25" s="214"/>
      <c r="M25" s="214"/>
      <c r="N25" s="214"/>
      <c r="O25" s="214"/>
    </row>
    <row r="26" spans="1:15" ht="15" customHeight="1" x14ac:dyDescent="0.3">
      <c r="A26" s="990" t="s">
        <v>594</v>
      </c>
      <c r="B26" s="991"/>
      <c r="C26" s="315" t="s">
        <v>21</v>
      </c>
      <c r="D26" s="50">
        <v>1</v>
      </c>
      <c r="E26" s="211">
        <f>MAT!E109</f>
        <v>39000</v>
      </c>
      <c r="F26" s="167">
        <f t="shared" si="1"/>
        <v>39000</v>
      </c>
    </row>
    <row r="27" spans="1:15" ht="15.75" customHeight="1" x14ac:dyDescent="0.3">
      <c r="A27" s="903" t="s">
        <v>753</v>
      </c>
      <c r="B27" s="904"/>
      <c r="C27" s="156" t="s">
        <v>21</v>
      </c>
      <c r="D27" s="50">
        <v>1</v>
      </c>
      <c r="E27" s="211">
        <f>MAT!E137</f>
        <v>25000</v>
      </c>
      <c r="F27" s="167">
        <f t="shared" si="1"/>
        <v>25000</v>
      </c>
    </row>
    <row r="28" spans="1:15" ht="15" customHeight="1" x14ac:dyDescent="0.3">
      <c r="A28" s="911"/>
      <c r="B28" s="912"/>
      <c r="C28" s="156"/>
      <c r="D28" s="50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56"/>
      <c r="E29" s="211"/>
      <c r="F29" s="167">
        <f t="shared" si="1"/>
        <v>0</v>
      </c>
      <c r="K29" s="10"/>
    </row>
    <row r="30" spans="1:15" x14ac:dyDescent="0.3">
      <c r="A30" s="903"/>
      <c r="B30" s="904"/>
      <c r="C30" s="156"/>
      <c r="D30" s="50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66079.62460000001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0.3</v>
      </c>
      <c r="F42" s="167">
        <f>D42*E42</f>
        <v>12695.699999999999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12695.699999999999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79410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C5CFB-1B6C-4D14-9C00-3E5AAEC0B505}">
  <sheetPr codeName="Hoja38">
    <tabColor rgb="FFFFFF00"/>
  </sheetPr>
  <dimension ref="A1:O56"/>
  <sheetViews>
    <sheetView view="pageBreakPreview" topLeftCell="A25" zoomScale="70" zoomScaleNormal="100" zoomScaleSheetLayoutView="70" workbookViewId="0">
      <selection activeCell="J24" sqref="J2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(Entidad)'!D53</f>
        <v>UND</v>
      </c>
    </row>
    <row r="10" spans="1:6" ht="13.5" customHeight="1" x14ac:dyDescent="0.3">
      <c r="A10" s="915" t="s">
        <v>75</v>
      </c>
      <c r="B10" s="922" t="str">
        <f>'PRESUPUESTO OFICIAL (Entidad)'!C53</f>
        <v>Suministro e instalacion de Acometida general de ½".</v>
      </c>
      <c r="C10" s="922"/>
      <c r="D10" s="922"/>
      <c r="E10" s="851"/>
      <c r="F10" s="917"/>
    </row>
    <row r="11" spans="1:6" x14ac:dyDescent="0.3">
      <c r="A11" s="915"/>
      <c r="B11" s="210" t="s">
        <v>251</v>
      </c>
      <c r="C11" s="210" t="s">
        <v>673</v>
      </c>
      <c r="D11" s="210" t="s">
        <v>1201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F49</f>
        <v>169276</v>
      </c>
      <c r="F15" s="186">
        <f t="shared" ref="F15:F19" si="0">D15*E15</f>
        <v>8463.8000000000011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8463.8000000000011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6.2" thickBot="1" x14ac:dyDescent="0.35">
      <c r="A22" s="935" t="s">
        <v>81</v>
      </c>
      <c r="B22" s="936"/>
      <c r="C22" s="936"/>
      <c r="D22" s="936"/>
      <c r="E22" s="936"/>
      <c r="F22" s="937"/>
    </row>
    <row r="23" spans="1:15" s="34" customFormat="1" x14ac:dyDescent="0.3">
      <c r="A23" s="994" t="s">
        <v>48</v>
      </c>
      <c r="B23" s="995"/>
      <c r="C23" s="220" t="s">
        <v>21</v>
      </c>
      <c r="D23" s="220" t="s">
        <v>12</v>
      </c>
      <c r="E23" s="220" t="s">
        <v>82</v>
      </c>
      <c r="F23" s="221" t="s">
        <v>79</v>
      </c>
    </row>
    <row r="24" spans="1:15" ht="15" customHeight="1" x14ac:dyDescent="0.3">
      <c r="A24" s="973" t="s">
        <v>748</v>
      </c>
      <c r="B24" s="974"/>
      <c r="C24" s="156" t="s">
        <v>422</v>
      </c>
      <c r="D24" s="86">
        <v>0.02</v>
      </c>
      <c r="E24" s="211">
        <f>MAT!E117</f>
        <v>67028.289999999994</v>
      </c>
      <c r="F24" s="167">
        <f>D24*E24</f>
        <v>1340.5657999999999</v>
      </c>
    </row>
    <row r="25" spans="1:15" x14ac:dyDescent="0.3">
      <c r="A25" s="973" t="s">
        <v>749</v>
      </c>
      <c r="B25" s="974"/>
      <c r="C25" s="156" t="s">
        <v>422</v>
      </c>
      <c r="D25" s="86">
        <v>0.02</v>
      </c>
      <c r="E25" s="211">
        <f>MAT!E92</f>
        <v>36952.94</v>
      </c>
      <c r="F25" s="167">
        <f t="shared" ref="F25:F33" si="1">D25*E25</f>
        <v>739.05880000000002</v>
      </c>
      <c r="I25" s="214"/>
      <c r="M25" s="214"/>
      <c r="N25" s="214"/>
      <c r="O25" s="214"/>
    </row>
    <row r="26" spans="1:15" ht="15" customHeight="1" x14ac:dyDescent="0.3">
      <c r="A26" s="990" t="s">
        <v>750</v>
      </c>
      <c r="B26" s="991"/>
      <c r="C26" s="315" t="s">
        <v>19</v>
      </c>
      <c r="D26" s="165">
        <f>5.23+1+0.5+5+3</f>
        <v>14.73</v>
      </c>
      <c r="E26" s="211">
        <f>MAT!E131</f>
        <v>2600</v>
      </c>
      <c r="F26" s="167">
        <f t="shared" si="1"/>
        <v>38298</v>
      </c>
    </row>
    <row r="27" spans="1:15" ht="15.75" customHeight="1" x14ac:dyDescent="0.3">
      <c r="A27" s="903" t="s">
        <v>684</v>
      </c>
      <c r="B27" s="904"/>
      <c r="C27" s="156" t="s">
        <v>21</v>
      </c>
      <c r="D27" s="165">
        <v>0.1</v>
      </c>
      <c r="E27" s="211">
        <f>MAT!E68</f>
        <v>1000</v>
      </c>
      <c r="F27" s="167">
        <f t="shared" si="1"/>
        <v>100</v>
      </c>
    </row>
    <row r="28" spans="1:15" ht="15" customHeight="1" x14ac:dyDescent="0.3">
      <c r="A28" s="989" t="s">
        <v>751</v>
      </c>
      <c r="B28" s="918"/>
      <c r="C28" s="156" t="s">
        <v>21</v>
      </c>
      <c r="D28" s="165">
        <v>1</v>
      </c>
      <c r="E28" s="211">
        <f>MAT!E97</f>
        <v>11600</v>
      </c>
      <c r="F28" s="167">
        <f t="shared" si="1"/>
        <v>11600</v>
      </c>
      <c r="I28" s="214"/>
      <c r="K28" s="103"/>
    </row>
    <row r="29" spans="1:15" ht="15.75" customHeight="1" x14ac:dyDescent="0.3">
      <c r="A29" s="989" t="s">
        <v>754</v>
      </c>
      <c r="B29" s="918"/>
      <c r="C29" s="156" t="s">
        <v>21</v>
      </c>
      <c r="D29" s="165">
        <v>2</v>
      </c>
      <c r="E29" s="211">
        <f>MAT!E122</f>
        <v>800</v>
      </c>
      <c r="F29" s="167">
        <f t="shared" si="1"/>
        <v>1600</v>
      </c>
      <c r="K29" s="10"/>
    </row>
    <row r="30" spans="1:15" ht="15.75" customHeight="1" x14ac:dyDescent="0.3">
      <c r="A30" s="989" t="s">
        <v>755</v>
      </c>
      <c r="B30" s="918"/>
      <c r="C30" s="156" t="s">
        <v>21</v>
      </c>
      <c r="D30" s="165">
        <v>3</v>
      </c>
      <c r="E30" s="211">
        <f>MAT!E72</f>
        <v>650</v>
      </c>
      <c r="F30" s="167">
        <f t="shared" si="1"/>
        <v>1950</v>
      </c>
      <c r="K30" s="217"/>
    </row>
    <row r="31" spans="1:15" ht="18.75" customHeight="1" x14ac:dyDescent="0.3">
      <c r="A31" s="911"/>
      <c r="B31" s="912"/>
      <c r="C31" s="257"/>
      <c r="D31" s="258"/>
      <c r="E31" s="211"/>
      <c r="F31" s="167">
        <f t="shared" si="1"/>
        <v>0</v>
      </c>
      <c r="K31" s="217"/>
    </row>
    <row r="32" spans="1:15" ht="18.75" customHeight="1" x14ac:dyDescent="0.3">
      <c r="A32" s="911"/>
      <c r="B32" s="912"/>
      <c r="C32" s="257"/>
      <c r="D32" s="258"/>
      <c r="E32" s="211"/>
      <c r="F32" s="167">
        <f t="shared" si="1"/>
        <v>0</v>
      </c>
      <c r="K32" s="217"/>
    </row>
    <row r="33" spans="1:11" ht="18.75" customHeight="1" x14ac:dyDescent="0.3">
      <c r="A33" s="911"/>
      <c r="B33" s="912"/>
      <c r="C33" s="257"/>
      <c r="D33" s="258"/>
      <c r="E33" s="211"/>
      <c r="F33" s="167">
        <f t="shared" si="1"/>
        <v>0</v>
      </c>
      <c r="K33" s="217"/>
    </row>
    <row r="34" spans="1:11" ht="16.2" thickBot="1" x14ac:dyDescent="0.35">
      <c r="A34" s="905"/>
      <c r="B34" s="906"/>
      <c r="C34" s="178"/>
      <c r="D34" s="178"/>
      <c r="E34" s="259"/>
      <c r="F34" s="179">
        <f>D34*E34</f>
        <v>0</v>
      </c>
    </row>
    <row r="35" spans="1:11" ht="15.75" customHeight="1" thickBot="1" x14ac:dyDescent="0.35">
      <c r="A35" s="900" t="s">
        <v>84</v>
      </c>
      <c r="B35" s="900"/>
      <c r="C35" s="900"/>
      <c r="D35" s="900"/>
      <c r="E35" s="900"/>
      <c r="F35" s="168">
        <f>SUM(F24:F34)</f>
        <v>55627.624600000003</v>
      </c>
    </row>
    <row r="36" spans="1:11" ht="16.8" thickTop="1" thickBot="1" x14ac:dyDescent="0.35">
      <c r="A36" s="103"/>
      <c r="B36" s="103"/>
      <c r="C36" s="103"/>
      <c r="D36" s="103"/>
      <c r="E36" s="103"/>
      <c r="F36" s="153"/>
    </row>
    <row r="37" spans="1:11" x14ac:dyDescent="0.3">
      <c r="A37" s="895" t="s">
        <v>85</v>
      </c>
      <c r="B37" s="896"/>
      <c r="C37" s="896"/>
      <c r="D37" s="896"/>
      <c r="E37" s="896"/>
      <c r="F37" s="897"/>
    </row>
    <row r="38" spans="1:11" ht="31.2" x14ac:dyDescent="0.3">
      <c r="A38" s="169" t="s">
        <v>86</v>
      </c>
      <c r="B38" s="156" t="s">
        <v>94</v>
      </c>
      <c r="C38" s="158" t="s">
        <v>96</v>
      </c>
      <c r="D38" s="158" t="s">
        <v>97</v>
      </c>
      <c r="E38" s="158" t="s">
        <v>95</v>
      </c>
      <c r="F38" s="160" t="s">
        <v>82</v>
      </c>
    </row>
    <row r="39" spans="1:11" x14ac:dyDescent="0.3">
      <c r="A39" s="169"/>
      <c r="B39" s="111"/>
      <c r="C39" s="158"/>
      <c r="D39" s="158"/>
      <c r="E39" s="158"/>
      <c r="F39" s="186">
        <f>C39*D39*E39</f>
        <v>0</v>
      </c>
    </row>
    <row r="40" spans="1:11" ht="16.2" thickBot="1" x14ac:dyDescent="0.35">
      <c r="A40" s="171"/>
      <c r="B40" s="197"/>
      <c r="C40" s="163"/>
      <c r="D40" s="163"/>
      <c r="E40" s="163"/>
      <c r="F40" s="190">
        <f>C40*D40*E40</f>
        <v>0</v>
      </c>
    </row>
    <row r="41" spans="1:11" ht="15.75" customHeight="1" thickBot="1" x14ac:dyDescent="0.35">
      <c r="A41" s="907" t="s">
        <v>90</v>
      </c>
      <c r="B41" s="907"/>
      <c r="C41" s="907"/>
      <c r="D41" s="907"/>
      <c r="E41" s="907"/>
      <c r="F41" s="198">
        <f>SUM(F39:F40)</f>
        <v>0</v>
      </c>
    </row>
    <row r="42" spans="1:11" ht="16.8" thickTop="1" thickBot="1" x14ac:dyDescent="0.35">
      <c r="A42" s="103"/>
      <c r="B42" s="103"/>
      <c r="C42" s="103"/>
      <c r="D42" s="103"/>
      <c r="E42" s="103"/>
      <c r="F42" s="153"/>
    </row>
    <row r="43" spans="1:11" x14ac:dyDescent="0.3">
      <c r="A43" s="895" t="s">
        <v>91</v>
      </c>
      <c r="B43" s="896"/>
      <c r="C43" s="896"/>
      <c r="D43" s="896"/>
      <c r="E43" s="896"/>
      <c r="F43" s="897"/>
    </row>
    <row r="44" spans="1:11" ht="24.75" customHeight="1" x14ac:dyDescent="0.3">
      <c r="A44" s="891" t="s">
        <v>48</v>
      </c>
      <c r="B44" s="892"/>
      <c r="C44" s="156" t="s">
        <v>23</v>
      </c>
      <c r="D44" s="156" t="s">
        <v>378</v>
      </c>
      <c r="E44" s="156" t="s">
        <v>98</v>
      </c>
      <c r="F44" s="157" t="s">
        <v>79</v>
      </c>
    </row>
    <row r="45" spans="1:11" ht="15" customHeight="1" x14ac:dyDescent="0.3">
      <c r="A45" s="893" t="str">
        <f>M.O!B72</f>
        <v>MANO DE OBRA HIDRAULICA</v>
      </c>
      <c r="B45" s="894"/>
      <c r="C45" s="176" t="s">
        <v>43</v>
      </c>
      <c r="D45" s="177">
        <f>M.O!F79</f>
        <v>42319</v>
      </c>
      <c r="E45" s="156">
        <v>4</v>
      </c>
      <c r="F45" s="167">
        <f>D45*E45</f>
        <v>169276</v>
      </c>
    </row>
    <row r="46" spans="1:11" x14ac:dyDescent="0.3">
      <c r="A46" s="883"/>
      <c r="B46" s="884"/>
      <c r="C46" s="176"/>
      <c r="D46" s="156"/>
      <c r="E46" s="156"/>
      <c r="F46" s="167">
        <f t="shared" ref="F46:F48" si="2">D46*E46</f>
        <v>0</v>
      </c>
    </row>
    <row r="47" spans="1:11" x14ac:dyDescent="0.3">
      <c r="A47" s="883"/>
      <c r="B47" s="884"/>
      <c r="C47" s="156"/>
      <c r="D47" s="156"/>
      <c r="E47" s="156"/>
      <c r="F47" s="167">
        <f t="shared" si="2"/>
        <v>0</v>
      </c>
    </row>
    <row r="48" spans="1:11" ht="16.2" thickBot="1" x14ac:dyDescent="0.35">
      <c r="A48" s="898"/>
      <c r="B48" s="899"/>
      <c r="C48" s="178"/>
      <c r="D48" s="178"/>
      <c r="E48" s="178"/>
      <c r="F48" s="179">
        <f t="shared" si="2"/>
        <v>0</v>
      </c>
    </row>
    <row r="49" spans="1:7" ht="15.75" customHeight="1" thickBot="1" x14ac:dyDescent="0.35">
      <c r="A49" s="907" t="s">
        <v>92</v>
      </c>
      <c r="B49" s="907"/>
      <c r="C49" s="907"/>
      <c r="D49" s="907"/>
      <c r="E49" s="907"/>
      <c r="F49" s="175">
        <f>SUM(F45:F48)</f>
        <v>169276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1" spans="1:7" ht="15.75" customHeight="1" thickBot="1" x14ac:dyDescent="0.35">
      <c r="A51" s="907" t="s">
        <v>93</v>
      </c>
      <c r="B51" s="907"/>
      <c r="C51" s="907"/>
      <c r="D51" s="907"/>
      <c r="E51" s="907"/>
      <c r="F51" s="180">
        <f>ROUND(SUM(F35+F49+F20+F41),0)</f>
        <v>233367</v>
      </c>
    </row>
    <row r="52" spans="1:7" ht="16.2" thickTop="1" x14ac:dyDescent="0.3">
      <c r="A52" s="103"/>
      <c r="B52" s="103"/>
      <c r="C52" s="103"/>
      <c r="D52" s="103"/>
      <c r="E52" s="103"/>
      <c r="F52" s="153"/>
    </row>
    <row r="53" spans="1:7" x14ac:dyDescent="0.3">
      <c r="A53" s="103"/>
      <c r="B53" s="103"/>
      <c r="C53" s="103"/>
      <c r="D53" s="103"/>
      <c r="E53" s="103"/>
      <c r="F53" s="153"/>
    </row>
    <row r="55" spans="1:7" x14ac:dyDescent="0.3">
      <c r="A55" s="856" t="s">
        <v>120</v>
      </c>
      <c r="B55" s="856"/>
      <c r="D55" s="856" t="s">
        <v>122</v>
      </c>
      <c r="E55" s="856"/>
      <c r="F55" s="856"/>
      <c r="G55" s="9"/>
    </row>
    <row r="56" spans="1:7" x14ac:dyDescent="0.3">
      <c r="A56" s="741" t="s">
        <v>121</v>
      </c>
      <c r="B56" s="741"/>
      <c r="D56" s="741" t="s">
        <v>123</v>
      </c>
      <c r="E56" s="741"/>
      <c r="F56" s="741"/>
    </row>
  </sheetData>
  <mergeCells count="44">
    <mergeCell ref="A16:B16"/>
    <mergeCell ref="A17:B17"/>
    <mergeCell ref="A34:B34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14:B14"/>
    <mergeCell ref="A15:B15"/>
    <mergeCell ref="A55:B55"/>
    <mergeCell ref="D55:F55"/>
    <mergeCell ref="A56:B56"/>
    <mergeCell ref="D56:F56"/>
    <mergeCell ref="A18:B18"/>
    <mergeCell ref="A35:E35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9:E49"/>
    <mergeCell ref="A51:E51"/>
    <mergeCell ref="A48:B48"/>
    <mergeCell ref="A44:B44"/>
    <mergeCell ref="A45:B45"/>
    <mergeCell ref="A46:B46"/>
    <mergeCell ref="A47:B47"/>
    <mergeCell ref="A29:B29"/>
    <mergeCell ref="A30:B30"/>
    <mergeCell ref="A37:F37"/>
    <mergeCell ref="A41:E41"/>
    <mergeCell ref="A43:F43"/>
    <mergeCell ref="A33:B33"/>
    <mergeCell ref="A32:B32"/>
    <mergeCell ref="A31:B31"/>
  </mergeCells>
  <pageMargins left="0.7" right="0.7" top="0.75" bottom="0.75" header="0.3" footer="0.3"/>
  <pageSetup paperSize="9" scale="79" orientation="portrait" r:id="rId1"/>
  <colBreaks count="1" manualBreakCount="1">
    <brk id="6" max="1048575" man="1"/>
  </col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7BC8B-FC7E-4CA2-8689-696120D564CC}">
  <sheetPr codeName="Hoja39">
    <tabColor rgb="FFFFFF00"/>
  </sheetPr>
  <dimension ref="A1:O53"/>
  <sheetViews>
    <sheetView view="pageBreakPreview" topLeftCell="A25" zoomScale="70" zoomScaleNormal="100" zoomScaleSheetLayoutView="70" workbookViewId="0">
      <selection activeCell="M18" sqref="M18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(Entidad)'!D54</f>
        <v>UND</v>
      </c>
    </row>
    <row r="10" spans="1:6" ht="16.5" customHeight="1" x14ac:dyDescent="0.3">
      <c r="A10" s="915" t="s">
        <v>75</v>
      </c>
      <c r="B10" s="922" t="str">
        <f>'PRESUPUESTO OFICIAL (Entidad)'!C54</f>
        <v>Suministro e instalacion de salida llave terminal de  ½".</v>
      </c>
      <c r="C10" s="922"/>
      <c r="D10" s="922"/>
      <c r="E10" s="851"/>
      <c r="F10" s="917"/>
    </row>
    <row r="11" spans="1:6" x14ac:dyDescent="0.3">
      <c r="A11" s="915"/>
      <c r="B11" s="210" t="s">
        <v>356</v>
      </c>
      <c r="C11" s="210" t="s">
        <v>674</v>
      </c>
      <c r="D11" s="210" t="s">
        <v>1202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16927.600000000002</v>
      </c>
      <c r="F15" s="186">
        <f t="shared" ref="F15:F19" si="0">D15*E15</f>
        <v>846.38000000000011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846.38000000000011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4" t="s">
        <v>756</v>
      </c>
      <c r="B24" s="974"/>
      <c r="C24" s="156" t="s">
        <v>21</v>
      </c>
      <c r="D24" s="156">
        <v>1</v>
      </c>
      <c r="E24" s="211">
        <f>MAT!E36</f>
        <v>500</v>
      </c>
      <c r="F24" s="167">
        <f>D24*E24</f>
        <v>500</v>
      </c>
    </row>
    <row r="25" spans="1:15" x14ac:dyDescent="0.3">
      <c r="A25" s="989" t="s">
        <v>597</v>
      </c>
      <c r="B25" s="918"/>
      <c r="C25" s="156" t="s">
        <v>427</v>
      </c>
      <c r="D25" s="86">
        <v>0.01</v>
      </c>
      <c r="E25" s="260">
        <f>MAT!E117</f>
        <v>67028.289999999994</v>
      </c>
      <c r="F25" s="167">
        <f t="shared" ref="F25:F31" si="1">D25*E25</f>
        <v>670.28289999999993</v>
      </c>
      <c r="I25" s="214"/>
      <c r="M25" s="214"/>
      <c r="N25" s="214"/>
      <c r="O25" s="214"/>
    </row>
    <row r="26" spans="1:15" ht="15" customHeight="1" x14ac:dyDescent="0.3">
      <c r="A26" s="989" t="s">
        <v>598</v>
      </c>
      <c r="B26" s="918"/>
      <c r="C26" s="156" t="s">
        <v>427</v>
      </c>
      <c r="D26" s="86">
        <v>0.01</v>
      </c>
      <c r="E26" s="260">
        <f>MAT!E92</f>
        <v>36952.94</v>
      </c>
      <c r="F26" s="167">
        <f t="shared" si="1"/>
        <v>369.52940000000001</v>
      </c>
    </row>
    <row r="27" spans="1:15" x14ac:dyDescent="0.3">
      <c r="A27" s="974" t="s">
        <v>757</v>
      </c>
      <c r="B27" s="974"/>
      <c r="C27" s="156" t="s">
        <v>21</v>
      </c>
      <c r="D27" s="255">
        <v>0.04</v>
      </c>
      <c r="E27" s="260">
        <f>MAT!E68</f>
        <v>1000</v>
      </c>
      <c r="F27" s="167">
        <f t="shared" si="1"/>
        <v>40</v>
      </c>
    </row>
    <row r="28" spans="1:15" ht="15" customHeight="1" x14ac:dyDescent="0.3">
      <c r="A28" s="904" t="s">
        <v>758</v>
      </c>
      <c r="B28" s="904"/>
      <c r="C28" s="156" t="s">
        <v>21</v>
      </c>
      <c r="D28" s="165">
        <v>1</v>
      </c>
      <c r="E28" s="260">
        <f>MAT!E93</f>
        <v>183500</v>
      </c>
      <c r="F28" s="167">
        <f t="shared" si="1"/>
        <v>183500</v>
      </c>
      <c r="I28" s="214"/>
      <c r="K28" s="103"/>
    </row>
    <row r="29" spans="1:15" x14ac:dyDescent="0.3">
      <c r="A29" s="903" t="s">
        <v>759</v>
      </c>
      <c r="B29" s="904"/>
      <c r="C29" s="156" t="s">
        <v>21</v>
      </c>
      <c r="D29" s="165">
        <v>1</v>
      </c>
      <c r="E29" s="211">
        <f>MAT!E136</f>
        <v>26125</v>
      </c>
      <c r="F29" s="167">
        <f t="shared" si="1"/>
        <v>26125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211204.81229999999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0.4</v>
      </c>
      <c r="F42" s="167">
        <f>D42*E42</f>
        <v>16927.600000000002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16927.600000000002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228979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E479C-FA82-4761-B1C7-590B4BDBB13C}">
  <sheetPr codeName="Hoja40">
    <tabColor rgb="FFFFFF00"/>
  </sheetPr>
  <dimension ref="A1:O53"/>
  <sheetViews>
    <sheetView view="pageBreakPreview" topLeftCell="A19" zoomScale="70" zoomScaleNormal="100" zoomScaleSheetLayoutView="70" workbookViewId="0">
      <selection activeCell="C12" sqref="C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(Entidad)'!D55</f>
        <v>UND</v>
      </c>
    </row>
    <row r="10" spans="1:6" ht="16.5" customHeight="1" x14ac:dyDescent="0.3">
      <c r="A10" s="915" t="s">
        <v>75</v>
      </c>
      <c r="B10" s="922" t="str">
        <f>'PRESUPUESTO OFICIAL (Entidad)'!C55</f>
        <v>Suministro e instalación de lavaplatos 60X40 .</v>
      </c>
      <c r="C10" s="922"/>
      <c r="D10" s="922"/>
      <c r="E10" s="851"/>
      <c r="F10" s="917"/>
    </row>
    <row r="11" spans="1:6" x14ac:dyDescent="0.3">
      <c r="A11" s="915"/>
      <c r="B11" s="210" t="s">
        <v>252</v>
      </c>
      <c r="C11" s="210" t="s">
        <v>1203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50782.799999999996</v>
      </c>
      <c r="F15" s="186">
        <f t="shared" ref="F15:F19" si="0">D15*E15</f>
        <v>2539.14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2539.14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74" t="s">
        <v>579</v>
      </c>
      <c r="B24" s="974"/>
      <c r="C24" s="156" t="s">
        <v>21</v>
      </c>
      <c r="D24" s="156">
        <v>1</v>
      </c>
      <c r="E24" s="211">
        <f>MAT!E90</f>
        <v>97966.666666666672</v>
      </c>
      <c r="F24" s="167">
        <f>D24*E24</f>
        <v>97966.666666666672</v>
      </c>
    </row>
    <row r="25" spans="1:15" x14ac:dyDescent="0.3">
      <c r="A25" s="974" t="s">
        <v>580</v>
      </c>
      <c r="B25" s="974"/>
      <c r="C25" s="156" t="s">
        <v>21</v>
      </c>
      <c r="D25" s="165">
        <v>1</v>
      </c>
      <c r="E25" s="211">
        <f>MAT!E96</f>
        <v>6700</v>
      </c>
      <c r="F25" s="167">
        <f t="shared" ref="F25:F31" si="1">D25*E25</f>
        <v>6700</v>
      </c>
      <c r="I25" s="214"/>
      <c r="M25" s="214"/>
      <c r="N25" s="214"/>
      <c r="O25" s="214"/>
    </row>
    <row r="26" spans="1:15" ht="15" customHeight="1" x14ac:dyDescent="0.3">
      <c r="A26" s="974" t="s">
        <v>581</v>
      </c>
      <c r="B26" s="974"/>
      <c r="C26" s="156" t="s">
        <v>21</v>
      </c>
      <c r="D26" s="165">
        <v>0.01</v>
      </c>
      <c r="E26" s="211">
        <f>MAT!E111</f>
        <v>15300</v>
      </c>
      <c r="F26" s="167">
        <f t="shared" si="1"/>
        <v>153</v>
      </c>
    </row>
    <row r="27" spans="1:15" x14ac:dyDescent="0.3">
      <c r="A27" s="904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104819.66666666667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1.2</v>
      </c>
      <c r="F42" s="167">
        <f>D42*E42</f>
        <v>50782.799999999996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50782.799999999996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158142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69261-907A-4D7E-A50D-20A08E65CC17}">
  <sheetPr codeName="Hoja41">
    <tabColor rgb="FFFFFF00"/>
  </sheetPr>
  <dimension ref="A1:O53"/>
  <sheetViews>
    <sheetView view="pageBreakPreview" topLeftCell="A31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(Entidad)'!C46</f>
        <v>INSTALACIONES HIDRAULICAS Y SANITARIAS</v>
      </c>
      <c r="C9" s="885"/>
      <c r="D9" s="885"/>
      <c r="E9" s="851" t="s">
        <v>74</v>
      </c>
      <c r="F9" s="917" t="str">
        <f>'PRESUPUESTO OFICIAL (Entidad)'!D56</f>
        <v>UND</v>
      </c>
    </row>
    <row r="10" spans="1:6" ht="28.5" customHeight="1" x14ac:dyDescent="0.3">
      <c r="A10" s="915" t="s">
        <v>75</v>
      </c>
      <c r="B10" s="922" t="str">
        <f>'PRESUPUESTO OFICIAL (Entidad)'!C56</f>
        <v>Suministro e instalación de tanque 500 litros, incluye griferia y accesorios.</v>
      </c>
      <c r="C10" s="922"/>
      <c r="D10" s="922"/>
      <c r="E10" s="851"/>
      <c r="F10" s="917"/>
    </row>
    <row r="11" spans="1:6" x14ac:dyDescent="0.3">
      <c r="A11" s="915"/>
      <c r="B11" s="210" t="s">
        <v>253</v>
      </c>
      <c r="C11" s="210" t="s">
        <v>675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169276</v>
      </c>
      <c r="F15" s="186">
        <f t="shared" ref="F15:F19" si="0">D15*E15</f>
        <v>8463.8000000000011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8463.8000000000011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29.25" customHeight="1" x14ac:dyDescent="0.3">
      <c r="A24" s="903" t="s">
        <v>834</v>
      </c>
      <c r="B24" s="904"/>
      <c r="C24" s="56" t="s">
        <v>21</v>
      </c>
      <c r="D24" s="165">
        <v>1</v>
      </c>
      <c r="E24" s="211">
        <f>MAT!E120</f>
        <v>292250</v>
      </c>
      <c r="F24" s="167">
        <f>D24*E24</f>
        <v>292250</v>
      </c>
    </row>
    <row r="25" spans="1:15" x14ac:dyDescent="0.3">
      <c r="A25" s="903" t="s">
        <v>760</v>
      </c>
      <c r="B25" s="904"/>
      <c r="C25" s="156" t="s">
        <v>21</v>
      </c>
      <c r="D25" s="165">
        <v>1</v>
      </c>
      <c r="E25" s="211">
        <f>MAT!E122</f>
        <v>800</v>
      </c>
      <c r="F25" s="167">
        <f t="shared" ref="F25:F28" si="1">D25*E25</f>
        <v>800</v>
      </c>
      <c r="I25" s="214"/>
      <c r="M25" s="214"/>
      <c r="N25" s="214"/>
      <c r="O25" s="214"/>
    </row>
    <row r="26" spans="1:15" ht="15" customHeight="1" x14ac:dyDescent="0.3">
      <c r="A26" s="989" t="s">
        <v>597</v>
      </c>
      <c r="B26" s="918"/>
      <c r="C26" s="156" t="s">
        <v>427</v>
      </c>
      <c r="D26" s="86">
        <v>0.01</v>
      </c>
      <c r="E26" s="211">
        <f>MAT!E117</f>
        <v>67028.289999999994</v>
      </c>
      <c r="F26" s="167">
        <f t="shared" si="1"/>
        <v>670.28289999999993</v>
      </c>
    </row>
    <row r="27" spans="1:15" x14ac:dyDescent="0.3">
      <c r="A27" s="989" t="s">
        <v>598</v>
      </c>
      <c r="B27" s="918"/>
      <c r="C27" s="156" t="s">
        <v>427</v>
      </c>
      <c r="D27" s="86">
        <v>0.01</v>
      </c>
      <c r="E27" s="211">
        <f>MAT!E92</f>
        <v>36952.94</v>
      </c>
      <c r="F27" s="167">
        <f t="shared" si="1"/>
        <v>369.52940000000001</v>
      </c>
    </row>
    <row r="28" spans="1:15" ht="15" customHeight="1" x14ac:dyDescent="0.3">
      <c r="A28" s="974" t="s">
        <v>757</v>
      </c>
      <c r="B28" s="974"/>
      <c r="C28" s="156" t="s">
        <v>21</v>
      </c>
      <c r="D28" s="279">
        <v>0.1</v>
      </c>
      <c r="E28" s="211">
        <f>MAT!E68</f>
        <v>1000</v>
      </c>
      <c r="F28" s="167">
        <f t="shared" si="1"/>
        <v>100</v>
      </c>
      <c r="I28" s="214"/>
      <c r="K28" s="103"/>
    </row>
    <row r="29" spans="1:15" x14ac:dyDescent="0.3">
      <c r="A29" s="989" t="s">
        <v>755</v>
      </c>
      <c r="B29" s="918"/>
      <c r="C29" s="156" t="s">
        <v>21</v>
      </c>
      <c r="D29" s="165">
        <v>3</v>
      </c>
      <c r="E29" s="211">
        <f>MAT!E72</f>
        <v>650</v>
      </c>
      <c r="F29" s="167">
        <f t="shared" ref="F29:F31" si="2">D29*E29</f>
        <v>1950</v>
      </c>
      <c r="K29" s="10"/>
    </row>
    <row r="30" spans="1:15" x14ac:dyDescent="0.3">
      <c r="A30" s="903"/>
      <c r="B30" s="904"/>
      <c r="C30" s="156"/>
      <c r="D30" s="165"/>
      <c r="E30" s="211"/>
      <c r="F30" s="167">
        <f t="shared" si="2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2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296139.81229999999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85</v>
      </c>
      <c r="B36" s="111">
        <v>1</v>
      </c>
      <c r="C36" s="158">
        <v>16</v>
      </c>
      <c r="D36" s="158">
        <f>B36*C36</f>
        <v>16</v>
      </c>
      <c r="E36" s="158">
        <v>40</v>
      </c>
      <c r="F36" s="186">
        <f>C36*D36*E36</f>
        <v>10240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10240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4</v>
      </c>
      <c r="F42" s="167">
        <f>D42*E42</f>
        <v>169276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169276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484120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8E44D-24D5-4928-83CF-A239A132320E}">
  <sheetPr codeName="Hoja42">
    <tabColor rgb="FFFFFF00"/>
  </sheetPr>
  <dimension ref="A1:O53"/>
  <sheetViews>
    <sheetView view="pageBreakPreview" topLeftCell="A19" zoomScale="70" zoomScaleNormal="100" zoomScaleSheetLayoutView="70" workbookViewId="0">
      <selection activeCell="P36" sqref="P36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(Entidad)'!C57</f>
        <v>PAÑETES</v>
      </c>
      <c r="C9" s="885"/>
      <c r="D9" s="885"/>
      <c r="E9" s="851" t="s">
        <v>74</v>
      </c>
      <c r="F9" s="917" t="str">
        <f>'PRESUPUESTO OFICIAL (Entidad)'!D58</f>
        <v>M2</v>
      </c>
    </row>
    <row r="10" spans="1:6" ht="32.25" customHeight="1" x14ac:dyDescent="0.3">
      <c r="A10" s="915" t="s">
        <v>75</v>
      </c>
      <c r="B10" s="922" t="str">
        <f>'PRESUPUESTO OFICIAL (Entidad)'!C58</f>
        <v>Suministro y aplicación de Pañete muros  1:4 Incluye Filos, carteras y Dilataciones.</v>
      </c>
      <c r="C10" s="922"/>
      <c r="D10" s="922"/>
      <c r="E10" s="851"/>
      <c r="F10" s="917"/>
    </row>
    <row r="11" spans="1:6" x14ac:dyDescent="0.3">
      <c r="A11" s="915"/>
      <c r="B11" s="210" t="s">
        <v>180</v>
      </c>
      <c r="C11" s="210" t="s">
        <v>230</v>
      </c>
      <c r="D11" s="210" t="s">
        <v>923</v>
      </c>
      <c r="E11" s="210" t="s">
        <v>1190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 t="s">
        <v>515</v>
      </c>
      <c r="B16" s="894"/>
      <c r="C16" s="158" t="s">
        <v>69</v>
      </c>
      <c r="D16" s="158">
        <v>0.3</v>
      </c>
      <c r="E16" s="185">
        <f>[8]EQ!F14</f>
        <v>3000</v>
      </c>
      <c r="F16" s="186">
        <f t="shared" si="0"/>
        <v>900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1861.8000000000002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74" t="s">
        <v>514</v>
      </c>
      <c r="B24" s="974"/>
      <c r="C24" s="156" t="s">
        <v>9</v>
      </c>
      <c r="D24" s="255">
        <v>0.02</v>
      </c>
      <c r="E24" s="213">
        <f>'M 1-4'!F46</f>
        <v>442836</v>
      </c>
      <c r="F24" s="167">
        <f>D24*E24</f>
        <v>8856.7199999999993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8856.7199999999993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29955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E9423-A2E2-4009-854D-71E23438DC29}">
  <sheetPr>
    <tabColor rgb="FFFFFF00"/>
  </sheetPr>
  <dimension ref="A1:O53"/>
  <sheetViews>
    <sheetView view="pageBreakPreview" topLeftCell="A46" zoomScale="70" zoomScaleNormal="100" zoomScaleSheetLayoutView="70" workbookViewId="0">
      <selection activeCell="P81" sqref="P8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7.6640625" style="1" customWidth="1"/>
    <col min="9" max="9" width="13.88671875" style="1" customWidth="1"/>
    <col min="10" max="10" width="15.33203125" style="1" bestFit="1" customWidth="1"/>
    <col min="11" max="11" width="13.109375" style="1" customWidth="1"/>
    <col min="12" max="16384" width="11.44140625" style="1"/>
  </cols>
  <sheetData>
    <row r="1" spans="1:13" x14ac:dyDescent="0.3">
      <c r="A1" s="831"/>
      <c r="B1" s="831"/>
      <c r="C1" s="831"/>
      <c r="D1" s="831"/>
      <c r="E1" s="831"/>
      <c r="F1" s="831"/>
    </row>
    <row r="2" spans="1:13" x14ac:dyDescent="0.3">
      <c r="A2" s="831"/>
      <c r="B2" s="831"/>
      <c r="C2" s="831"/>
      <c r="D2" s="831"/>
      <c r="E2" s="831"/>
      <c r="F2" s="831"/>
    </row>
    <row r="3" spans="1:13" x14ac:dyDescent="0.3">
      <c r="A3" s="831"/>
      <c r="B3" s="831"/>
      <c r="C3" s="831"/>
      <c r="D3" s="831"/>
      <c r="E3" s="831"/>
      <c r="F3" s="831"/>
    </row>
    <row r="4" spans="1:13" x14ac:dyDescent="0.3">
      <c r="A4" s="831"/>
      <c r="B4" s="831"/>
      <c r="C4" s="831"/>
      <c r="D4" s="831"/>
      <c r="E4" s="831"/>
      <c r="F4" s="831"/>
    </row>
    <row r="5" spans="1:13" x14ac:dyDescent="0.3">
      <c r="A5" s="831"/>
      <c r="B5" s="831"/>
      <c r="C5" s="831"/>
      <c r="D5" s="831"/>
      <c r="E5" s="831"/>
      <c r="F5" s="831"/>
    </row>
    <row r="6" spans="1:13" x14ac:dyDescent="0.3">
      <c r="A6" s="831"/>
      <c r="B6" s="831"/>
      <c r="C6" s="831"/>
      <c r="D6" s="831"/>
      <c r="E6" s="831"/>
      <c r="F6" s="831"/>
    </row>
    <row r="7" spans="1:13" x14ac:dyDescent="0.3">
      <c r="A7" s="754" t="s">
        <v>72</v>
      </c>
      <c r="B7" s="754"/>
      <c r="C7" s="754"/>
      <c r="D7" s="754"/>
      <c r="E7" s="754"/>
      <c r="F7" s="754"/>
    </row>
    <row r="8" spans="1:13" x14ac:dyDescent="0.3">
      <c r="A8" s="103"/>
      <c r="B8" s="103"/>
      <c r="C8" s="103"/>
      <c r="D8" s="103"/>
      <c r="E8" s="103"/>
      <c r="F8" s="153"/>
    </row>
    <row r="9" spans="1:13" ht="16.2" thickBot="1" x14ac:dyDescent="0.35">
      <c r="A9" s="14" t="s">
        <v>73</v>
      </c>
      <c r="B9" s="885" t="str">
        <f>'PRESUPUESTO OFICIAL (Entidad)'!C59</f>
        <v>CUBIERTA  Y   ESTRUCTURA DE CUBIERTA</v>
      </c>
      <c r="C9" s="885"/>
      <c r="D9" s="885"/>
      <c r="E9" s="851" t="s">
        <v>74</v>
      </c>
      <c r="F9" s="917" t="str">
        <f>'PRESUPUESTO OFICIAL (Entidad)'!D60</f>
        <v>M2</v>
      </c>
    </row>
    <row r="10" spans="1:13" ht="51" customHeight="1" thickBot="1" x14ac:dyDescent="0.35">
      <c r="A10" s="915" t="s">
        <v>75</v>
      </c>
      <c r="B10" s="922" t="str">
        <f>'PRESUPUESTO OFICIAL (Entidad)'!C60</f>
        <v xml:space="preserve">Suministro e instalación de cubierta en teja master 1000 Arquitectónica color, CAL 28. Incluye tornillos autoperforantes. </v>
      </c>
      <c r="C10" s="922"/>
      <c r="D10" s="922"/>
      <c r="E10" s="851"/>
      <c r="F10" s="917"/>
      <c r="H10" s="481">
        <f>'[7]PRES '!E17</f>
        <v>309.37</v>
      </c>
      <c r="I10" s="103"/>
      <c r="J10" s="103"/>
      <c r="K10" s="103"/>
    </row>
    <row r="11" spans="1:13" x14ac:dyDescent="0.3">
      <c r="A11" s="915"/>
      <c r="B11" s="210" t="s">
        <v>181</v>
      </c>
      <c r="C11" s="210" t="s">
        <v>999</v>
      </c>
      <c r="D11" s="210" t="s">
        <v>960</v>
      </c>
      <c r="E11" s="210"/>
      <c r="F11" s="210"/>
      <c r="H11" s="103"/>
      <c r="I11" s="103"/>
      <c r="J11" s="103"/>
      <c r="K11" s="103"/>
    </row>
    <row r="12" spans="1:13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  <c r="K12" s="103"/>
    </row>
    <row r="13" spans="1:13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  <c r="K13" s="103"/>
    </row>
    <row r="14" spans="1:13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  <c r="K14" s="28"/>
    </row>
    <row r="15" spans="1:13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9618</v>
      </c>
      <c r="F15" s="186">
        <f t="shared" ref="F15:F19" si="0">D15*E15</f>
        <v>480.90000000000003</v>
      </c>
      <c r="H15" s="56">
        <f t="shared" ref="H15:J16" si="1">$H$10*D15</f>
        <v>15.468500000000001</v>
      </c>
      <c r="I15" s="362">
        <f t="shared" si="1"/>
        <v>2975520.66</v>
      </c>
      <c r="J15" s="362">
        <f t="shared" si="1"/>
        <v>148776.03300000002</v>
      </c>
      <c r="K15" s="103"/>
    </row>
    <row r="16" spans="1:13" ht="15.75" customHeight="1" x14ac:dyDescent="0.3">
      <c r="A16" s="893" t="s">
        <v>515</v>
      </c>
      <c r="B16" s="894"/>
      <c r="C16" s="158" t="s">
        <v>69</v>
      </c>
      <c r="D16" s="158">
        <v>0.1</v>
      </c>
      <c r="E16" s="185">
        <f>[7]EQ!F14</f>
        <v>3000</v>
      </c>
      <c r="F16" s="186">
        <f t="shared" si="0"/>
        <v>300</v>
      </c>
      <c r="H16" s="56">
        <f t="shared" si="1"/>
        <v>30.937000000000001</v>
      </c>
      <c r="I16" s="362">
        <f t="shared" si="1"/>
        <v>928110</v>
      </c>
      <c r="J16" s="362">
        <f t="shared" si="1"/>
        <v>92811</v>
      </c>
      <c r="K16" s="103"/>
      <c r="L16" s="1">
        <f>7*3</f>
        <v>21</v>
      </c>
      <c r="M16" s="10">
        <f>L16*E16</f>
        <v>63000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  <c r="H17" s="103"/>
      <c r="I17" s="103"/>
      <c r="J17" s="103"/>
      <c r="K17" s="103"/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103"/>
      <c r="I18" s="103"/>
      <c r="J18" s="103"/>
      <c r="K18" s="103"/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  <c r="K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780.90000000000009</v>
      </c>
      <c r="H20" s="482">
        <f>F20*$H$10</f>
        <v>241587.03300000002</v>
      </c>
      <c r="I20" s="103"/>
      <c r="J20" s="103"/>
      <c r="K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  <c r="K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  <c r="K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  <c r="K23" s="28"/>
    </row>
    <row r="24" spans="1:15" ht="37.5" customHeight="1" x14ac:dyDescent="0.3">
      <c r="A24" s="998" t="s">
        <v>1012</v>
      </c>
      <c r="B24" s="999"/>
      <c r="C24" s="156" t="s">
        <v>8</v>
      </c>
      <c r="D24" s="156">
        <v>1</v>
      </c>
      <c r="E24" s="189">
        <f>[7]MAT!E146</f>
        <v>26150</v>
      </c>
      <c r="F24" s="167">
        <f>D24*E24</f>
        <v>26150</v>
      </c>
      <c r="H24" s="56">
        <f t="shared" ref="H24:J25" si="2">$H$10*D24</f>
        <v>309.37</v>
      </c>
      <c r="I24" s="362">
        <f t="shared" si="2"/>
        <v>8090025.5</v>
      </c>
      <c r="J24" s="362">
        <f t="shared" si="2"/>
        <v>8090025.5</v>
      </c>
      <c r="K24" s="103"/>
    </row>
    <row r="25" spans="1:15" ht="15.75" customHeight="1" x14ac:dyDescent="0.3">
      <c r="A25" s="996" t="s">
        <v>1013</v>
      </c>
      <c r="B25" s="997"/>
      <c r="C25" s="156" t="s">
        <v>1014</v>
      </c>
      <c r="D25" s="165">
        <v>6</v>
      </c>
      <c r="E25" s="189">
        <f>[7]MAT!E125</f>
        <v>1150</v>
      </c>
      <c r="F25" s="167">
        <f t="shared" ref="F25:F31" si="3">D25*E25</f>
        <v>6900</v>
      </c>
      <c r="H25" s="56">
        <f t="shared" si="2"/>
        <v>1856.22</v>
      </c>
      <c r="I25" s="362">
        <f t="shared" si="2"/>
        <v>355775.5</v>
      </c>
      <c r="J25" s="362">
        <f t="shared" si="2"/>
        <v>2134653</v>
      </c>
      <c r="K25" s="103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3"/>
        <v>0</v>
      </c>
      <c r="H26" s="103"/>
      <c r="I26" s="103"/>
      <c r="J26" s="103"/>
      <c r="K26" s="103"/>
    </row>
    <row r="27" spans="1:15" x14ac:dyDescent="0.3">
      <c r="A27" s="903"/>
      <c r="B27" s="904"/>
      <c r="C27" s="156"/>
      <c r="D27" s="165"/>
      <c r="E27" s="213"/>
      <c r="F27" s="167">
        <f t="shared" si="3"/>
        <v>0</v>
      </c>
      <c r="H27" s="103"/>
      <c r="I27" s="103"/>
      <c r="J27" s="103"/>
      <c r="K27" s="103"/>
    </row>
    <row r="28" spans="1:15" ht="15" customHeight="1" x14ac:dyDescent="0.3">
      <c r="A28" s="911"/>
      <c r="B28" s="912"/>
      <c r="C28" s="156"/>
      <c r="D28" s="165"/>
      <c r="E28" s="211"/>
      <c r="F28" s="167">
        <f t="shared" si="3"/>
        <v>0</v>
      </c>
      <c r="H28" s="103"/>
      <c r="I28" s="252"/>
      <c r="J28" s="103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3"/>
        <v>0</v>
      </c>
      <c r="H29" s="103"/>
      <c r="I29" s="103"/>
      <c r="J29" s="103"/>
      <c r="K29" s="201"/>
    </row>
    <row r="30" spans="1:15" x14ac:dyDescent="0.3">
      <c r="A30" s="903"/>
      <c r="B30" s="904"/>
      <c r="C30" s="156"/>
      <c r="D30" s="165"/>
      <c r="E30" s="216"/>
      <c r="F30" s="167">
        <f t="shared" si="3"/>
        <v>0</v>
      </c>
      <c r="H30" s="103"/>
      <c r="I30" s="103"/>
      <c r="J30" s="103"/>
      <c r="K30" s="483"/>
    </row>
    <row r="31" spans="1:15" ht="16.2" thickBot="1" x14ac:dyDescent="0.35">
      <c r="A31" s="905"/>
      <c r="B31" s="906"/>
      <c r="C31" s="178"/>
      <c r="D31" s="178"/>
      <c r="E31" s="218"/>
      <c r="F31" s="179">
        <f t="shared" si="3"/>
        <v>0</v>
      </c>
      <c r="H31" s="103"/>
      <c r="I31" s="103"/>
      <c r="J31" s="103"/>
      <c r="K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33050</v>
      </c>
      <c r="H32" s="482">
        <f>F32*$H$10</f>
        <v>10224678.5</v>
      </c>
      <c r="I32" s="103"/>
      <c r="J32" s="103"/>
      <c r="K32" s="103"/>
    </row>
    <row r="33" spans="1:11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  <c r="K33" s="103"/>
    </row>
    <row r="34" spans="1:11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  <c r="K34" s="103"/>
    </row>
    <row r="35" spans="1:11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  <c r="K35" s="103"/>
    </row>
    <row r="36" spans="1:11" x14ac:dyDescent="0.3">
      <c r="A36" s="169" t="s">
        <v>85</v>
      </c>
      <c r="B36" s="111"/>
      <c r="C36" s="158">
        <v>16</v>
      </c>
      <c r="D36" s="158">
        <v>0.02</v>
      </c>
      <c r="E36" s="158">
        <v>3000</v>
      </c>
      <c r="F36" s="186">
        <f>C36*D36*E36</f>
        <v>960</v>
      </c>
      <c r="H36" s="103"/>
      <c r="I36" s="103"/>
      <c r="J36" s="103"/>
      <c r="K36" s="103"/>
    </row>
    <row r="37" spans="1:11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  <c r="K37" s="103"/>
    </row>
    <row r="38" spans="1:11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960</v>
      </c>
      <c r="H38" s="484">
        <f>F38*$H$10</f>
        <v>296995.20000000001</v>
      </c>
      <c r="I38" s="103"/>
      <c r="J38" s="103"/>
      <c r="K38" s="103"/>
    </row>
    <row r="39" spans="1:11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  <c r="K39" s="103"/>
    </row>
    <row r="40" spans="1:11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  <c r="K40" s="103"/>
    </row>
    <row r="41" spans="1:11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  <c r="K41" s="103"/>
    </row>
    <row r="42" spans="1:11" ht="15.75" customHeight="1" x14ac:dyDescent="0.3">
      <c r="A42" s="893" t="str">
        <f>[7]M.O!B63</f>
        <v>MANO DE OBRA A (1 OF Y 1 AYUD)</v>
      </c>
      <c r="B42" s="894"/>
      <c r="C42" s="176" t="s">
        <v>43</v>
      </c>
      <c r="D42" s="177">
        <f>[7]M.O!F70</f>
        <v>38472</v>
      </c>
      <c r="E42" s="165">
        <v>0.25</v>
      </c>
      <c r="F42" s="167">
        <f>D42*E42</f>
        <v>9618</v>
      </c>
      <c r="H42" s="56">
        <f>E42*$H$10</f>
        <v>77.342500000000001</v>
      </c>
      <c r="I42" s="362">
        <f>F42*$H$10</f>
        <v>2975520.66</v>
      </c>
      <c r="J42" s="103"/>
      <c r="K42" s="103"/>
    </row>
    <row r="43" spans="1:11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  <c r="K43" s="103"/>
    </row>
    <row r="44" spans="1:11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  <c r="K44" s="103"/>
    </row>
    <row r="45" spans="1:11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  <c r="K45" s="103"/>
    </row>
    <row r="46" spans="1:11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9618</v>
      </c>
      <c r="H46" s="103"/>
      <c r="I46" s="103"/>
      <c r="J46" s="103"/>
      <c r="K46" s="103"/>
    </row>
    <row r="47" spans="1:11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  <c r="K47" s="103"/>
    </row>
    <row r="48" spans="1:11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44409</v>
      </c>
      <c r="H48" s="482">
        <f>F48*$H$10</f>
        <v>13738812.33</v>
      </c>
      <c r="I48" s="103"/>
      <c r="J48" s="103"/>
      <c r="K48" s="103"/>
    </row>
    <row r="49" spans="1:11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  <c r="K49" s="103"/>
    </row>
    <row r="50" spans="1:11" x14ac:dyDescent="0.3">
      <c r="A50" s="103"/>
      <c r="B50" s="103"/>
      <c r="C50" s="103"/>
      <c r="D50" s="103"/>
      <c r="E50" s="103"/>
      <c r="F50" s="153"/>
    </row>
    <row r="52" spans="1:11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11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C15-B234-485F-BE9F-F0099F2CF2F1}">
  <sheetPr codeName="Hoja44">
    <tabColor rgb="FFFFFF00"/>
  </sheetPr>
  <dimension ref="A1:O53"/>
  <sheetViews>
    <sheetView view="pageBreakPreview" topLeftCell="A40" zoomScale="70" zoomScaleNormal="100" zoomScaleSheetLayoutView="70" workbookViewId="0">
      <selection activeCell="K67" sqref="K67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(Entidad)'!C59</f>
        <v>CUBIERTA  Y   ESTRUCTURA DE CUBIERTA</v>
      </c>
      <c r="C9" s="885"/>
      <c r="D9" s="885"/>
      <c r="E9" s="851" t="s">
        <v>74</v>
      </c>
      <c r="F9" s="917" t="str">
        <f>'PRESUPUESTO OFICIAL (Entidad)'!D61</f>
        <v>ML</v>
      </c>
    </row>
    <row r="10" spans="1:6" ht="30.75" customHeight="1" x14ac:dyDescent="0.3">
      <c r="A10" s="915" t="s">
        <v>75</v>
      </c>
      <c r="B10" s="922" t="str">
        <f>'PRESUPUESTO OFICIAL (Entidad)'!C61</f>
        <v>Suministro e instalación de Correa en perfil metálico de 3"X1 1/2", cal.18. Incluye pintura.</v>
      </c>
      <c r="C10" s="922"/>
      <c r="D10" s="922"/>
      <c r="E10" s="851"/>
      <c r="F10" s="917"/>
    </row>
    <row r="11" spans="1:6" x14ac:dyDescent="0.3">
      <c r="A11" s="915"/>
      <c r="B11" s="210" t="s">
        <v>182</v>
      </c>
      <c r="C11" s="210" t="s">
        <v>924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 t="s">
        <v>515</v>
      </c>
      <c r="B16" s="894"/>
      <c r="C16" s="158" t="s">
        <v>69</v>
      </c>
      <c r="D16" s="158">
        <v>0.6</v>
      </c>
      <c r="E16" s="185">
        <f>EQ!F14</f>
        <v>3000</v>
      </c>
      <c r="F16" s="186">
        <f t="shared" si="0"/>
        <v>1800</v>
      </c>
    </row>
    <row r="17" spans="1:15" x14ac:dyDescent="0.3">
      <c r="A17" s="893" t="s">
        <v>398</v>
      </c>
      <c r="B17" s="894"/>
      <c r="C17" s="158" t="s">
        <v>43</v>
      </c>
      <c r="D17" s="158">
        <v>0.1</v>
      </c>
      <c r="E17" s="185">
        <f>EQ!F20</f>
        <v>50000</v>
      </c>
      <c r="F17" s="186">
        <f t="shared" si="0"/>
        <v>5000</v>
      </c>
    </row>
    <row r="18" spans="1:15" x14ac:dyDescent="0.3">
      <c r="A18" s="893"/>
      <c r="B18" s="894"/>
      <c r="C18" s="158"/>
      <c r="D18" s="158"/>
      <c r="E18" s="185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7761.8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96" t="s">
        <v>761</v>
      </c>
      <c r="B24" s="997"/>
      <c r="C24" s="156" t="s">
        <v>19</v>
      </c>
      <c r="D24" s="156">
        <v>1.05</v>
      </c>
      <c r="E24" s="211">
        <f>MAT!E103</f>
        <v>10111.694583333334</v>
      </c>
      <c r="F24" s="167">
        <f t="shared" ref="F24:F31" si="1">D24*E24</f>
        <v>10617.279312500001</v>
      </c>
    </row>
    <row r="25" spans="1:15" x14ac:dyDescent="0.3">
      <c r="A25" s="996" t="s">
        <v>571</v>
      </c>
      <c r="B25" s="997"/>
      <c r="C25" s="156" t="s">
        <v>422</v>
      </c>
      <c r="D25" s="165">
        <v>0.05</v>
      </c>
      <c r="E25" s="211">
        <f>MAT!E47</f>
        <v>55913.166666666664</v>
      </c>
      <c r="F25" s="167">
        <f t="shared" si="1"/>
        <v>2795.6583333333333</v>
      </c>
      <c r="I25" s="214"/>
      <c r="M25" s="214"/>
      <c r="N25" s="214"/>
      <c r="O25" s="214"/>
    </row>
    <row r="26" spans="1:15" ht="15" customHeight="1" x14ac:dyDescent="0.3">
      <c r="A26" s="911" t="s">
        <v>762</v>
      </c>
      <c r="B26" s="912"/>
      <c r="C26" s="156" t="s">
        <v>111</v>
      </c>
      <c r="D26" s="165">
        <v>0.08</v>
      </c>
      <c r="E26" s="211">
        <f>MAT!E115</f>
        <v>21966.666666666668</v>
      </c>
      <c r="F26" s="167">
        <f t="shared" si="1"/>
        <v>1757.3333333333335</v>
      </c>
    </row>
    <row r="27" spans="1:15" x14ac:dyDescent="0.3">
      <c r="A27" s="1000" t="s">
        <v>763</v>
      </c>
      <c r="B27" s="981"/>
      <c r="C27" s="156" t="s">
        <v>427</v>
      </c>
      <c r="D27" s="165">
        <v>0.1</v>
      </c>
      <c r="E27" s="211">
        <f>MAT!E77</f>
        <v>27605.040000000001</v>
      </c>
      <c r="F27" s="167">
        <f t="shared" si="1"/>
        <v>2760.5040000000004</v>
      </c>
    </row>
    <row r="28" spans="1:15" ht="15" customHeight="1" x14ac:dyDescent="0.3">
      <c r="A28" s="1000"/>
      <c r="B28" s="981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17930.774979166668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44929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4C49E-2A83-4C01-801D-4AA871C171AC}">
  <sheetPr codeName="Hoja45">
    <tabColor rgb="FFFFFF00"/>
  </sheetPr>
  <dimension ref="A1:O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(Entidad)'!C59</f>
        <v>CUBIERTA  Y   ESTRUCTURA DE CUBIERTA</v>
      </c>
      <c r="C9" s="885"/>
      <c r="D9" s="885"/>
      <c r="E9" s="851" t="s">
        <v>74</v>
      </c>
      <c r="F9" s="917" t="str">
        <f>'PRESUPUESTO OFICIAL (Entidad)'!D62</f>
        <v>ML</v>
      </c>
    </row>
    <row r="10" spans="1:6" ht="30.75" customHeight="1" x14ac:dyDescent="0.3">
      <c r="A10" s="915" t="s">
        <v>75</v>
      </c>
      <c r="B10" s="922" t="str">
        <f>'PRESUPUESTO OFICIAL (Entidad)'!C62</f>
        <v>Suministro e instalación de Bajante ALL PVC 4". Incluye accesorios y mano de obra.</v>
      </c>
      <c r="C10" s="922"/>
      <c r="D10" s="922"/>
      <c r="E10" s="851"/>
      <c r="F10" s="917"/>
    </row>
    <row r="11" spans="1:6" x14ac:dyDescent="0.3">
      <c r="A11" s="915"/>
      <c r="B11" s="210" t="s">
        <v>183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961.80000000000007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1001" t="s">
        <v>749</v>
      </c>
      <c r="B24" s="1002"/>
      <c r="C24" s="156" t="s">
        <v>422</v>
      </c>
      <c r="D24" s="156">
        <v>0.03</v>
      </c>
      <c r="E24" s="211">
        <f>MAT!E92</f>
        <v>36952.94</v>
      </c>
      <c r="F24" s="167">
        <f t="shared" ref="F24:F31" si="1">D24*E24</f>
        <v>1108.5881999999999</v>
      </c>
    </row>
    <row r="25" spans="1:15" x14ac:dyDescent="0.3">
      <c r="A25" s="980" t="s">
        <v>528</v>
      </c>
      <c r="B25" s="981"/>
      <c r="C25" s="156" t="s">
        <v>21</v>
      </c>
      <c r="D25" s="165">
        <v>0.34</v>
      </c>
      <c r="E25" s="211">
        <f>MAT!E71</f>
        <v>8500</v>
      </c>
      <c r="F25" s="167">
        <f t="shared" si="1"/>
        <v>2890</v>
      </c>
      <c r="I25" s="214"/>
      <c r="M25" s="214"/>
      <c r="N25" s="214"/>
      <c r="O25" s="214"/>
    </row>
    <row r="26" spans="1:15" ht="15" customHeight="1" x14ac:dyDescent="0.3">
      <c r="A26" s="980" t="s">
        <v>628</v>
      </c>
      <c r="B26" s="981"/>
      <c r="C26" s="156" t="s">
        <v>19</v>
      </c>
      <c r="D26" s="165">
        <v>1.05</v>
      </c>
      <c r="E26" s="211">
        <f>MAT!E134</f>
        <v>12450</v>
      </c>
      <c r="F26" s="167">
        <f t="shared" si="1"/>
        <v>13072.5</v>
      </c>
    </row>
    <row r="27" spans="1:15" x14ac:dyDescent="0.3">
      <c r="A27" s="980" t="s">
        <v>748</v>
      </c>
      <c r="B27" s="981"/>
      <c r="C27" s="156" t="s">
        <v>422</v>
      </c>
      <c r="D27" s="165">
        <v>0.02</v>
      </c>
      <c r="E27" s="211">
        <f>MAT!E117</f>
        <v>67028.289999999994</v>
      </c>
      <c r="F27" s="167">
        <f t="shared" si="1"/>
        <v>1340.5657999999999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18411.653999999999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38609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930BE-E8F0-4905-8FDB-C758AF12E687}">
  <sheetPr>
    <tabColor rgb="FFFFFF00"/>
  </sheetPr>
  <dimension ref="A1:O53"/>
  <sheetViews>
    <sheetView view="pageBreakPreview" topLeftCell="A34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5.109375" style="1" customWidth="1"/>
    <col min="9" max="9" width="15.5546875" style="1" customWidth="1"/>
    <col min="10" max="10" width="13.33203125" style="1" customWidth="1"/>
    <col min="11" max="11" width="13.109375" style="1" customWidth="1"/>
    <col min="12" max="16384" width="11.44140625" style="1"/>
  </cols>
  <sheetData>
    <row r="1" spans="1:12" x14ac:dyDescent="0.3">
      <c r="A1" s="831"/>
      <c r="B1" s="831"/>
      <c r="C1" s="831"/>
      <c r="D1" s="831"/>
      <c r="E1" s="831"/>
      <c r="F1" s="831"/>
    </row>
    <row r="2" spans="1:12" x14ac:dyDescent="0.3">
      <c r="A2" s="831"/>
      <c r="B2" s="831"/>
      <c r="C2" s="831"/>
      <c r="D2" s="831"/>
      <c r="E2" s="831"/>
      <c r="F2" s="831"/>
    </row>
    <row r="3" spans="1:12" x14ac:dyDescent="0.3">
      <c r="A3" s="831"/>
      <c r="B3" s="831"/>
      <c r="C3" s="831"/>
      <c r="D3" s="831"/>
      <c r="E3" s="831"/>
      <c r="F3" s="831"/>
    </row>
    <row r="4" spans="1:12" x14ac:dyDescent="0.3">
      <c r="A4" s="831"/>
      <c r="B4" s="831"/>
      <c r="C4" s="831"/>
      <c r="D4" s="831"/>
      <c r="E4" s="831"/>
      <c r="F4" s="831"/>
    </row>
    <row r="5" spans="1:12" x14ac:dyDescent="0.3">
      <c r="A5" s="831"/>
      <c r="B5" s="831"/>
      <c r="C5" s="831"/>
      <c r="D5" s="831"/>
      <c r="E5" s="831"/>
      <c r="F5" s="831"/>
    </row>
    <row r="6" spans="1:12" x14ac:dyDescent="0.3">
      <c r="A6" s="831"/>
      <c r="B6" s="831"/>
      <c r="C6" s="831"/>
      <c r="D6" s="831"/>
      <c r="E6" s="831"/>
      <c r="F6" s="831"/>
    </row>
    <row r="7" spans="1:12" x14ac:dyDescent="0.3">
      <c r="A7" s="754" t="s">
        <v>72</v>
      </c>
      <c r="B7" s="754"/>
      <c r="C7" s="754"/>
      <c r="D7" s="754"/>
      <c r="E7" s="754"/>
      <c r="F7" s="754"/>
    </row>
    <row r="8" spans="1:12" x14ac:dyDescent="0.3">
      <c r="A8" s="103"/>
      <c r="B8" s="103"/>
      <c r="C8" s="103"/>
      <c r="D8" s="103"/>
      <c r="E8" s="103"/>
      <c r="F8" s="153"/>
    </row>
    <row r="9" spans="1:12" ht="16.2" thickBot="1" x14ac:dyDescent="0.35">
      <c r="A9" s="14" t="s">
        <v>73</v>
      </c>
      <c r="B9" s="885" t="str">
        <f>'[9]PRES '!C16</f>
        <v xml:space="preserve">CUBIERTA Y   ESTRUCTURA DE CUBIERTA </v>
      </c>
      <c r="C9" s="885"/>
      <c r="D9" s="885"/>
      <c r="E9" s="851" t="s">
        <v>74</v>
      </c>
      <c r="F9" s="917" t="str">
        <f>'[9]PRES '!D19</f>
        <v>ML</v>
      </c>
    </row>
    <row r="10" spans="1:12" ht="63.75" customHeight="1" thickBot="1" x14ac:dyDescent="0.35">
      <c r="A10" s="915" t="s">
        <v>75</v>
      </c>
      <c r="B10" s="922" t="str">
        <f>'[9]PRES '!C19</f>
        <v>Suministro e instalación de Cercha Metálica tubo rectangular .04x.08 mts. 18 superior y tubo rectangular .04x.10 mts cal. 18 inferior, celosía en Tubo rectangular .04x.08 cal. 18".  Incluye pintura.</v>
      </c>
      <c r="C10" s="922"/>
      <c r="D10" s="922"/>
      <c r="E10" s="851"/>
      <c r="F10" s="917"/>
      <c r="H10" s="481">
        <f>'[9]PRES '!E19</f>
        <v>20.2</v>
      </c>
      <c r="I10" s="103"/>
      <c r="J10" s="103"/>
      <c r="K10" s="103"/>
    </row>
    <row r="11" spans="1:12" x14ac:dyDescent="0.3">
      <c r="A11" s="915"/>
      <c r="B11" s="210" t="s">
        <v>1063</v>
      </c>
      <c r="C11" s="210"/>
      <c r="D11" s="210"/>
      <c r="E11" s="210"/>
      <c r="F11" s="210"/>
      <c r="H11" s="103"/>
      <c r="I11" s="103"/>
      <c r="J11" s="103"/>
      <c r="K11" s="103"/>
    </row>
    <row r="12" spans="1:12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  <c r="K12" s="103"/>
    </row>
    <row r="13" spans="1:12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  <c r="K13" s="103"/>
    </row>
    <row r="14" spans="1:12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  <c r="K14" s="28"/>
    </row>
    <row r="15" spans="1:12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92332</v>
      </c>
      <c r="F15" s="186">
        <f t="shared" ref="F15:F19" si="0">D15*E15</f>
        <v>4616.6000000000004</v>
      </c>
      <c r="H15" s="56">
        <f t="shared" ref="H15:J17" si="1">$H$10*D15</f>
        <v>1.01</v>
      </c>
      <c r="I15" s="362">
        <f t="shared" si="1"/>
        <v>1865106.4</v>
      </c>
      <c r="J15" s="362">
        <f t="shared" si="1"/>
        <v>93255.32</v>
      </c>
      <c r="K15" s="103"/>
    </row>
    <row r="16" spans="1:12" x14ac:dyDescent="0.3">
      <c r="A16" s="974" t="s">
        <v>1017</v>
      </c>
      <c r="B16" s="974"/>
      <c r="C16" s="158" t="s">
        <v>69</v>
      </c>
      <c r="D16" s="158">
        <v>0.09</v>
      </c>
      <c r="E16" s="187">
        <f>EQ!F20</f>
        <v>50000</v>
      </c>
      <c r="F16" s="186">
        <f t="shared" si="0"/>
        <v>4500</v>
      </c>
      <c r="H16" s="56">
        <f t="shared" si="1"/>
        <v>1.8179999999999998</v>
      </c>
      <c r="I16" s="362">
        <f t="shared" si="1"/>
        <v>1010000</v>
      </c>
      <c r="J16" s="362">
        <f t="shared" si="1"/>
        <v>90900</v>
      </c>
      <c r="K16" s="103"/>
      <c r="L16" s="1">
        <f>7*3</f>
        <v>21</v>
      </c>
    </row>
    <row r="17" spans="1:15" x14ac:dyDescent="0.3">
      <c r="A17" s="974" t="s">
        <v>1018</v>
      </c>
      <c r="B17" s="974"/>
      <c r="C17" s="158" t="s">
        <v>69</v>
      </c>
      <c r="D17" s="158">
        <v>0.08</v>
      </c>
      <c r="E17" s="187">
        <f>EQ!F19</f>
        <v>35000</v>
      </c>
      <c r="F17" s="186">
        <f t="shared" si="0"/>
        <v>2800</v>
      </c>
      <c r="H17" s="56">
        <f t="shared" si="1"/>
        <v>1.6159999999999999</v>
      </c>
      <c r="I17" s="362">
        <f t="shared" si="1"/>
        <v>707000</v>
      </c>
      <c r="J17" s="362">
        <f t="shared" si="1"/>
        <v>56560</v>
      </c>
      <c r="K17" s="103"/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103"/>
      <c r="I18" s="103"/>
      <c r="J18" s="103"/>
      <c r="K18" s="103"/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  <c r="K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11916.6</v>
      </c>
      <c r="H20" s="482">
        <f>F20*$H$10</f>
        <v>240715.32</v>
      </c>
      <c r="I20" s="103"/>
      <c r="J20" s="103"/>
      <c r="K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  <c r="K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  <c r="K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  <c r="K23" s="28"/>
    </row>
    <row r="24" spans="1:15" ht="15.75" customHeight="1" x14ac:dyDescent="0.3">
      <c r="A24" s="1003" t="s">
        <v>1065</v>
      </c>
      <c r="B24" s="999"/>
      <c r="C24" s="156" t="s">
        <v>19</v>
      </c>
      <c r="D24" s="156">
        <v>1</v>
      </c>
      <c r="E24" s="211">
        <f>MAT!E148</f>
        <v>16750</v>
      </c>
      <c r="F24" s="167">
        <f>D24*E24</f>
        <v>16750</v>
      </c>
      <c r="H24" s="56">
        <f t="shared" ref="H24:J29" si="2">$H$10*D24</f>
        <v>20.2</v>
      </c>
      <c r="I24" s="362">
        <f t="shared" si="2"/>
        <v>338350</v>
      </c>
      <c r="J24" s="362">
        <f t="shared" si="2"/>
        <v>338350</v>
      </c>
      <c r="K24" s="103"/>
    </row>
    <row r="25" spans="1:15" x14ac:dyDescent="0.3">
      <c r="A25" s="996" t="s">
        <v>1066</v>
      </c>
      <c r="B25" s="997"/>
      <c r="C25" s="156" t="s">
        <v>19</v>
      </c>
      <c r="D25" s="165">
        <v>2.1</v>
      </c>
      <c r="E25" s="211">
        <f>MAT!E103</f>
        <v>10111.694583333334</v>
      </c>
      <c r="F25" s="167">
        <f t="shared" ref="F25:F31" si="3">D25*E25</f>
        <v>21234.558625000001</v>
      </c>
      <c r="H25" s="56">
        <f t="shared" si="2"/>
        <v>42.42</v>
      </c>
      <c r="I25" s="362">
        <f t="shared" si="2"/>
        <v>204256.23058333332</v>
      </c>
      <c r="J25" s="362">
        <f t="shared" si="2"/>
        <v>428938.084225</v>
      </c>
      <c r="K25" s="103"/>
      <c r="M25" s="214"/>
      <c r="N25" s="214"/>
      <c r="O25" s="214"/>
    </row>
    <row r="26" spans="1:15" x14ac:dyDescent="0.3">
      <c r="A26" s="903" t="s">
        <v>571</v>
      </c>
      <c r="B26" s="904"/>
      <c r="C26" s="156" t="s">
        <v>422</v>
      </c>
      <c r="D26" s="165">
        <v>0.1</v>
      </c>
      <c r="E26" s="211">
        <f>MAT!E47</f>
        <v>55913.166666666664</v>
      </c>
      <c r="F26" s="167">
        <f t="shared" si="3"/>
        <v>5591.3166666666666</v>
      </c>
      <c r="H26" s="56">
        <f t="shared" si="2"/>
        <v>2.02</v>
      </c>
      <c r="I26" s="362">
        <f t="shared" si="2"/>
        <v>1129445.9666666666</v>
      </c>
      <c r="J26" s="362">
        <f t="shared" si="2"/>
        <v>112944.59666666666</v>
      </c>
      <c r="K26" s="103"/>
    </row>
    <row r="27" spans="1:15" x14ac:dyDescent="0.3">
      <c r="A27" s="911" t="s">
        <v>1067</v>
      </c>
      <c r="B27" s="912"/>
      <c r="C27" s="156" t="s">
        <v>111</v>
      </c>
      <c r="D27" s="165">
        <v>0.3</v>
      </c>
      <c r="E27" s="211">
        <f>MAT!E115</f>
        <v>21966.666666666668</v>
      </c>
      <c r="F27" s="167">
        <f t="shared" si="3"/>
        <v>6590</v>
      </c>
      <c r="H27" s="56">
        <f t="shared" si="2"/>
        <v>6.06</v>
      </c>
      <c r="I27" s="362">
        <f t="shared" si="2"/>
        <v>443726.66666666669</v>
      </c>
      <c r="J27" s="362">
        <f t="shared" si="2"/>
        <v>133118</v>
      </c>
      <c r="K27" s="103"/>
    </row>
    <row r="28" spans="1:15" ht="15" customHeight="1" x14ac:dyDescent="0.3">
      <c r="A28" s="1000" t="s">
        <v>1026</v>
      </c>
      <c r="B28" s="981"/>
      <c r="C28" s="156" t="s">
        <v>422</v>
      </c>
      <c r="D28" s="165">
        <v>0.05</v>
      </c>
      <c r="E28" s="211">
        <f>MAT!E77</f>
        <v>27605.040000000001</v>
      </c>
      <c r="F28" s="167">
        <f t="shared" si="3"/>
        <v>1380.2520000000002</v>
      </c>
      <c r="H28" s="56">
        <f t="shared" si="2"/>
        <v>1.01</v>
      </c>
      <c r="I28" s="362">
        <f t="shared" si="2"/>
        <v>557621.80799999996</v>
      </c>
      <c r="J28" s="362">
        <f t="shared" si="2"/>
        <v>27881.090400000001</v>
      </c>
      <c r="K28" s="103"/>
    </row>
    <row r="29" spans="1:15" x14ac:dyDescent="0.3">
      <c r="A29" s="903"/>
      <c r="B29" s="904"/>
      <c r="C29" s="156"/>
      <c r="D29" s="165"/>
      <c r="E29" s="211"/>
      <c r="F29" s="167">
        <f t="shared" si="3"/>
        <v>0</v>
      </c>
      <c r="H29" s="56">
        <f t="shared" si="2"/>
        <v>0</v>
      </c>
      <c r="I29" s="362">
        <f t="shared" si="2"/>
        <v>0</v>
      </c>
      <c r="J29" s="362">
        <f t="shared" si="2"/>
        <v>0</v>
      </c>
      <c r="K29" s="201"/>
    </row>
    <row r="30" spans="1:15" x14ac:dyDescent="0.3">
      <c r="A30" s="903"/>
      <c r="B30" s="904"/>
      <c r="C30" s="156"/>
      <c r="D30" s="165"/>
      <c r="E30" s="216"/>
      <c r="F30" s="167">
        <f t="shared" si="3"/>
        <v>0</v>
      </c>
      <c r="H30" s="103"/>
      <c r="I30" s="103"/>
      <c r="J30" s="103"/>
      <c r="K30" s="483"/>
    </row>
    <row r="31" spans="1:15" ht="16.2" thickBot="1" x14ac:dyDescent="0.35">
      <c r="A31" s="905"/>
      <c r="B31" s="906"/>
      <c r="C31" s="178"/>
      <c r="D31" s="178"/>
      <c r="E31" s="218"/>
      <c r="F31" s="179">
        <f t="shared" si="3"/>
        <v>0</v>
      </c>
      <c r="H31" s="103"/>
      <c r="I31" s="103"/>
      <c r="J31" s="103"/>
      <c r="K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51546.127291666671</v>
      </c>
      <c r="H32" s="482">
        <f>F32*$H$10</f>
        <v>1041231.7712916667</v>
      </c>
      <c r="I32" s="103"/>
      <c r="J32" s="103"/>
      <c r="K32" s="103"/>
    </row>
    <row r="33" spans="1:11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  <c r="K33" s="103"/>
    </row>
    <row r="34" spans="1:11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  <c r="K34" s="103"/>
    </row>
    <row r="35" spans="1:11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  <c r="K35" s="103"/>
    </row>
    <row r="36" spans="1:11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  <c r="K36" s="103"/>
    </row>
    <row r="37" spans="1:11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  <c r="K37" s="103"/>
    </row>
    <row r="38" spans="1:11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  <c r="K38" s="103"/>
    </row>
    <row r="39" spans="1:11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  <c r="K39" s="103"/>
    </row>
    <row r="40" spans="1:11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  <c r="K40" s="103"/>
    </row>
    <row r="41" spans="1:11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  <c r="K41" s="103"/>
    </row>
    <row r="42" spans="1:11" ht="15.75" customHeight="1" x14ac:dyDescent="0.3">
      <c r="A42" s="893" t="str">
        <f>[9]M.O!B81</f>
        <v>MANO DE OBRA CARPINTERIA</v>
      </c>
      <c r="B42" s="894"/>
      <c r="C42" s="176" t="s">
        <v>43</v>
      </c>
      <c r="D42" s="177">
        <f>M.O!F88</f>
        <v>46166</v>
      </c>
      <c r="E42" s="156">
        <v>2</v>
      </c>
      <c r="F42" s="167">
        <f>D42*E42</f>
        <v>92332</v>
      </c>
      <c r="H42" s="56">
        <f>E42*$H$10</f>
        <v>40.4</v>
      </c>
      <c r="I42" s="362">
        <f>F42*$H$10</f>
        <v>1865106.4</v>
      </c>
      <c r="J42" s="103"/>
      <c r="K42" s="103"/>
    </row>
    <row r="43" spans="1:11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  <c r="K43" s="103"/>
    </row>
    <row r="44" spans="1:11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  <c r="K44" s="103"/>
    </row>
    <row r="45" spans="1:11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  <c r="K45" s="103"/>
    </row>
    <row r="46" spans="1:11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92332</v>
      </c>
      <c r="H46" s="103"/>
      <c r="I46" s="103"/>
      <c r="J46" s="103"/>
      <c r="K46" s="103"/>
    </row>
    <row r="47" spans="1:11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  <c r="K47" s="103"/>
    </row>
    <row r="48" spans="1:11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155795</v>
      </c>
      <c r="H48" s="482">
        <f>F48*$H$10</f>
        <v>3147059</v>
      </c>
      <c r="I48" s="103"/>
      <c r="J48" s="103"/>
      <c r="K48" s="103"/>
    </row>
    <row r="49" spans="1:11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  <c r="K49" s="103"/>
    </row>
    <row r="50" spans="1:11" x14ac:dyDescent="0.3">
      <c r="A50" s="103"/>
      <c r="B50" s="103"/>
      <c r="C50" s="103"/>
      <c r="D50" s="103"/>
      <c r="E50" s="103"/>
      <c r="F50" s="153"/>
    </row>
    <row r="52" spans="1:11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11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41A7-6C23-4584-8821-082D3D172144}">
  <sheetPr codeName="Hoja46">
    <tabColor rgb="FFFFFF00"/>
  </sheetPr>
  <dimension ref="A1:O53"/>
  <sheetViews>
    <sheetView view="pageBreakPreview" topLeftCell="A31" zoomScale="70" zoomScaleNormal="100" zoomScaleSheetLayoutView="70" workbookViewId="0">
      <selection activeCell="D12" sqref="D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(Entidad)'!C64</f>
        <v>PISOS Y ENCHAPES</v>
      </c>
      <c r="C9" s="885"/>
      <c r="D9" s="885"/>
      <c r="E9" s="851" t="s">
        <v>74</v>
      </c>
      <c r="F9" s="917" t="str">
        <f>'PRESUPUESTO OFICIAL (Entidad)'!D65</f>
        <v>M2</v>
      </c>
    </row>
    <row r="10" spans="1:6" ht="18.75" customHeight="1" x14ac:dyDescent="0.3">
      <c r="A10" s="915" t="s">
        <v>75</v>
      </c>
      <c r="B10" s="922" t="str">
        <f>'PRESUPUESTO OFICIAL (Entidad)'!C65</f>
        <v>Alistado de piso en mortero e= 0,05m.</v>
      </c>
      <c r="C10" s="922"/>
      <c r="D10" s="922"/>
      <c r="E10" s="851"/>
      <c r="F10" s="917"/>
    </row>
    <row r="11" spans="1:6" x14ac:dyDescent="0.3">
      <c r="A11" s="915"/>
      <c r="B11" s="210" t="s">
        <v>184</v>
      </c>
      <c r="C11" s="210" t="s">
        <v>927</v>
      </c>
      <c r="D11" s="210" t="s">
        <v>1193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13080.480000000001</v>
      </c>
      <c r="F15" s="186">
        <f t="shared" ref="F15:F19" si="0">D15*E15</f>
        <v>654.02400000000011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654.02400000000011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74" t="s">
        <v>514</v>
      </c>
      <c r="B24" s="974"/>
      <c r="C24" s="156" t="s">
        <v>9</v>
      </c>
      <c r="D24" s="255">
        <v>0.05</v>
      </c>
      <c r="E24" s="213">
        <f>'M 1-4'!F46</f>
        <v>442836</v>
      </c>
      <c r="F24" s="167">
        <f>D24*E24</f>
        <v>22141.800000000003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22141.800000000003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0.34</v>
      </c>
      <c r="F42" s="167">
        <f>D42*E42</f>
        <v>13080.480000000001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13080.480000000001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35876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0B8FE-90E7-4655-9B3C-9944FDCE90E4}">
  <sheetPr codeName="Hoja47">
    <tabColor rgb="FFFFFF00"/>
  </sheetPr>
  <dimension ref="A1:O53"/>
  <sheetViews>
    <sheetView view="pageBreakPreview" topLeftCell="A28" zoomScale="70" zoomScaleNormal="100" zoomScaleSheetLayoutView="70" workbookViewId="0">
      <selection activeCell="F11" sqref="F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(Entidad)'!C64</f>
        <v>PISOS Y ENCHAPES</v>
      </c>
      <c r="C9" s="885"/>
      <c r="D9" s="885"/>
      <c r="E9" s="851" t="s">
        <v>74</v>
      </c>
      <c r="F9" s="917" t="str">
        <f>'PRESUPUESTO OFICIAL (Entidad)'!D66</f>
        <v>M2</v>
      </c>
    </row>
    <row r="10" spans="1:6" ht="18.75" customHeight="1" x14ac:dyDescent="0.3">
      <c r="A10" s="915" t="s">
        <v>75</v>
      </c>
      <c r="B10" s="922" t="str">
        <f>'PRESUPUESTO OFICIAL (Entidad)'!C66</f>
        <v>Construccion de Placa en concreto de 3000 PSI e=0,10 m.</v>
      </c>
      <c r="C10" s="922"/>
      <c r="D10" s="922"/>
      <c r="E10" s="851"/>
      <c r="F10" s="917"/>
    </row>
    <row r="11" spans="1:6" x14ac:dyDescent="0.3">
      <c r="A11" s="915"/>
      <c r="B11" s="210" t="s">
        <v>256</v>
      </c>
      <c r="C11" s="210" t="s">
        <v>677</v>
      </c>
      <c r="D11" s="210" t="s">
        <v>926</v>
      </c>
      <c r="E11" s="210" t="s">
        <v>1192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26930.399999999998</v>
      </c>
      <c r="F15" s="186">
        <f t="shared" ref="F15:F19" si="0">D15*E15</f>
        <v>1346.52</v>
      </c>
    </row>
    <row r="16" spans="1:6" x14ac:dyDescent="0.3">
      <c r="A16" s="893" t="s">
        <v>399</v>
      </c>
      <c r="B16" s="894"/>
      <c r="C16" s="158" t="s">
        <v>69</v>
      </c>
      <c r="D16" s="158">
        <v>0.03</v>
      </c>
      <c r="E16" s="185">
        <f>EQ!F21</f>
        <v>50000</v>
      </c>
      <c r="F16" s="186">
        <f t="shared" si="0"/>
        <v>1500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2846.52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75" customHeight="1" x14ac:dyDescent="0.3">
      <c r="A24" s="903" t="s">
        <v>192</v>
      </c>
      <c r="B24" s="904"/>
      <c r="C24" s="156" t="s">
        <v>9</v>
      </c>
      <c r="D24" s="156">
        <v>0.08</v>
      </c>
      <c r="E24" s="211">
        <f>'C. 2500 PSI'!F45</f>
        <v>514121</v>
      </c>
      <c r="F24" s="167">
        <f>D24*E24</f>
        <v>41129.68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41129.68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0.7</v>
      </c>
      <c r="F42" s="167">
        <f>D42*E42</f>
        <v>26930.399999999998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26930.399999999998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70907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4DD43-98A4-4E7D-B3B0-A388CD11257B}">
  <sheetPr codeName="Hoja48">
    <tabColor rgb="FFFFFF00"/>
  </sheetPr>
  <dimension ref="A1:O53"/>
  <sheetViews>
    <sheetView view="pageBreakPreview" topLeftCell="A22" zoomScale="70" zoomScaleNormal="100" zoomScaleSheetLayoutView="70" workbookViewId="0">
      <selection activeCell="N28" sqref="N28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(Entidad)'!C64</f>
        <v>PISOS Y ENCHAPES</v>
      </c>
      <c r="C9" s="885"/>
      <c r="D9" s="885"/>
      <c r="E9" s="851" t="s">
        <v>74</v>
      </c>
      <c r="F9" s="917" t="str">
        <f>'PRESUPUESTO OFICIAL (Entidad)'!D67</f>
        <v>M2</v>
      </c>
    </row>
    <row r="10" spans="1:6" ht="18.75" customHeight="1" x14ac:dyDescent="0.3">
      <c r="A10" s="915" t="s">
        <v>75</v>
      </c>
      <c r="B10" s="922" t="str">
        <f>'PRESUPUESTO OFICIAL (Entidad)'!C67</f>
        <v>Suministrar e instalar Piso en ceramica T-5.</v>
      </c>
      <c r="C10" s="922"/>
      <c r="D10" s="922"/>
      <c r="E10" s="851"/>
      <c r="F10" s="917"/>
    </row>
    <row r="11" spans="1:6" x14ac:dyDescent="0.3">
      <c r="A11" s="915"/>
      <c r="B11" s="210" t="s">
        <v>257</v>
      </c>
      <c r="C11" s="210" t="s">
        <v>678</v>
      </c>
      <c r="D11" s="210" t="s">
        <v>928</v>
      </c>
      <c r="E11" s="210" t="s">
        <v>1194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23083.200000000001</v>
      </c>
      <c r="F15" s="186">
        <f t="shared" ref="F15:F19" si="0">D15*E15</f>
        <v>1154.1600000000001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1154.1600000000001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607</v>
      </c>
      <c r="B24" s="904"/>
      <c r="C24" s="156" t="s">
        <v>8</v>
      </c>
      <c r="D24" s="156">
        <v>1.03</v>
      </c>
      <c r="E24" s="211">
        <f>MAT!E64</f>
        <v>94900</v>
      </c>
      <c r="F24" s="167">
        <f>D24*E24</f>
        <v>97747</v>
      </c>
    </row>
    <row r="25" spans="1:15" x14ac:dyDescent="0.3">
      <c r="A25" s="903" t="s">
        <v>629</v>
      </c>
      <c r="B25" s="904"/>
      <c r="C25" s="156" t="s">
        <v>111</v>
      </c>
      <c r="D25" s="165">
        <v>0.4</v>
      </c>
      <c r="E25" s="211">
        <f>MAT!E50</f>
        <v>5750</v>
      </c>
      <c r="F25" s="167">
        <f t="shared" ref="F25:F31" si="1">D25*E25</f>
        <v>2300</v>
      </c>
      <c r="I25" s="214"/>
      <c r="M25" s="214"/>
      <c r="N25" s="214"/>
      <c r="O25" s="214"/>
    </row>
    <row r="26" spans="1:15" ht="15.75" customHeight="1" x14ac:dyDescent="0.3">
      <c r="A26" s="903" t="s">
        <v>452</v>
      </c>
      <c r="B26" s="904"/>
      <c r="C26" s="156" t="s">
        <v>111</v>
      </c>
      <c r="D26" s="165">
        <v>2</v>
      </c>
      <c r="E26" s="211">
        <f>MAT!E102</f>
        <v>14900</v>
      </c>
      <c r="F26" s="167">
        <f t="shared" si="1"/>
        <v>29800</v>
      </c>
    </row>
    <row r="27" spans="1:15" ht="15.75" customHeight="1" x14ac:dyDescent="0.3">
      <c r="A27" s="903" t="s">
        <v>593</v>
      </c>
      <c r="B27" s="904"/>
      <c r="C27" s="156" t="s">
        <v>21</v>
      </c>
      <c r="D27" s="165">
        <v>8</v>
      </c>
      <c r="E27" s="211">
        <f>MAT!E73</f>
        <v>23.95</v>
      </c>
      <c r="F27" s="167">
        <f t="shared" si="1"/>
        <v>191.6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130038.6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85</v>
      </c>
      <c r="B36" s="111">
        <v>1</v>
      </c>
      <c r="C36" s="158">
        <v>1</v>
      </c>
      <c r="D36" s="158">
        <v>16</v>
      </c>
      <c r="E36" s="158">
        <v>20</v>
      </c>
      <c r="F36" s="186">
        <f>C36*D36*E36</f>
        <v>320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320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0.6</v>
      </c>
      <c r="F42" s="167">
        <f>D42*E42</f>
        <v>23083.200000000001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23083.200000000001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154596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7513-EE9D-47CF-8656-4976B64388AF}">
  <sheetPr codeName="Hoja49">
    <tabColor rgb="FFFFFF00"/>
  </sheetPr>
  <dimension ref="A1:O53"/>
  <sheetViews>
    <sheetView view="pageBreakPreview" topLeftCell="A22" zoomScale="70" zoomScaleNormal="100" zoomScaleSheetLayoutView="70" workbookViewId="0">
      <selection activeCell="N30" sqref="N30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(Entidad)'!C64</f>
        <v>PISOS Y ENCHAPES</v>
      </c>
      <c r="C9" s="885"/>
      <c r="D9" s="885"/>
      <c r="E9" s="851" t="s">
        <v>74</v>
      </c>
      <c r="F9" s="917" t="str">
        <f>'PRESUPUESTO OFICIAL (Entidad)'!D68</f>
        <v>ML</v>
      </c>
    </row>
    <row r="10" spans="1:6" ht="36" customHeight="1" x14ac:dyDescent="0.3">
      <c r="A10" s="915" t="s">
        <v>75</v>
      </c>
      <c r="B10" s="922" t="str">
        <f>'PRESUPUESTO OFICIAL (Entidad)'!C68</f>
        <v>Suministro e instalacion de Guardaescoba en cerámica   T-5.</v>
      </c>
      <c r="C10" s="922"/>
      <c r="D10" s="922"/>
      <c r="E10" s="851"/>
      <c r="F10" s="917"/>
    </row>
    <row r="11" spans="1:6" x14ac:dyDescent="0.3">
      <c r="A11" s="915"/>
      <c r="B11" s="210" t="s">
        <v>258</v>
      </c>
      <c r="C11" s="210" t="s">
        <v>679</v>
      </c>
      <c r="D11" s="210" t="s">
        <v>929</v>
      </c>
      <c r="E11" s="210" t="s">
        <v>1195</v>
      </c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5770.8</v>
      </c>
      <c r="F15" s="186">
        <f t="shared" ref="F15:F19" si="0">D15*E15</f>
        <v>288.54000000000002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288.54000000000002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75" customHeight="1" x14ac:dyDescent="0.3">
      <c r="A24" s="903" t="s">
        <v>607</v>
      </c>
      <c r="B24" s="904"/>
      <c r="C24" s="156" t="s">
        <v>8</v>
      </c>
      <c r="D24" s="156">
        <v>0.1</v>
      </c>
      <c r="E24" s="211">
        <f>MAT!E64</f>
        <v>94900</v>
      </c>
      <c r="F24" s="167">
        <f>D24*E24</f>
        <v>9490</v>
      </c>
    </row>
    <row r="25" spans="1:15" x14ac:dyDescent="0.3">
      <c r="A25" s="903" t="s">
        <v>629</v>
      </c>
      <c r="B25" s="904"/>
      <c r="C25" s="156" t="s">
        <v>111</v>
      </c>
      <c r="D25" s="165">
        <v>0.1</v>
      </c>
      <c r="E25" s="211">
        <f>MAT!E50</f>
        <v>5750</v>
      </c>
      <c r="F25" s="167">
        <f t="shared" ref="F25:F31" si="1">D25*E25</f>
        <v>575</v>
      </c>
      <c r="I25" s="214"/>
      <c r="M25" s="214"/>
      <c r="N25" s="214"/>
      <c r="O25" s="214"/>
    </row>
    <row r="26" spans="1:15" ht="15.75" customHeight="1" x14ac:dyDescent="0.3">
      <c r="A26" s="903" t="s">
        <v>452</v>
      </c>
      <c r="B26" s="904"/>
      <c r="C26" s="156" t="s">
        <v>111</v>
      </c>
      <c r="D26" s="165">
        <v>0.2</v>
      </c>
      <c r="E26" s="211">
        <f>MAT!E102</f>
        <v>14900</v>
      </c>
      <c r="F26" s="167">
        <f t="shared" si="1"/>
        <v>2980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13045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0.15</v>
      </c>
      <c r="F42" s="167">
        <f>D42*E42</f>
        <v>5770.8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5770.8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19104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28E1-34E7-4C7B-AC80-1279FB2199A4}">
  <sheetPr codeName="Hoja50">
    <tabColor rgb="FFFFFF00"/>
  </sheetPr>
  <dimension ref="A1:O53"/>
  <sheetViews>
    <sheetView view="pageBreakPreview" topLeftCell="A34" zoomScale="70" zoomScaleNormal="100" zoomScaleSheetLayoutView="70" workbookViewId="0">
      <selection activeCell="L12" sqref="L1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(Entidad)'!C69</f>
        <v>CARPINTERÍA METÁLICA</v>
      </c>
      <c r="C9" s="885"/>
      <c r="D9" s="885"/>
      <c r="E9" s="851" t="s">
        <v>74</v>
      </c>
      <c r="F9" s="917" t="str">
        <f>'PRESUPUESTO OFICIAL (Entidad)'!D70</f>
        <v>M2</v>
      </c>
    </row>
    <row r="10" spans="1:6" ht="44.25" customHeight="1" x14ac:dyDescent="0.3">
      <c r="A10" s="915" t="s">
        <v>75</v>
      </c>
      <c r="B10" s="922" t="str">
        <f>'PRESUPUESTO OFICIAL (Entidad)'!C70</f>
        <v xml:space="preserve">Suministro e instalación ventana en lamina C.20 con vidrio 4mm Inc. anticorrosivo + pintura y todo lo necesario para su correcto funcionamiento. </v>
      </c>
      <c r="C10" s="922"/>
      <c r="D10" s="922"/>
      <c r="E10" s="851"/>
      <c r="F10" s="917"/>
    </row>
    <row r="11" spans="1:6" x14ac:dyDescent="0.3">
      <c r="A11" s="915"/>
      <c r="B11" s="210" t="s">
        <v>189</v>
      </c>
      <c r="C11" s="210" t="s">
        <v>1197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83098.8</v>
      </c>
      <c r="F15" s="186">
        <f t="shared" ref="F15:F19" si="0">D15*E15</f>
        <v>4154.9400000000005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4154.9400000000005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80" t="s">
        <v>765</v>
      </c>
      <c r="B24" s="981"/>
      <c r="C24" s="156" t="s">
        <v>19</v>
      </c>
      <c r="D24" s="156">
        <v>6.4</v>
      </c>
      <c r="E24" s="211">
        <f>MAT!E130</f>
        <v>3494.4444444444448</v>
      </c>
      <c r="F24" s="167">
        <f>D24*E24</f>
        <v>22364.444444444449</v>
      </c>
    </row>
    <row r="25" spans="1:15" x14ac:dyDescent="0.3">
      <c r="A25" s="980" t="s">
        <v>830</v>
      </c>
      <c r="B25" s="981"/>
      <c r="C25" s="156" t="s">
        <v>8</v>
      </c>
      <c r="D25" s="165">
        <v>0.35</v>
      </c>
      <c r="E25" s="211">
        <f>MAT!E88</f>
        <v>63333.333333333336</v>
      </c>
      <c r="F25" s="167">
        <f t="shared" ref="F25:F30" si="1">D25*E25</f>
        <v>22166.666666666668</v>
      </c>
      <c r="I25" s="214"/>
      <c r="M25" s="214"/>
      <c r="N25" s="214"/>
      <c r="O25" s="214"/>
    </row>
    <row r="26" spans="1:15" x14ac:dyDescent="0.3">
      <c r="A26" s="980" t="s">
        <v>766</v>
      </c>
      <c r="B26" s="981"/>
      <c r="C26" s="156" t="s">
        <v>111</v>
      </c>
      <c r="D26" s="165">
        <v>0.25</v>
      </c>
      <c r="E26" s="211">
        <f>MAT!E116</f>
        <v>21666.666666666668</v>
      </c>
      <c r="F26" s="167">
        <f t="shared" si="1"/>
        <v>5416.666666666667</v>
      </c>
    </row>
    <row r="27" spans="1:15" x14ac:dyDescent="0.3">
      <c r="A27" s="980" t="s">
        <v>571</v>
      </c>
      <c r="B27" s="981"/>
      <c r="C27" s="156" t="s">
        <v>422</v>
      </c>
      <c r="D27" s="165">
        <v>0.18</v>
      </c>
      <c r="E27" s="211">
        <f>MAT!E47</f>
        <v>55913.166666666664</v>
      </c>
      <c r="F27" s="167">
        <f t="shared" si="1"/>
        <v>10064.369999999999</v>
      </c>
    </row>
    <row r="28" spans="1:15" ht="15" customHeight="1" x14ac:dyDescent="0.3">
      <c r="A28" s="1000" t="s">
        <v>763</v>
      </c>
      <c r="B28" s="981"/>
      <c r="C28" s="156" t="s">
        <v>422</v>
      </c>
      <c r="D28" s="165">
        <v>0.4</v>
      </c>
      <c r="E28" s="211">
        <f>MAT!E77</f>
        <v>27605.040000000001</v>
      </c>
      <c r="F28" s="167">
        <f t="shared" si="1"/>
        <v>11042.016000000001</v>
      </c>
      <c r="I28" s="214"/>
      <c r="K28" s="103"/>
    </row>
    <row r="29" spans="1:15" x14ac:dyDescent="0.3">
      <c r="A29" s="1000" t="s">
        <v>605</v>
      </c>
      <c r="B29" s="981"/>
      <c r="C29" s="156" t="s">
        <v>422</v>
      </c>
      <c r="D29" s="165">
        <v>0.18</v>
      </c>
      <c r="E29" s="211">
        <f>MAT!E78</f>
        <v>71500</v>
      </c>
      <c r="F29" s="167">
        <f t="shared" si="1"/>
        <v>12870</v>
      </c>
      <c r="K29" s="10"/>
    </row>
    <row r="30" spans="1:15" x14ac:dyDescent="0.3">
      <c r="A30" s="980" t="s">
        <v>582</v>
      </c>
      <c r="B30" s="981"/>
      <c r="C30" s="156" t="s">
        <v>8</v>
      </c>
      <c r="D30" s="165">
        <v>1</v>
      </c>
      <c r="E30" s="211">
        <f>MAT!E143</f>
        <v>44450</v>
      </c>
      <c r="F30" s="167">
        <f t="shared" si="1"/>
        <v>44450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128374.16377777778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86</v>
      </c>
      <c r="B36" s="111">
        <v>1</v>
      </c>
      <c r="C36" s="158">
        <v>16</v>
      </c>
      <c r="D36" s="158">
        <v>1</v>
      </c>
      <c r="E36" s="158">
        <v>50</v>
      </c>
      <c r="F36" s="186">
        <f>C36*D36*E36</f>
        <v>800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800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M.O!B81</f>
        <v>MANO DE OBRA CARPINTERIA</v>
      </c>
      <c r="B42" s="894"/>
      <c r="C42" s="176" t="s">
        <v>43</v>
      </c>
      <c r="D42" s="177">
        <f>M.O!F88</f>
        <v>46166</v>
      </c>
      <c r="E42" s="156">
        <v>1.8</v>
      </c>
      <c r="F42" s="167">
        <f>D42*E42</f>
        <v>83098.8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83098.8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216428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0" orientation="portrait" r:id="rId1"/>
  <colBreaks count="1" manualBreakCount="1">
    <brk id="6" max="1048575" man="1"/>
  </colBreaks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FEE9B-BD54-40A8-8DA9-D67849DBDA80}">
  <sheetPr codeName="Hoja51">
    <tabColor rgb="FFFFFF00"/>
  </sheetPr>
  <dimension ref="A1:K53"/>
  <sheetViews>
    <sheetView view="pageBreakPreview" topLeftCell="A25" zoomScale="70" zoomScaleNormal="100" zoomScaleSheetLayoutView="70" workbookViewId="0">
      <selection activeCell="K18" sqref="K18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(Entidad)'!C69</f>
        <v>CARPINTERÍA METÁLICA</v>
      </c>
      <c r="C9" s="885"/>
      <c r="D9" s="885"/>
      <c r="E9" s="851" t="s">
        <v>74</v>
      </c>
      <c r="F9" s="917" t="str">
        <f>'PRESUPUESTO OFICIAL (Entidad)'!D71</f>
        <v>UND</v>
      </c>
    </row>
    <row r="10" spans="1:6" ht="28.5" customHeight="1" x14ac:dyDescent="0.3">
      <c r="A10" s="915" t="s">
        <v>75</v>
      </c>
      <c r="B10" s="922" t="str">
        <f>'PRESUPUESTO OFICIAL (Entidad)'!C71</f>
        <v>Suministro e instalación de Marco y puerta metálicos lamina C. R. cal. 20, de 1,00x2.00 m. Incluye anticorrosivo y pintura.</v>
      </c>
      <c r="C10" s="922"/>
      <c r="D10" s="922"/>
      <c r="E10" s="851"/>
      <c r="F10" s="917"/>
    </row>
    <row r="11" spans="1:6" x14ac:dyDescent="0.3">
      <c r="A11" s="915"/>
      <c r="B11" s="210" t="s">
        <v>190</v>
      </c>
      <c r="C11" s="210" t="s">
        <v>1204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226213.40000000002</v>
      </c>
      <c r="F15" s="186">
        <f t="shared" ref="F15:F19" si="0">D15*E15</f>
        <v>11310.670000000002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1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1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1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1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11310.670000000002</v>
      </c>
    </row>
    <row r="21" spans="1:11" ht="16.8" thickTop="1" thickBot="1" x14ac:dyDescent="0.35">
      <c r="A21" s="103"/>
      <c r="B21" s="103"/>
      <c r="C21" s="103"/>
      <c r="D21" s="103"/>
      <c r="E21" s="103"/>
      <c r="F21" s="153"/>
    </row>
    <row r="22" spans="1:11" x14ac:dyDescent="0.3">
      <c r="A22" s="895" t="s">
        <v>81</v>
      </c>
      <c r="B22" s="896"/>
      <c r="C22" s="896"/>
      <c r="D22" s="896"/>
      <c r="E22" s="896"/>
      <c r="F22" s="897"/>
    </row>
    <row r="23" spans="1:11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1" x14ac:dyDescent="0.3">
      <c r="A24" s="1006" t="s">
        <v>625</v>
      </c>
      <c r="B24" s="1007"/>
      <c r="C24" s="316" t="s">
        <v>21</v>
      </c>
      <c r="D24" s="156">
        <v>3</v>
      </c>
      <c r="E24" s="211">
        <f>MAT!E48</f>
        <v>3250</v>
      </c>
      <c r="F24" s="167">
        <f>D24*E24</f>
        <v>9750</v>
      </c>
    </row>
    <row r="25" spans="1:11" x14ac:dyDescent="0.3">
      <c r="A25" s="1008" t="s">
        <v>572</v>
      </c>
      <c r="B25" s="1009"/>
      <c r="C25" s="316" t="s">
        <v>21</v>
      </c>
      <c r="D25" s="165">
        <v>2.2999999999999998</v>
      </c>
      <c r="E25" s="211">
        <f>MAT!E88</f>
        <v>63333.333333333336</v>
      </c>
      <c r="F25" s="167">
        <f t="shared" ref="F25:F31" si="1">D25*E25</f>
        <v>145666.66666666666</v>
      </c>
      <c r="I25" s="214"/>
      <c r="J25" s="214"/>
      <c r="K25" s="214"/>
    </row>
    <row r="26" spans="1:11" x14ac:dyDescent="0.3">
      <c r="A26" s="1008" t="s">
        <v>765</v>
      </c>
      <c r="B26" s="1009"/>
      <c r="C26" s="316" t="s">
        <v>19</v>
      </c>
      <c r="D26" s="165">
        <v>6.1</v>
      </c>
      <c r="E26" s="211">
        <f>MAT!E130</f>
        <v>3494.4444444444448</v>
      </c>
      <c r="F26" s="167">
        <f t="shared" si="1"/>
        <v>21316.111111111113</v>
      </c>
    </row>
    <row r="27" spans="1:11" x14ac:dyDescent="0.3">
      <c r="A27" s="980" t="s">
        <v>766</v>
      </c>
      <c r="B27" s="981"/>
      <c r="C27" s="156" t="s">
        <v>111</v>
      </c>
      <c r="D27" s="165">
        <v>0.15</v>
      </c>
      <c r="E27" s="213">
        <f>MAT!E116</f>
        <v>21666.666666666668</v>
      </c>
      <c r="F27" s="167">
        <f t="shared" si="1"/>
        <v>3250</v>
      </c>
    </row>
    <row r="28" spans="1:11" ht="15" customHeight="1" x14ac:dyDescent="0.3">
      <c r="A28" s="1006" t="s">
        <v>571</v>
      </c>
      <c r="B28" s="1007"/>
      <c r="C28" s="316" t="s">
        <v>422</v>
      </c>
      <c r="D28" s="165">
        <v>0.18</v>
      </c>
      <c r="E28" s="211">
        <f>MAT!E47</f>
        <v>55913.166666666664</v>
      </c>
      <c r="F28" s="167">
        <f t="shared" si="1"/>
        <v>10064.369999999999</v>
      </c>
      <c r="I28" s="214"/>
    </row>
    <row r="29" spans="1:11" x14ac:dyDescent="0.3">
      <c r="A29" s="1004" t="s">
        <v>816</v>
      </c>
      <c r="B29" s="1005"/>
      <c r="C29" s="317" t="s">
        <v>21</v>
      </c>
      <c r="D29" s="165">
        <v>1</v>
      </c>
      <c r="E29" s="211">
        <f>MAT!E65</f>
        <v>27278.666666666668</v>
      </c>
      <c r="F29" s="167">
        <f t="shared" si="1"/>
        <v>27278.666666666668</v>
      </c>
    </row>
    <row r="30" spans="1:11" x14ac:dyDescent="0.3">
      <c r="A30" s="1006" t="s">
        <v>605</v>
      </c>
      <c r="B30" s="1007"/>
      <c r="C30" s="88" t="s">
        <v>422</v>
      </c>
      <c r="D30" s="165">
        <v>0.18</v>
      </c>
      <c r="E30" s="250">
        <f>MAT!E78</f>
        <v>71500</v>
      </c>
      <c r="F30" s="167">
        <f t="shared" si="1"/>
        <v>12870</v>
      </c>
    </row>
    <row r="31" spans="1:11" ht="16.2" thickBot="1" x14ac:dyDescent="0.35">
      <c r="A31" s="1010" t="s">
        <v>763</v>
      </c>
      <c r="B31" s="1011"/>
      <c r="C31" s="318" t="s">
        <v>422</v>
      </c>
      <c r="D31" s="178">
        <v>0.4</v>
      </c>
      <c r="E31" s="251">
        <f>MAT!E77</f>
        <v>27605.040000000001</v>
      </c>
      <c r="F31" s="179">
        <f t="shared" si="1"/>
        <v>11042.016000000001</v>
      </c>
    </row>
    <row r="32" spans="1:11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241237.83044444444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86</v>
      </c>
      <c r="B36" s="111">
        <v>1</v>
      </c>
      <c r="C36" s="158">
        <v>16</v>
      </c>
      <c r="D36" s="158">
        <v>1</v>
      </c>
      <c r="E36" s="158">
        <v>1200</v>
      </c>
      <c r="F36" s="186">
        <f>C36*D36*E36</f>
        <v>19200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19200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M.O!B81</f>
        <v>MANO DE OBRA CARPINTERIA</v>
      </c>
      <c r="B42" s="894"/>
      <c r="C42" s="176" t="s">
        <v>43</v>
      </c>
      <c r="D42" s="177">
        <f>M.O!F88</f>
        <v>46166</v>
      </c>
      <c r="E42" s="156">
        <v>4.9000000000000004</v>
      </c>
      <c r="F42" s="167">
        <f>D42*E42</f>
        <v>226213.40000000002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226213.40000000002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497962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060AF-8971-4A1C-8148-E76E9FE1C7A9}">
  <sheetPr codeName="Hoja52">
    <tabColor rgb="FFFFFF00"/>
  </sheetPr>
  <dimension ref="A1:O53"/>
  <sheetViews>
    <sheetView view="pageBreakPreview" topLeftCell="A40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(Entidad)'!C69</f>
        <v>CARPINTERÍA METÁLICA</v>
      </c>
      <c r="C9" s="885"/>
      <c r="D9" s="885"/>
      <c r="E9" s="851" t="s">
        <v>74</v>
      </c>
      <c r="F9" s="917" t="str">
        <f>'PRESUPUESTO OFICIAL (Entidad)'!D72</f>
        <v>ML</v>
      </c>
    </row>
    <row r="10" spans="1:6" ht="31.5" customHeight="1" x14ac:dyDescent="0.3">
      <c r="A10" s="915" t="s">
        <v>75</v>
      </c>
      <c r="B10" s="922" t="str">
        <f>'PRESUPUESTO OFICIAL (Entidad)'!C72</f>
        <v>Suministro e instalación de Canal en lámina Galvanizada C. 20. Incluye refuerzos en angulo 1" x 1/8"+ pintura.</v>
      </c>
      <c r="C10" s="922"/>
      <c r="D10" s="922"/>
      <c r="E10" s="851"/>
      <c r="F10" s="917"/>
    </row>
    <row r="11" spans="1:6" x14ac:dyDescent="0.3">
      <c r="A11" s="915"/>
      <c r="B11" s="210" t="s">
        <v>260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36932.800000000003</v>
      </c>
      <c r="F15" s="186">
        <f t="shared" ref="F15:F19" si="0">D15*E15</f>
        <v>1846.6400000000003</v>
      </c>
    </row>
    <row r="16" spans="1:6" ht="15.75" customHeight="1" x14ac:dyDescent="0.3">
      <c r="A16" s="893" t="s">
        <v>398</v>
      </c>
      <c r="B16" s="894"/>
      <c r="C16" s="158" t="s">
        <v>69</v>
      </c>
      <c r="D16" s="158">
        <v>0.04</v>
      </c>
      <c r="E16" s="185">
        <f>EQ!F20</f>
        <v>50000</v>
      </c>
      <c r="F16" s="186">
        <f t="shared" si="0"/>
        <v>2000</v>
      </c>
    </row>
    <row r="17" spans="1:15" ht="15.75" customHeight="1" x14ac:dyDescent="0.3">
      <c r="A17" s="893" t="s">
        <v>515</v>
      </c>
      <c r="B17" s="894"/>
      <c r="C17" s="158" t="s">
        <v>69</v>
      </c>
      <c r="D17" s="158">
        <v>0.2</v>
      </c>
      <c r="E17" s="185">
        <f>EQ!F14</f>
        <v>3000</v>
      </c>
      <c r="F17" s="186">
        <f t="shared" si="0"/>
        <v>600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4446.6400000000003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75" customHeight="1" x14ac:dyDescent="0.3">
      <c r="A24" s="903" t="s">
        <v>768</v>
      </c>
      <c r="B24" s="904"/>
      <c r="C24" s="156" t="s">
        <v>8</v>
      </c>
      <c r="D24" s="156">
        <v>0.25</v>
      </c>
      <c r="E24" s="211">
        <f>MAT!E88</f>
        <v>63333.333333333336</v>
      </c>
      <c r="F24" s="167">
        <f t="shared" ref="F24:F31" si="1">D24*E24</f>
        <v>15833.333333333334</v>
      </c>
    </row>
    <row r="25" spans="1:15" ht="15.75" customHeight="1" x14ac:dyDescent="0.3">
      <c r="A25" s="903" t="s">
        <v>571</v>
      </c>
      <c r="B25" s="904"/>
      <c r="C25" s="156" t="s">
        <v>427</v>
      </c>
      <c r="D25" s="165">
        <v>0.06</v>
      </c>
      <c r="E25" s="213">
        <f>MAT!E47</f>
        <v>55913.166666666664</v>
      </c>
      <c r="F25" s="167">
        <f t="shared" si="1"/>
        <v>3354.7899999999995</v>
      </c>
      <c r="I25" s="214"/>
      <c r="M25" s="214"/>
      <c r="N25" s="214"/>
      <c r="O25" s="214"/>
    </row>
    <row r="26" spans="1:15" ht="15.75" customHeight="1" x14ac:dyDescent="0.3">
      <c r="A26" s="980" t="s">
        <v>766</v>
      </c>
      <c r="B26" s="981"/>
      <c r="C26" s="156" t="s">
        <v>111</v>
      </c>
      <c r="D26" s="165">
        <v>0.08</v>
      </c>
      <c r="E26" s="213">
        <f>MAT!E116</f>
        <v>21666.666666666668</v>
      </c>
      <c r="F26" s="167">
        <f t="shared" si="1"/>
        <v>1733.3333333333335</v>
      </c>
    </row>
    <row r="27" spans="1:15" ht="15.75" customHeight="1" x14ac:dyDescent="0.3">
      <c r="A27" s="903" t="s">
        <v>609</v>
      </c>
      <c r="B27" s="904"/>
      <c r="C27" s="156" t="s">
        <v>19</v>
      </c>
      <c r="D27" s="165">
        <v>0.67</v>
      </c>
      <c r="E27" s="213">
        <f>MAT!E42</f>
        <v>5322.2222222222226</v>
      </c>
      <c r="F27" s="167">
        <f t="shared" si="1"/>
        <v>3565.8888888888896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24487.345555555556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M.O!B81</f>
        <v>MANO DE OBRA CARPINTERIA</v>
      </c>
      <c r="B42" s="894"/>
      <c r="C42" s="176" t="s">
        <v>43</v>
      </c>
      <c r="D42" s="177">
        <f>M.O!F88</f>
        <v>46166</v>
      </c>
      <c r="E42" s="156">
        <v>0.8</v>
      </c>
      <c r="F42" s="167">
        <f>D42*E42</f>
        <v>36932.800000000003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36932.800000000003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65867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71CD-889B-4D90-A32A-17E314EC65F2}">
  <sheetPr>
    <tabColor rgb="FFFFFF00"/>
  </sheetPr>
  <dimension ref="A1:K53"/>
  <sheetViews>
    <sheetView view="pageBreakPreview" topLeftCell="A30" zoomScale="70" zoomScaleNormal="100" zoomScaleSheetLayoutView="70" workbookViewId="0">
      <selection activeCell="D27" sqref="D27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(Entidad)'!C69</f>
        <v>CARPINTERÍA METÁLICA</v>
      </c>
      <c r="C9" s="885"/>
      <c r="D9" s="885"/>
      <c r="E9" s="851" t="s">
        <v>74</v>
      </c>
      <c r="F9" s="917" t="str">
        <f>'PRESUPUESTO OFICIAL (Entidad)'!D71</f>
        <v>UND</v>
      </c>
    </row>
    <row r="10" spans="1:6" ht="28.5" customHeight="1" x14ac:dyDescent="0.3">
      <c r="A10" s="915" t="s">
        <v>75</v>
      </c>
      <c r="B10" s="922" t="str">
        <f>'PRESUPUESTO OFICIAL (Entidad)'!C71</f>
        <v>Suministro e instalación de Marco y puerta metálicos lamina C. R. cal. 20, de 1,00x2.00 m. Incluye anticorrosivo y pintura.</v>
      </c>
      <c r="C10" s="922"/>
      <c r="D10" s="922"/>
      <c r="E10" s="851"/>
      <c r="F10" s="917"/>
    </row>
    <row r="11" spans="1:6" x14ac:dyDescent="0.3">
      <c r="A11" s="915"/>
      <c r="B11" s="210" t="s">
        <v>1070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226213.40000000002</v>
      </c>
      <c r="F15" s="186">
        <f t="shared" ref="F15:F19" si="0">D15*E15</f>
        <v>11310.670000000002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1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1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1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1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11310.670000000002</v>
      </c>
    </row>
    <row r="21" spans="1:11" ht="16.8" thickTop="1" thickBot="1" x14ac:dyDescent="0.35">
      <c r="A21" s="103"/>
      <c r="B21" s="103"/>
      <c r="C21" s="103"/>
      <c r="D21" s="103"/>
      <c r="E21" s="103"/>
      <c r="F21" s="153"/>
    </row>
    <row r="22" spans="1:11" x14ac:dyDescent="0.3">
      <c r="A22" s="895" t="s">
        <v>81</v>
      </c>
      <c r="B22" s="896"/>
      <c r="C22" s="896"/>
      <c r="D22" s="896"/>
      <c r="E22" s="896"/>
      <c r="F22" s="897"/>
    </row>
    <row r="23" spans="1:11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1" x14ac:dyDescent="0.3">
      <c r="A24" s="1006" t="s">
        <v>625</v>
      </c>
      <c r="B24" s="1007"/>
      <c r="C24" s="316" t="s">
        <v>21</v>
      </c>
      <c r="D24" s="156">
        <v>3</v>
      </c>
      <c r="E24" s="211">
        <f>MAT!E48</f>
        <v>3250</v>
      </c>
      <c r="F24" s="167">
        <f>D24*E24</f>
        <v>9750</v>
      </c>
    </row>
    <row r="25" spans="1:11" x14ac:dyDescent="0.3">
      <c r="A25" s="1008" t="s">
        <v>572</v>
      </c>
      <c r="B25" s="1009"/>
      <c r="C25" s="316" t="s">
        <v>21</v>
      </c>
      <c r="D25" s="165">
        <v>2.1</v>
      </c>
      <c r="E25" s="211">
        <f>MAT!E88</f>
        <v>63333.333333333336</v>
      </c>
      <c r="F25" s="167">
        <f t="shared" ref="F25:F31" si="1">D25*E25</f>
        <v>133000</v>
      </c>
      <c r="I25" s="214"/>
      <c r="J25" s="214"/>
      <c r="K25" s="214"/>
    </row>
    <row r="26" spans="1:11" x14ac:dyDescent="0.3">
      <c r="A26" s="1008" t="s">
        <v>765</v>
      </c>
      <c r="B26" s="1009"/>
      <c r="C26" s="316" t="s">
        <v>19</v>
      </c>
      <c r="D26" s="165">
        <v>5.9</v>
      </c>
      <c r="E26" s="211">
        <f>MAT!E130</f>
        <v>3494.4444444444448</v>
      </c>
      <c r="F26" s="167">
        <f t="shared" si="1"/>
        <v>20617.222222222226</v>
      </c>
    </row>
    <row r="27" spans="1:11" x14ac:dyDescent="0.3">
      <c r="A27" s="980" t="s">
        <v>766</v>
      </c>
      <c r="B27" s="981"/>
      <c r="C27" s="156" t="s">
        <v>111</v>
      </c>
      <c r="D27" s="165">
        <v>0.15</v>
      </c>
      <c r="E27" s="213">
        <f>MAT!E116</f>
        <v>21666.666666666668</v>
      </c>
      <c r="F27" s="167">
        <f t="shared" si="1"/>
        <v>3250</v>
      </c>
    </row>
    <row r="28" spans="1:11" ht="15" customHeight="1" x14ac:dyDescent="0.3">
      <c r="A28" s="1006" t="s">
        <v>571</v>
      </c>
      <c r="B28" s="1007"/>
      <c r="C28" s="316" t="s">
        <v>422</v>
      </c>
      <c r="D28" s="165">
        <v>0.18</v>
      </c>
      <c r="E28" s="211">
        <f>MAT!E47</f>
        <v>55913.166666666664</v>
      </c>
      <c r="F28" s="167">
        <f t="shared" si="1"/>
        <v>10064.369999999999</v>
      </c>
      <c r="I28" s="214"/>
    </row>
    <row r="29" spans="1:11" x14ac:dyDescent="0.3">
      <c r="A29" s="1004" t="s">
        <v>816</v>
      </c>
      <c r="B29" s="1005"/>
      <c r="C29" s="317" t="s">
        <v>21</v>
      </c>
      <c r="D29" s="165">
        <v>1</v>
      </c>
      <c r="E29" s="211">
        <f>MAT!E65</f>
        <v>27278.666666666668</v>
      </c>
      <c r="F29" s="167">
        <f t="shared" si="1"/>
        <v>27278.666666666668</v>
      </c>
    </row>
    <row r="30" spans="1:11" x14ac:dyDescent="0.3">
      <c r="A30" s="1006" t="s">
        <v>605</v>
      </c>
      <c r="B30" s="1007"/>
      <c r="C30" s="88" t="s">
        <v>422</v>
      </c>
      <c r="D30" s="165">
        <v>0.18</v>
      </c>
      <c r="E30" s="250">
        <f>MAT!E78</f>
        <v>71500</v>
      </c>
      <c r="F30" s="167">
        <f t="shared" si="1"/>
        <v>12870</v>
      </c>
    </row>
    <row r="31" spans="1:11" ht="16.2" thickBot="1" x14ac:dyDescent="0.35">
      <c r="A31" s="1010" t="s">
        <v>763</v>
      </c>
      <c r="B31" s="1011"/>
      <c r="C31" s="318" t="s">
        <v>422</v>
      </c>
      <c r="D31" s="178">
        <v>0.4</v>
      </c>
      <c r="E31" s="251">
        <f>MAT!E77</f>
        <v>27605.040000000001</v>
      </c>
      <c r="F31" s="179">
        <f t="shared" si="1"/>
        <v>11042.016000000001</v>
      </c>
    </row>
    <row r="32" spans="1:11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227872.27488888887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86</v>
      </c>
      <c r="B36" s="111">
        <v>1</v>
      </c>
      <c r="C36" s="158">
        <v>16</v>
      </c>
      <c r="D36" s="158">
        <v>1</v>
      </c>
      <c r="E36" s="158">
        <v>1200</v>
      </c>
      <c r="F36" s="186">
        <f>C36*D36*E36</f>
        <v>19200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19200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M.O!B81</f>
        <v>MANO DE OBRA CARPINTERIA</v>
      </c>
      <c r="B42" s="894"/>
      <c r="C42" s="176" t="s">
        <v>43</v>
      </c>
      <c r="D42" s="177">
        <f>M.O!F88</f>
        <v>46166</v>
      </c>
      <c r="E42" s="156">
        <v>4.9000000000000004</v>
      </c>
      <c r="F42" s="167">
        <f>D42*E42</f>
        <v>226213.40000000002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226213.40000000002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484596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8EBF3-A2FC-464E-9E9F-C05AD7C398BA}">
  <sheetPr codeName="Hoja53">
    <tabColor rgb="FFFFFF00"/>
  </sheetPr>
  <dimension ref="A1:O53"/>
  <sheetViews>
    <sheetView view="pageBreakPreview" topLeftCell="A25" zoomScale="70" zoomScaleNormal="100" zoomScaleSheetLayoutView="70" workbookViewId="0">
      <selection activeCell="K23" sqref="K2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(Entidad)'!C74</f>
        <v>PINTURA GENERAL Y ACABADOS</v>
      </c>
      <c r="C9" s="885"/>
      <c r="D9" s="885"/>
      <c r="E9" s="851" t="s">
        <v>74</v>
      </c>
      <c r="F9" s="917" t="str">
        <f>'PRESUPUESTO OFICIAL (Entidad)'!D75</f>
        <v>M2</v>
      </c>
    </row>
    <row r="10" spans="1:6" ht="29.25" customHeight="1" x14ac:dyDescent="0.3">
      <c r="A10" s="915" t="s">
        <v>75</v>
      </c>
      <c r="B10" s="922" t="str">
        <f>'PRESUPUESTO OFICIAL (Entidad)'!C75</f>
        <v>Suministro y aplicación de Estuco y pintura vinilo tipo1 tres manos sobre muros.</v>
      </c>
      <c r="C10" s="922"/>
      <c r="D10" s="922"/>
      <c r="E10" s="851"/>
      <c r="F10" s="917"/>
    </row>
    <row r="11" spans="1:6" x14ac:dyDescent="0.3">
      <c r="A11" s="915"/>
      <c r="B11" s="210" t="s">
        <v>263</v>
      </c>
      <c r="C11" s="210" t="s">
        <v>935</v>
      </c>
      <c r="D11" s="210" t="s">
        <v>1206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13465.199999999999</v>
      </c>
      <c r="F15" s="186">
        <f t="shared" ref="F15:F19" si="0">D15*E15</f>
        <v>673.26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673.26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573</v>
      </c>
      <c r="B24" s="904"/>
      <c r="C24" s="156" t="s">
        <v>111</v>
      </c>
      <c r="D24" s="156">
        <v>3</v>
      </c>
      <c r="E24" s="211">
        <f>MAT!E80</f>
        <v>1685.1851851851852</v>
      </c>
      <c r="F24" s="167">
        <f t="shared" ref="F24:F31" si="1">D24*E24</f>
        <v>5055.5555555555557</v>
      </c>
    </row>
    <row r="25" spans="1:15" x14ac:dyDescent="0.3">
      <c r="A25" s="903" t="s">
        <v>610</v>
      </c>
      <c r="B25" s="904"/>
      <c r="C25" s="156" t="s">
        <v>21</v>
      </c>
      <c r="D25" s="165">
        <v>0.02</v>
      </c>
      <c r="E25" s="211">
        <f>MAT!E91</f>
        <v>2000</v>
      </c>
      <c r="F25" s="167">
        <f t="shared" si="1"/>
        <v>40</v>
      </c>
      <c r="I25" s="214"/>
      <c r="M25" s="214"/>
      <c r="N25" s="214"/>
      <c r="O25" s="214"/>
    </row>
    <row r="26" spans="1:15" x14ac:dyDescent="0.3">
      <c r="A26" s="903" t="s">
        <v>410</v>
      </c>
      <c r="B26" s="904"/>
      <c r="C26" s="156" t="s">
        <v>411</v>
      </c>
      <c r="D26" s="165">
        <v>1</v>
      </c>
      <c r="E26" s="211">
        <f>MAT!E21</f>
        <v>20</v>
      </c>
      <c r="F26" s="167">
        <f t="shared" si="1"/>
        <v>20</v>
      </c>
    </row>
    <row r="27" spans="1:15" x14ac:dyDescent="0.3">
      <c r="A27" s="903" t="s">
        <v>574</v>
      </c>
      <c r="B27" s="904"/>
      <c r="C27" s="156" t="s">
        <v>427</v>
      </c>
      <c r="D27" s="165">
        <v>0.1</v>
      </c>
      <c r="E27" s="211">
        <f>MAT!E105</f>
        <v>59952.380666666664</v>
      </c>
      <c r="F27" s="167">
        <f t="shared" si="1"/>
        <v>5995.2380666666668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11110.793622222223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86</v>
      </c>
      <c r="B36" s="111">
        <v>1</v>
      </c>
      <c r="C36" s="158">
        <v>16</v>
      </c>
      <c r="D36" s="158">
        <v>1</v>
      </c>
      <c r="E36" s="158">
        <v>20</v>
      </c>
      <c r="F36" s="186">
        <f>C36*D36*E36</f>
        <v>320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320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0.35</v>
      </c>
      <c r="F42" s="167">
        <f>D42*E42</f>
        <v>13465.199999999999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13465.199999999999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25569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3914B-0F64-40C0-BF02-00663B83462C}">
  <sheetPr codeName="Hoja54">
    <tabColor rgb="FFFFFF00"/>
  </sheetPr>
  <dimension ref="A1:O53"/>
  <sheetViews>
    <sheetView view="pageBreakPreview" topLeftCell="A25" zoomScale="70" zoomScaleNormal="100" zoomScaleSheetLayoutView="70" workbookViewId="0">
      <selection activeCell="O28" sqref="O28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(Entidad)'!C74</f>
        <v>PINTURA GENERAL Y ACABADOS</v>
      </c>
      <c r="C9" s="885"/>
      <c r="D9" s="885"/>
      <c r="E9" s="851" t="s">
        <v>74</v>
      </c>
      <c r="F9" s="917" t="str">
        <f>'PRESUPUESTO OFICIAL (Entidad)'!D76</f>
        <v>M2</v>
      </c>
    </row>
    <row r="10" spans="1:6" ht="15.75" customHeight="1" x14ac:dyDescent="0.3">
      <c r="A10" s="915" t="s">
        <v>75</v>
      </c>
      <c r="B10" s="922" t="str">
        <f>'PRESUPUESTO OFICIAL (Entidad)'!C76</f>
        <v>Suministrar y aplicar Esgrafiado en Graniplast.</v>
      </c>
      <c r="C10" s="922"/>
      <c r="D10" s="922"/>
      <c r="E10" s="851"/>
      <c r="F10" s="917"/>
    </row>
    <row r="11" spans="1:6" x14ac:dyDescent="0.3">
      <c r="A11" s="915"/>
      <c r="B11" s="210" t="s">
        <v>264</v>
      </c>
      <c r="C11" s="210" t="s">
        <v>636</v>
      </c>
      <c r="D11" s="210" t="s">
        <v>1207</v>
      </c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16158.24</v>
      </c>
      <c r="F15" s="186">
        <f t="shared" ref="F15:F19" si="0">D15*E15</f>
        <v>807.91200000000003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807.91200000000003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460</v>
      </c>
      <c r="B24" s="904"/>
      <c r="C24" s="156" t="s">
        <v>769</v>
      </c>
      <c r="D24" s="156">
        <v>0.12</v>
      </c>
      <c r="E24" s="213">
        <f>MAT!E82</f>
        <v>129900</v>
      </c>
      <c r="F24" s="167">
        <f>D24*E24</f>
        <v>15588</v>
      </c>
    </row>
    <row r="25" spans="1:15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15588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86</v>
      </c>
      <c r="B36" s="111">
        <v>1</v>
      </c>
      <c r="C36" s="158">
        <v>16</v>
      </c>
      <c r="D36" s="158">
        <v>1</v>
      </c>
      <c r="E36" s="158">
        <v>20</v>
      </c>
      <c r="F36" s="186">
        <f>C36*D36*E36</f>
        <v>320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320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0.42</v>
      </c>
      <c r="F42" s="167">
        <f>D42*E42</f>
        <v>16158.24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16158.24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32874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58C3C-27EB-4CDE-87E5-5AB920B2850D}">
  <sheetPr codeName="Hoja55">
    <tabColor rgb="FFFFFF00"/>
  </sheetPr>
  <dimension ref="A1:O53"/>
  <sheetViews>
    <sheetView view="pageBreakPreview" topLeftCell="A37" zoomScale="70" zoomScaleNormal="100" zoomScaleSheetLayoutView="70" workbookViewId="0">
      <selection activeCell="E27" sqref="E27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(Entidad)'!C77</f>
        <v>EXTERIORES Y OBRAS COMPLEMENTARIAS</v>
      </c>
      <c r="C9" s="885"/>
      <c r="D9" s="885"/>
      <c r="E9" s="851" t="s">
        <v>74</v>
      </c>
      <c r="F9" s="917" t="e">
        <f>'PRESUPUESTO OFICIAL (Entidad)'!#REF!</f>
        <v>#REF!</v>
      </c>
    </row>
    <row r="10" spans="1:6" ht="15.75" customHeight="1" x14ac:dyDescent="0.3">
      <c r="A10" s="915" t="s">
        <v>75</v>
      </c>
      <c r="B10" s="922" t="str">
        <f>'PRESUPUESTO OFICIAL (Entidad)'!C78</f>
        <v>Sardinel en concreto  2500 psi.</v>
      </c>
      <c r="C10" s="922"/>
      <c r="D10" s="922"/>
      <c r="E10" s="851"/>
      <c r="F10" s="917"/>
    </row>
    <row r="11" spans="1:6" x14ac:dyDescent="0.3">
      <c r="A11" s="915"/>
      <c r="B11" s="210" t="s">
        <v>266</v>
      </c>
      <c r="C11" s="210" t="s">
        <v>938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961.80000000000007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611</v>
      </c>
      <c r="B24" s="904"/>
      <c r="C24" s="156" t="s">
        <v>9</v>
      </c>
      <c r="D24" s="156">
        <f>0.35*0.15</f>
        <v>5.2499999999999998E-2</v>
      </c>
      <c r="E24" s="211">
        <f>'C. 2500 PSI'!F45</f>
        <v>514121</v>
      </c>
      <c r="F24" s="167">
        <f>D24*E24</f>
        <v>26991.352499999997</v>
      </c>
      <c r="I24" s="1" t="s">
        <v>18</v>
      </c>
      <c r="J24" s="1" t="s">
        <v>12</v>
      </c>
      <c r="K24" s="1" t="s">
        <v>112</v>
      </c>
      <c r="L24" s="1" t="s">
        <v>111</v>
      </c>
      <c r="M24" s="1" t="s">
        <v>113</v>
      </c>
    </row>
    <row r="25" spans="1:15" x14ac:dyDescent="0.3">
      <c r="A25" s="903" t="s">
        <v>721</v>
      </c>
      <c r="B25" s="904"/>
      <c r="C25" s="156" t="s">
        <v>111</v>
      </c>
      <c r="D25" s="165">
        <f>M25</f>
        <v>2.0874000000000001</v>
      </c>
      <c r="E25" s="213">
        <f>MAT!E139</f>
        <v>4618.0555555555557</v>
      </c>
      <c r="F25" s="167">
        <f t="shared" ref="F25:F30" si="1">D25*E25</f>
        <v>9639.7291666666679</v>
      </c>
      <c r="H25" s="1" t="s">
        <v>518</v>
      </c>
      <c r="I25" s="214">
        <v>1</v>
      </c>
      <c r="J25" s="1">
        <v>2</v>
      </c>
      <c r="K25" s="1">
        <v>0.99399999999999999</v>
      </c>
      <c r="L25" s="1">
        <f>I25*J25*K25</f>
        <v>1.988</v>
      </c>
      <c r="M25" s="214">
        <f>(L25*0.05)+L25</f>
        <v>2.0874000000000001</v>
      </c>
      <c r="N25" s="214"/>
      <c r="O25" s="214"/>
    </row>
    <row r="26" spans="1:15" x14ac:dyDescent="0.3">
      <c r="A26" s="903" t="s">
        <v>696</v>
      </c>
      <c r="B26" s="904"/>
      <c r="C26" s="156" t="s">
        <v>111</v>
      </c>
      <c r="D26" s="165">
        <f>L26</f>
        <v>1.1648000000000001</v>
      </c>
      <c r="E26" s="213">
        <f>MAT!E141</f>
        <v>2685.7491666666665</v>
      </c>
      <c r="F26" s="167">
        <f t="shared" si="1"/>
        <v>3128.3606293333332</v>
      </c>
      <c r="H26" s="1" t="s">
        <v>109</v>
      </c>
      <c r="I26" s="1">
        <f>0.06+0.06+0.14+0.14+0.12</f>
        <v>0.52</v>
      </c>
      <c r="J26" s="1">
        <v>4</v>
      </c>
      <c r="K26" s="1">
        <v>0.56000000000000005</v>
      </c>
      <c r="L26" s="1">
        <f>I26*J26*K26</f>
        <v>1.1648000000000001</v>
      </c>
    </row>
    <row r="27" spans="1:15" x14ac:dyDescent="0.3">
      <c r="A27" s="903" t="s">
        <v>508</v>
      </c>
      <c r="B27" s="904"/>
      <c r="C27" s="156" t="s">
        <v>8</v>
      </c>
      <c r="D27" s="165">
        <v>0.08</v>
      </c>
      <c r="E27" s="213">
        <f>MAT!E81</f>
        <v>35900</v>
      </c>
      <c r="F27" s="167">
        <f t="shared" si="1"/>
        <v>2872</v>
      </c>
    </row>
    <row r="28" spans="1:15" ht="15" customHeight="1" x14ac:dyDescent="0.3">
      <c r="A28" s="911"/>
      <c r="B28" s="912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42631.442296000001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62829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0338B-D564-42DF-BEF6-1D1E59D42118}">
  <sheetPr codeName="Hoja95">
    <tabColor rgb="FFFFFF00"/>
  </sheetPr>
  <dimension ref="A1:I53"/>
  <sheetViews>
    <sheetView view="pageBreakPreview" topLeftCell="A40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(Entidad)'!C77</f>
        <v>EXTERIORES Y OBRAS COMPLEMENTARIAS</v>
      </c>
      <c r="C9" s="885"/>
      <c r="D9" s="885"/>
      <c r="E9" s="851" t="s">
        <v>74</v>
      </c>
      <c r="F9" s="917" t="str">
        <f>'PRESUPUESTO OFICIAL (Entidad)'!D79</f>
        <v>ML</v>
      </c>
    </row>
    <row r="10" spans="1:6" ht="15.75" customHeight="1" x14ac:dyDescent="0.3">
      <c r="A10" s="915" t="s">
        <v>75</v>
      </c>
      <c r="B10" s="922" t="str">
        <f>'PRESUPUESTO OFICIAL (Entidad)'!C79</f>
        <v>Cuneta A.LL. en concreto de 3.000 PSI Tipo U.</v>
      </c>
      <c r="C10" s="922"/>
      <c r="D10" s="922"/>
      <c r="E10" s="851"/>
      <c r="F10" s="917"/>
    </row>
    <row r="11" spans="1:6" x14ac:dyDescent="0.3">
      <c r="A11" s="915"/>
      <c r="B11" s="210" t="s">
        <v>267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9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9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9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9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2308.3200000000002</v>
      </c>
    </row>
    <row r="21" spans="1:9" ht="16.8" thickTop="1" thickBot="1" x14ac:dyDescent="0.35">
      <c r="A21" s="103"/>
      <c r="B21" s="103"/>
      <c r="C21" s="103"/>
      <c r="D21" s="103"/>
      <c r="E21" s="103"/>
      <c r="F21" s="153"/>
    </row>
    <row r="22" spans="1:9" x14ac:dyDescent="0.3">
      <c r="A22" s="895" t="s">
        <v>81</v>
      </c>
      <c r="B22" s="896"/>
      <c r="C22" s="896"/>
      <c r="D22" s="896"/>
      <c r="E22" s="896"/>
      <c r="F22" s="897"/>
    </row>
    <row r="23" spans="1:9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9" x14ac:dyDescent="0.3">
      <c r="A24" s="903" t="s">
        <v>608</v>
      </c>
      <c r="B24" s="904"/>
      <c r="C24" s="156" t="s">
        <v>9</v>
      </c>
      <c r="D24" s="156">
        <v>5.3999999999999999E-2</v>
      </c>
      <c r="E24" s="211">
        <f>'C. 3000 PSI'!F45</f>
        <v>607218</v>
      </c>
      <c r="F24" s="167">
        <f>D24*E24</f>
        <v>32789.771999999997</v>
      </c>
    </row>
    <row r="25" spans="1:9" ht="15.75" customHeight="1" x14ac:dyDescent="0.3">
      <c r="A25" s="903" t="s">
        <v>770</v>
      </c>
      <c r="B25" s="904"/>
      <c r="C25" s="156" t="s">
        <v>111</v>
      </c>
      <c r="D25" s="165">
        <v>1</v>
      </c>
      <c r="E25" s="213">
        <f>MAT!E16</f>
        <v>726.6658666666666</v>
      </c>
      <c r="F25" s="167">
        <f t="shared" ref="F25:F31" si="1">D25*E25</f>
        <v>726.6658666666666</v>
      </c>
      <c r="H25" s="214"/>
      <c r="I25" s="214"/>
    </row>
    <row r="26" spans="1:9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9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9" ht="15" customHeight="1" x14ac:dyDescent="0.3">
      <c r="A28" s="911"/>
      <c r="B28" s="912"/>
      <c r="C28" s="156"/>
      <c r="D28" s="165"/>
      <c r="E28" s="211"/>
      <c r="F28" s="167">
        <f t="shared" si="1"/>
        <v>0</v>
      </c>
    </row>
    <row r="29" spans="1:9" x14ac:dyDescent="0.3">
      <c r="A29" s="903"/>
      <c r="B29" s="904"/>
      <c r="C29" s="156"/>
      <c r="D29" s="165"/>
      <c r="E29" s="216"/>
      <c r="F29" s="167"/>
    </row>
    <row r="30" spans="1:9" x14ac:dyDescent="0.3">
      <c r="A30" s="903"/>
      <c r="B30" s="904"/>
      <c r="C30" s="156"/>
      <c r="D30" s="165"/>
      <c r="E30" s="216"/>
      <c r="F30" s="167"/>
    </row>
    <row r="31" spans="1:9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9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33516.437866666667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81991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3757-27C5-459D-9D6F-4A77EB2013AA}">
  <sheetPr codeName="Hoja56">
    <tabColor rgb="FFFFFF00"/>
  </sheetPr>
  <dimension ref="A1:I53"/>
  <sheetViews>
    <sheetView view="pageBreakPreview" topLeftCell="A28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(Entidad)'!C77</f>
        <v>EXTERIORES Y OBRAS COMPLEMENTARIAS</v>
      </c>
      <c r="C9" s="885"/>
      <c r="D9" s="885"/>
      <c r="E9" s="851" t="s">
        <v>74</v>
      </c>
      <c r="F9" s="917" t="str">
        <f>'PRESUPUESTO OFICIAL (Entidad)'!D80</f>
        <v>M2</v>
      </c>
    </row>
    <row r="10" spans="1:6" ht="15.75" customHeight="1" x14ac:dyDescent="0.3">
      <c r="A10" s="915" t="s">
        <v>75</v>
      </c>
      <c r="B10" s="922" t="str">
        <f>'PRESUPUESTO OFICIAL (Entidad)'!C80</f>
        <v>Placa de piso para exteriores en concreto 2500 P.S.I., barrido y dilatado e=0.10 m.</v>
      </c>
      <c r="C10" s="922"/>
      <c r="D10" s="922"/>
      <c r="E10" s="851"/>
      <c r="F10" s="917"/>
    </row>
    <row r="11" spans="1:6" x14ac:dyDescent="0.3">
      <c r="A11" s="915"/>
      <c r="B11" s="210" t="s">
        <v>268</v>
      </c>
      <c r="C11" s="210" t="s">
        <v>939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23083.200000000001</v>
      </c>
      <c r="F15" s="186">
        <f t="shared" ref="F15:F19" si="0">D15*E15</f>
        <v>1154.1600000000001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9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9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9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9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1154.1600000000001</v>
      </c>
    </row>
    <row r="21" spans="1:9" ht="16.8" thickTop="1" thickBot="1" x14ac:dyDescent="0.35">
      <c r="A21" s="103"/>
      <c r="B21" s="103"/>
      <c r="C21" s="103"/>
      <c r="D21" s="103"/>
      <c r="E21" s="103"/>
      <c r="F21" s="153"/>
    </row>
    <row r="22" spans="1:9" x14ac:dyDescent="0.3">
      <c r="A22" s="895" t="s">
        <v>81</v>
      </c>
      <c r="B22" s="896"/>
      <c r="C22" s="896"/>
      <c r="D22" s="896"/>
      <c r="E22" s="896"/>
      <c r="F22" s="897"/>
    </row>
    <row r="23" spans="1:9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9" x14ac:dyDescent="0.3">
      <c r="A24" s="903" t="s">
        <v>611</v>
      </c>
      <c r="B24" s="904"/>
      <c r="C24" s="156" t="s">
        <v>9</v>
      </c>
      <c r="D24" s="156">
        <v>0.1</v>
      </c>
      <c r="E24" s="211">
        <f>'C. 2500 PSI'!F45</f>
        <v>514121</v>
      </c>
      <c r="F24" s="167">
        <f>D24*E24</f>
        <v>51412.100000000006</v>
      </c>
    </row>
    <row r="25" spans="1:9" x14ac:dyDescent="0.3">
      <c r="A25" s="903" t="s">
        <v>508</v>
      </c>
      <c r="B25" s="904"/>
      <c r="C25" s="156" t="s">
        <v>8</v>
      </c>
      <c r="D25" s="165">
        <v>0.6</v>
      </c>
      <c r="E25" s="213">
        <f>MAT!E81</f>
        <v>35900</v>
      </c>
      <c r="F25" s="167">
        <f t="shared" ref="F25:F31" si="1">D25*E25</f>
        <v>21540</v>
      </c>
      <c r="I25" s="214"/>
    </row>
    <row r="26" spans="1:9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9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9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</row>
    <row r="29" spans="1:9" x14ac:dyDescent="0.3">
      <c r="A29" s="903"/>
      <c r="B29" s="904"/>
      <c r="C29" s="156"/>
      <c r="D29" s="165"/>
      <c r="E29" s="216"/>
      <c r="F29" s="167"/>
    </row>
    <row r="30" spans="1:9" x14ac:dyDescent="0.3">
      <c r="A30" s="903"/>
      <c r="B30" s="904"/>
      <c r="C30" s="156"/>
      <c r="D30" s="165"/>
      <c r="E30" s="216"/>
      <c r="F30" s="167"/>
    </row>
    <row r="31" spans="1:9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9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72952.100000000006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0.6</v>
      </c>
      <c r="F42" s="167">
        <f>D42*E42</f>
        <v>23083.200000000001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23083.200000000001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97189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7:B17"/>
    <mergeCell ref="A31:B31"/>
    <mergeCell ref="A6:F6"/>
    <mergeCell ref="A7:F7"/>
    <mergeCell ref="A19:B19"/>
    <mergeCell ref="B9:D9"/>
    <mergeCell ref="E9:E10"/>
    <mergeCell ref="F9:F10"/>
    <mergeCell ref="A10:A11"/>
    <mergeCell ref="B10:D10"/>
    <mergeCell ref="A13:F13"/>
    <mergeCell ref="A52:B52"/>
    <mergeCell ref="D52:F52"/>
    <mergeCell ref="A53:B53"/>
    <mergeCell ref="D53:F53"/>
    <mergeCell ref="A18:B18"/>
    <mergeCell ref="A32:E32"/>
    <mergeCell ref="A20:E20"/>
    <mergeCell ref="A22:F22"/>
    <mergeCell ref="A23:B23"/>
    <mergeCell ref="A24:B24"/>
    <mergeCell ref="A25:B25"/>
    <mergeCell ref="A26:B26"/>
    <mergeCell ref="A27:B27"/>
    <mergeCell ref="A28:B28"/>
    <mergeCell ref="A1:F5"/>
    <mergeCell ref="A46:E46"/>
    <mergeCell ref="A48:E48"/>
    <mergeCell ref="A45:B45"/>
    <mergeCell ref="A41:B41"/>
    <mergeCell ref="A42:B42"/>
    <mergeCell ref="A43:B43"/>
    <mergeCell ref="A44:B44"/>
    <mergeCell ref="A29:B29"/>
    <mergeCell ref="A30:B30"/>
    <mergeCell ref="A34:F34"/>
    <mergeCell ref="A38:E38"/>
    <mergeCell ref="A40:F40"/>
    <mergeCell ref="A14:B14"/>
    <mergeCell ref="A15:B15"/>
    <mergeCell ref="A16:B16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AEBE1-FBB9-4E6D-9867-A40603118B31}">
  <sheetPr>
    <tabColor rgb="FFFFFF00"/>
  </sheetPr>
  <dimension ref="A1:I53"/>
  <sheetViews>
    <sheetView view="pageBreakPreview" topLeftCell="A28" zoomScale="70" zoomScaleNormal="100" zoomScaleSheetLayoutView="70" workbookViewId="0">
      <selection activeCell="I17" sqref="I17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(Entidad)'!C81</f>
        <v>LIMPIEZA GENERAL</v>
      </c>
      <c r="C9" s="885"/>
      <c r="D9" s="885"/>
      <c r="E9" s="851" t="s">
        <v>74</v>
      </c>
      <c r="F9" s="917" t="str">
        <f>'PRESUPUESTO OFICIAL (Entidad)'!D82</f>
        <v>M2</v>
      </c>
    </row>
    <row r="10" spans="1:6" ht="15.75" customHeight="1" x14ac:dyDescent="0.3">
      <c r="A10" s="915" t="s">
        <v>75</v>
      </c>
      <c r="B10" s="922" t="str">
        <f>'PRESUPUESTO OFICIAL (Entidad)'!C82</f>
        <v>Aseo final de obra.</v>
      </c>
      <c r="C10" s="922"/>
      <c r="D10" s="922"/>
      <c r="E10" s="851"/>
      <c r="F10" s="917"/>
    </row>
    <row r="11" spans="1:6" x14ac:dyDescent="0.3">
      <c r="A11" s="915"/>
      <c r="B11" s="210" t="s">
        <v>632</v>
      </c>
      <c r="C11" s="210" t="s">
        <v>681</v>
      </c>
      <c r="D11" s="210" t="s">
        <v>942</v>
      </c>
      <c r="E11" s="210" t="s">
        <v>1157</v>
      </c>
      <c r="F11" s="210" t="s">
        <v>1211</v>
      </c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1269.576</v>
      </c>
      <c r="F15" s="186">
        <f t="shared" ref="F15:F19" si="0">D15*E15</f>
        <v>63.478800000000007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9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9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9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9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63.478800000000007</v>
      </c>
    </row>
    <row r="21" spans="1:9" ht="16.8" thickTop="1" thickBot="1" x14ac:dyDescent="0.35">
      <c r="A21" s="103"/>
      <c r="B21" s="103"/>
      <c r="C21" s="103"/>
      <c r="D21" s="103"/>
      <c r="E21" s="103"/>
      <c r="F21" s="153"/>
    </row>
    <row r="22" spans="1:9" x14ac:dyDescent="0.3">
      <c r="A22" s="895" t="s">
        <v>81</v>
      </c>
      <c r="B22" s="896"/>
      <c r="C22" s="896"/>
      <c r="D22" s="896"/>
      <c r="E22" s="896"/>
      <c r="F22" s="897"/>
    </row>
    <row r="23" spans="1:9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9" x14ac:dyDescent="0.3">
      <c r="A24" s="903" t="s">
        <v>634</v>
      </c>
      <c r="B24" s="904"/>
      <c r="C24" s="156" t="s">
        <v>111</v>
      </c>
      <c r="D24" s="156">
        <v>0.02</v>
      </c>
      <c r="E24" s="211">
        <f>MAT!E75</f>
        <v>49900</v>
      </c>
      <c r="F24" s="167">
        <f>D24*E24</f>
        <v>998</v>
      </c>
    </row>
    <row r="25" spans="1:9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14"/>
    </row>
    <row r="26" spans="1:9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9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9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</row>
    <row r="29" spans="1:9" x14ac:dyDescent="0.3">
      <c r="A29" s="903"/>
      <c r="B29" s="904"/>
      <c r="C29" s="156"/>
      <c r="D29" s="165"/>
      <c r="E29" s="216"/>
      <c r="F29" s="167"/>
    </row>
    <row r="30" spans="1:9" x14ac:dyDescent="0.3">
      <c r="A30" s="903"/>
      <c r="B30" s="904"/>
      <c r="C30" s="156"/>
      <c r="D30" s="165"/>
      <c r="E30" s="216"/>
      <c r="F30" s="167"/>
    </row>
    <row r="31" spans="1:9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9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998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3.3000000000000002E-2</v>
      </c>
      <c r="F42" s="167">
        <f>D42*E42</f>
        <v>1269.576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1269.576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2331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1:F5"/>
    <mergeCell ref="A13:F13"/>
    <mergeCell ref="A6:F6"/>
    <mergeCell ref="A7:F7"/>
    <mergeCell ref="B9:D9"/>
    <mergeCell ref="E9:E10"/>
    <mergeCell ref="F9:F10"/>
    <mergeCell ref="A10:A11"/>
    <mergeCell ref="B10:D10"/>
    <mergeCell ref="A26:B26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25:B25"/>
    <mergeCell ref="A43:B43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42:B42"/>
    <mergeCell ref="A53:B53"/>
    <mergeCell ref="D53:F53"/>
    <mergeCell ref="A44:B44"/>
    <mergeCell ref="A45:B45"/>
    <mergeCell ref="A46:E46"/>
    <mergeCell ref="A48:E48"/>
    <mergeCell ref="A52:B52"/>
    <mergeCell ref="D52:F52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>
    <tabColor rgb="FFFFFF00"/>
  </sheetPr>
  <dimension ref="A1:M52"/>
  <sheetViews>
    <sheetView view="pageBreakPreview" topLeftCell="A19" zoomScale="70" zoomScaleNormal="100" zoomScaleSheetLayoutView="70" workbookViewId="0">
      <selection activeCell="D11" sqref="D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(Entidad)'!C13</f>
        <v>PRELIMINARES Y DEMOLICIONES - DESMONTE DE ELEMENTOS</v>
      </c>
      <c r="C9" s="885"/>
      <c r="D9" s="885"/>
      <c r="E9" s="851" t="s">
        <v>74</v>
      </c>
      <c r="F9" s="917" t="str">
        <f>'PRESUPUESTO OFICIAL (Entidad)'!D87</f>
        <v>M2</v>
      </c>
    </row>
    <row r="10" spans="1:6" x14ac:dyDescent="0.3">
      <c r="A10" s="915" t="s">
        <v>75</v>
      </c>
      <c r="B10" s="887" t="str">
        <f>'PRESUPUESTO OFICIAL (Entidad)'!C87</f>
        <v>Descapote manual  e=20cm incluye retiro.</v>
      </c>
      <c r="C10" s="887"/>
      <c r="D10" s="887"/>
      <c r="E10" s="851"/>
      <c r="F10" s="917"/>
    </row>
    <row r="11" spans="1:6" x14ac:dyDescent="0.3">
      <c r="A11" s="915"/>
      <c r="B11" s="56" t="s">
        <v>208</v>
      </c>
      <c r="C11" s="56" t="s">
        <v>615</v>
      </c>
      <c r="D11" s="56"/>
      <c r="E11" s="29"/>
      <c r="F11" s="155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s="34" customFormat="1" x14ac:dyDescent="0.3">
      <c r="A13" s="888" t="s">
        <v>76</v>
      </c>
      <c r="B13" s="889"/>
      <c r="C13" s="889"/>
      <c r="D13" s="889"/>
      <c r="E13" s="889"/>
      <c r="F13" s="890"/>
    </row>
    <row r="14" spans="1:6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3847.2000000000003</v>
      </c>
      <c r="F15" s="192">
        <f t="shared" ref="F15:F19" si="0">D15*E15</f>
        <v>192.36</v>
      </c>
    </row>
    <row r="16" spans="1:6" x14ac:dyDescent="0.3">
      <c r="A16" s="883"/>
      <c r="B16" s="884"/>
      <c r="C16" s="158"/>
      <c r="D16" s="158"/>
      <c r="E16" s="193"/>
      <c r="F16" s="192">
        <f t="shared" si="0"/>
        <v>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192.36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13" ht="16.8" thickTop="1" thickBot="1" x14ac:dyDescent="0.35">
      <c r="A33" s="103"/>
      <c r="B33" s="103"/>
      <c r="C33" s="103"/>
      <c r="D33" s="103"/>
      <c r="E33" s="103"/>
      <c r="F33" s="153"/>
    </row>
    <row r="34" spans="1:13" x14ac:dyDescent="0.3">
      <c r="A34" s="895" t="s">
        <v>85</v>
      </c>
      <c r="B34" s="896"/>
      <c r="C34" s="896"/>
      <c r="D34" s="896"/>
      <c r="E34" s="896"/>
      <c r="F34" s="897"/>
    </row>
    <row r="35" spans="1:13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13" x14ac:dyDescent="0.3">
      <c r="A36" s="169" t="s">
        <v>85</v>
      </c>
      <c r="B36" s="161">
        <v>0.04</v>
      </c>
      <c r="C36" s="158">
        <v>8</v>
      </c>
      <c r="D36" s="158">
        <f>B36*C36</f>
        <v>0.32</v>
      </c>
      <c r="E36" s="196">
        <f>+H36</f>
        <v>7291.666666666667</v>
      </c>
      <c r="F36" s="160">
        <f>D36*E36</f>
        <v>2333.3333333333335</v>
      </c>
      <c r="H36" s="1">
        <f>350000/C36/6</f>
        <v>7291.666666666667</v>
      </c>
      <c r="M36" s="1">
        <f>(2+12+10)/3</f>
        <v>8</v>
      </c>
    </row>
    <row r="37" spans="1:13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13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2333.3333333333335</v>
      </c>
    </row>
    <row r="39" spans="1:13" ht="16.8" thickTop="1" thickBot="1" x14ac:dyDescent="0.35">
      <c r="A39" s="103"/>
      <c r="B39" s="103"/>
      <c r="C39" s="103"/>
      <c r="D39" s="103"/>
      <c r="E39" s="103"/>
      <c r="F39" s="153"/>
    </row>
    <row r="40" spans="1:13" x14ac:dyDescent="0.3">
      <c r="A40" s="895" t="s">
        <v>91</v>
      </c>
      <c r="B40" s="896"/>
      <c r="C40" s="896"/>
      <c r="D40" s="896"/>
      <c r="E40" s="896"/>
      <c r="F40" s="897"/>
    </row>
    <row r="41" spans="1:13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13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0.1</v>
      </c>
      <c r="F42" s="167">
        <f>D42*E42</f>
        <v>3847.2000000000003</v>
      </c>
    </row>
    <row r="43" spans="1:13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13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13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13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3847.2000000000003</v>
      </c>
    </row>
    <row r="47" spans="1:13" ht="15.75" customHeight="1" thickTop="1" x14ac:dyDescent="0.3">
      <c r="A47" s="103"/>
      <c r="B47" s="103"/>
      <c r="C47" s="103"/>
      <c r="D47" s="103"/>
      <c r="E47" s="103"/>
      <c r="F47" s="153"/>
    </row>
    <row r="48" spans="1:13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6373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6:F6"/>
    <mergeCell ref="A1:F5"/>
    <mergeCell ref="A51:B51"/>
    <mergeCell ref="D51:F51"/>
    <mergeCell ref="A52:B52"/>
    <mergeCell ref="D52:F52"/>
    <mergeCell ref="A7:F7"/>
    <mergeCell ref="B9:D9"/>
    <mergeCell ref="E9:E10"/>
    <mergeCell ref="F9:F10"/>
    <mergeCell ref="B10:D10"/>
    <mergeCell ref="A18:B18"/>
    <mergeCell ref="A19:B19"/>
    <mergeCell ref="A20:E20"/>
    <mergeCell ref="A10:A11"/>
    <mergeCell ref="A38:E38"/>
    <mergeCell ref="A14:B14"/>
    <mergeCell ref="A13:F13"/>
    <mergeCell ref="A16:B16"/>
    <mergeCell ref="A17:B17"/>
    <mergeCell ref="A40:F40"/>
    <mergeCell ref="A24:B24"/>
    <mergeCell ref="A25:B25"/>
    <mergeCell ref="A26:B26"/>
    <mergeCell ref="A27:B27"/>
    <mergeCell ref="A15:B15"/>
    <mergeCell ref="A22:F22"/>
    <mergeCell ref="A23:B23"/>
    <mergeCell ref="A46:E46"/>
    <mergeCell ref="A48:E48"/>
    <mergeCell ref="A28:B28"/>
    <mergeCell ref="A29:B29"/>
    <mergeCell ref="A30:B30"/>
    <mergeCell ref="A31:B31"/>
    <mergeCell ref="A32:E32"/>
    <mergeCell ref="A34:F34"/>
    <mergeCell ref="A41:B41"/>
    <mergeCell ref="A42:B42"/>
    <mergeCell ref="A43:B43"/>
    <mergeCell ref="A44:B44"/>
    <mergeCell ref="A45:B45"/>
  </mergeCells>
  <pageMargins left="0.7" right="0.7" top="0.75" bottom="0.75" header="0.3" footer="0.3"/>
  <pageSetup paperSize="9" scale="87" orientation="portrait" r:id="rId1"/>
  <ignoredErrors>
    <ignoredError sqref="E36" formula="1"/>
  </ignoredErrors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57">
    <tabColor rgb="FFFFFF00"/>
  </sheetPr>
  <dimension ref="A1:O53"/>
  <sheetViews>
    <sheetView view="pageBreakPreview" topLeftCell="A22" zoomScale="70" zoomScaleNormal="100" zoomScaleSheetLayoutView="70" workbookViewId="0">
      <selection activeCell="C11" sqref="C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(Entidad)'!C88</f>
        <v>MOVIMIENTO DE TIERRA</v>
      </c>
      <c r="C9" s="885"/>
      <c r="D9" s="885"/>
      <c r="E9" s="851" t="s">
        <v>74</v>
      </c>
      <c r="F9" s="917" t="str">
        <f>'PRESUPUESTO OFICIAL (Entidad)'!D91</f>
        <v>ML</v>
      </c>
    </row>
    <row r="10" spans="1:6" ht="46.5" customHeight="1" x14ac:dyDescent="0.3">
      <c r="A10" s="915" t="s">
        <v>75</v>
      </c>
      <c r="B10" s="922" t="str">
        <f>'PRESUPUESTO OFICIAL (Entidad)'!C91</f>
        <v>Viga de cimentacion en concreto de 3000 PSI (0,12 x 0,20 mts).Incluye acero de refuerzo de 60000 PSI. (4Ø3/8" refuerzo y E=Ø1/4" c/d. 0,10 m).</v>
      </c>
      <c r="C10" s="922"/>
      <c r="D10" s="922"/>
      <c r="E10" s="851"/>
      <c r="F10" s="917"/>
    </row>
    <row r="11" spans="1:6" x14ac:dyDescent="0.3">
      <c r="A11" s="915"/>
      <c r="B11" s="210" t="s">
        <v>212</v>
      </c>
      <c r="C11" s="210" t="s">
        <v>1178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1923.6000000000001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416</v>
      </c>
      <c r="B24" s="904"/>
      <c r="C24" s="156" t="s">
        <v>9</v>
      </c>
      <c r="D24" s="156">
        <f>0.12*0.2</f>
        <v>2.4E-2</v>
      </c>
      <c r="E24" s="211">
        <f>'C. 3000 PSI'!F45</f>
        <v>607218</v>
      </c>
      <c r="F24" s="167">
        <f>D24*E24</f>
        <v>14573.232</v>
      </c>
      <c r="I24" s="1" t="s">
        <v>18</v>
      </c>
      <c r="J24" s="1" t="s">
        <v>12</v>
      </c>
      <c r="K24" s="1" t="s">
        <v>112</v>
      </c>
      <c r="L24" s="1" t="s">
        <v>111</v>
      </c>
      <c r="M24" s="1" t="s">
        <v>113</v>
      </c>
    </row>
    <row r="25" spans="1:15" x14ac:dyDescent="0.3">
      <c r="A25" s="903" t="s">
        <v>696</v>
      </c>
      <c r="B25" s="904"/>
      <c r="C25" s="156" t="s">
        <v>111</v>
      </c>
      <c r="D25" s="165">
        <f>M25</f>
        <v>2.3296000000000001</v>
      </c>
      <c r="E25" s="213">
        <f>MAT!E141</f>
        <v>2685.7491666666665</v>
      </c>
      <c r="F25" s="167">
        <f t="shared" ref="F25:F31" si="1">D25*E25</f>
        <v>6256.7212586666665</v>
      </c>
      <c r="H25" s="1" t="s">
        <v>109</v>
      </c>
      <c r="I25" s="214">
        <v>1</v>
      </c>
      <c r="J25" s="1">
        <f>1*4</f>
        <v>4</v>
      </c>
      <c r="K25" s="1">
        <v>0.56000000000000005</v>
      </c>
      <c r="L25" s="1">
        <f>I25*J25*K25</f>
        <v>2.2400000000000002</v>
      </c>
      <c r="M25" s="214">
        <f>(L25*0.04)+L25</f>
        <v>2.3296000000000001</v>
      </c>
      <c r="N25" s="214"/>
      <c r="O25" s="214"/>
    </row>
    <row r="26" spans="1:15" x14ac:dyDescent="0.3">
      <c r="A26" s="903" t="s">
        <v>719</v>
      </c>
      <c r="B26" s="904"/>
      <c r="C26" s="156" t="s">
        <v>111</v>
      </c>
      <c r="D26" s="165">
        <f>L26</f>
        <v>1.5000000000000002</v>
      </c>
      <c r="E26" s="213">
        <f>MAT!E140</f>
        <v>1458.3333333333335</v>
      </c>
      <c r="F26" s="167">
        <f t="shared" si="1"/>
        <v>2187.5000000000005</v>
      </c>
      <c r="H26" s="1" t="s">
        <v>110</v>
      </c>
      <c r="I26" s="1">
        <f>0.08+0.08+0.16+0.16+0.06+0.06</f>
        <v>0.60000000000000009</v>
      </c>
      <c r="J26" s="1">
        <f>1/0.1</f>
        <v>10</v>
      </c>
      <c r="K26" s="1">
        <v>0.25</v>
      </c>
      <c r="L26" s="1">
        <f>I26*J26*K26</f>
        <v>1.5000000000000002</v>
      </c>
    </row>
    <row r="27" spans="1:15" x14ac:dyDescent="0.3">
      <c r="A27" s="911" t="s">
        <v>508</v>
      </c>
      <c r="B27" s="912"/>
      <c r="C27" s="156" t="s">
        <v>8</v>
      </c>
      <c r="D27" s="165">
        <v>0.11</v>
      </c>
      <c r="E27" s="213">
        <f>MAT!E81</f>
        <v>35900</v>
      </c>
      <c r="F27" s="167">
        <f t="shared" si="1"/>
        <v>3949</v>
      </c>
    </row>
    <row r="28" spans="1:15" ht="15" customHeight="1" x14ac:dyDescent="0.3">
      <c r="A28" s="911"/>
      <c r="B28" s="912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3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26966.453258666668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67362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27:B27"/>
    <mergeCell ref="A31:B31"/>
    <mergeCell ref="A32:E32"/>
    <mergeCell ref="A34:F34"/>
    <mergeCell ref="A6:F6"/>
    <mergeCell ref="A7:F7"/>
    <mergeCell ref="B9:D9"/>
    <mergeCell ref="E9:E10"/>
    <mergeCell ref="F9:F10"/>
    <mergeCell ref="B10:D10"/>
    <mergeCell ref="A10:A11"/>
    <mergeCell ref="A22:F22"/>
    <mergeCell ref="A23:B23"/>
    <mergeCell ref="A24:B24"/>
    <mergeCell ref="A25:B25"/>
    <mergeCell ref="A26:B26"/>
    <mergeCell ref="A18:B18"/>
    <mergeCell ref="A19:B19"/>
    <mergeCell ref="A20:E20"/>
    <mergeCell ref="A1:F5"/>
    <mergeCell ref="A52:B52"/>
    <mergeCell ref="D52:F52"/>
    <mergeCell ref="A40:F40"/>
    <mergeCell ref="A28:B28"/>
    <mergeCell ref="A29:B29"/>
    <mergeCell ref="A30:B30"/>
    <mergeCell ref="A15:B15"/>
    <mergeCell ref="A14:B14"/>
    <mergeCell ref="A13:F13"/>
    <mergeCell ref="A16:B16"/>
    <mergeCell ref="A17:B17"/>
    <mergeCell ref="A38:E38"/>
    <mergeCell ref="A53:B53"/>
    <mergeCell ref="D53:F53"/>
    <mergeCell ref="A41:B41"/>
    <mergeCell ref="A42:B42"/>
    <mergeCell ref="A43:B43"/>
    <mergeCell ref="A44:B44"/>
    <mergeCell ref="A45:B45"/>
    <mergeCell ref="A46:E46"/>
    <mergeCell ref="A48:E48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60">
    <tabColor rgb="FFFFFF00"/>
  </sheetPr>
  <dimension ref="A1:O53"/>
  <sheetViews>
    <sheetView view="pageBreakPreview" topLeftCell="A14" zoomScale="60" zoomScaleNormal="11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(Entidad)'!C94</f>
        <v>ESTRUCTURA</v>
      </c>
      <c r="C9" s="885"/>
      <c r="D9" s="885"/>
      <c r="E9" s="851" t="s">
        <v>74</v>
      </c>
      <c r="F9" s="917" t="str">
        <f>'PRESUPUESTO OFICIAL (Entidad)'!D95</f>
        <v>ML</v>
      </c>
    </row>
    <row r="10" spans="1:6" ht="29.25" customHeight="1" x14ac:dyDescent="0.3">
      <c r="A10" s="915" t="s">
        <v>75</v>
      </c>
      <c r="B10" s="922" t="str">
        <f>'PRESUPUESTO OFICIAL (Entidad)'!C95</f>
        <v>Viga aerea en concreto de 3000 PSI (0,12 x 0,20 mts).Incluye acero de refuerzo de 60000 PSI. (4Ø3/8" refuerzo y E=Ø1/4" c/d. 0,10 m).</v>
      </c>
      <c r="C10" s="922"/>
      <c r="D10" s="922"/>
      <c r="E10" s="851"/>
      <c r="F10" s="917"/>
    </row>
    <row r="11" spans="1:6" x14ac:dyDescent="0.3">
      <c r="A11" s="915"/>
      <c r="B11" s="210" t="s">
        <v>216</v>
      </c>
      <c r="C11" s="210" t="s">
        <v>1180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53860.799999999996</v>
      </c>
      <c r="F15" s="186">
        <f t="shared" ref="F15:F19" si="0">D15*E15</f>
        <v>2693.04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2693.04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3">
      <c r="A24" s="903" t="s">
        <v>416</v>
      </c>
      <c r="B24" s="904"/>
      <c r="C24" s="156" t="s">
        <v>9</v>
      </c>
      <c r="D24" s="156">
        <f>0.12*0.2</f>
        <v>2.4E-2</v>
      </c>
      <c r="E24" s="211">
        <f>'C. 3000 PSI'!F45</f>
        <v>607218</v>
      </c>
      <c r="F24" s="167">
        <f>D24*E24</f>
        <v>14573.232</v>
      </c>
      <c r="H24" s="34"/>
      <c r="J24" s="1" t="s">
        <v>18</v>
      </c>
      <c r="K24" s="1" t="s">
        <v>12</v>
      </c>
      <c r="L24" s="1" t="s">
        <v>112</v>
      </c>
      <c r="M24" s="1" t="s">
        <v>111</v>
      </c>
      <c r="N24" s="1" t="s">
        <v>113</v>
      </c>
    </row>
    <row r="25" spans="1:15" x14ac:dyDescent="0.3">
      <c r="A25" s="903" t="s">
        <v>696</v>
      </c>
      <c r="B25" s="904"/>
      <c r="C25" s="156" t="s">
        <v>111</v>
      </c>
      <c r="D25" s="165">
        <f>N25</f>
        <v>2.3296000000000001</v>
      </c>
      <c r="E25" s="213">
        <f>MAT!E141</f>
        <v>2685.7491666666665</v>
      </c>
      <c r="F25" s="167">
        <f t="shared" ref="F25:F28" si="1">D25*E25</f>
        <v>6256.7212586666665</v>
      </c>
      <c r="I25" s="1" t="s">
        <v>109</v>
      </c>
      <c r="J25" s="214">
        <v>1</v>
      </c>
      <c r="K25" s="1">
        <f>1*4</f>
        <v>4</v>
      </c>
      <c r="L25" s="1">
        <v>0.56000000000000005</v>
      </c>
      <c r="M25" s="1">
        <f>J25*K25*L25</f>
        <v>2.2400000000000002</v>
      </c>
      <c r="N25" s="214">
        <f>(M25*0.04)+M25</f>
        <v>2.3296000000000001</v>
      </c>
      <c r="O25" s="214"/>
    </row>
    <row r="26" spans="1:15" ht="15.75" customHeight="1" x14ac:dyDescent="0.3">
      <c r="A26" s="903" t="s">
        <v>719</v>
      </c>
      <c r="B26" s="904"/>
      <c r="C26" s="156" t="s">
        <v>111</v>
      </c>
      <c r="D26" s="165">
        <f>M26</f>
        <v>1.5000000000000002</v>
      </c>
      <c r="E26" s="213">
        <f>MAT!E140</f>
        <v>1458.3333333333335</v>
      </c>
      <c r="F26" s="167">
        <f t="shared" si="1"/>
        <v>2187.5000000000005</v>
      </c>
      <c r="I26" s="1" t="s">
        <v>110</v>
      </c>
      <c r="J26" s="1">
        <f>0.08+0.08+0.16+0.16+0.06+0.06</f>
        <v>0.60000000000000009</v>
      </c>
      <c r="K26" s="261">
        <f>1/0.1</f>
        <v>10</v>
      </c>
      <c r="L26" s="1">
        <v>0.25</v>
      </c>
      <c r="M26" s="214">
        <f>J26*K26*L26</f>
        <v>1.5000000000000002</v>
      </c>
    </row>
    <row r="27" spans="1:15" ht="15.75" customHeight="1" x14ac:dyDescent="0.3">
      <c r="A27" s="911" t="s">
        <v>508</v>
      </c>
      <c r="B27" s="912"/>
      <c r="C27" s="156" t="s">
        <v>8</v>
      </c>
      <c r="D27" s="165">
        <v>0.11</v>
      </c>
      <c r="E27" s="213">
        <f>MAT!E81</f>
        <v>35900</v>
      </c>
      <c r="F27" s="167">
        <f t="shared" si="1"/>
        <v>3949</v>
      </c>
    </row>
    <row r="28" spans="1:15" ht="15.75" customHeight="1" x14ac:dyDescent="0.3">
      <c r="A28" s="911"/>
      <c r="B28" s="912"/>
      <c r="C28" s="156"/>
      <c r="D28" s="165"/>
      <c r="E28" s="211"/>
      <c r="F28" s="167">
        <f t="shared" si="1"/>
        <v>0</v>
      </c>
      <c r="J28" s="214"/>
      <c r="L28" s="103"/>
    </row>
    <row r="29" spans="1:15" x14ac:dyDescent="0.3">
      <c r="A29" s="903"/>
      <c r="B29" s="904"/>
      <c r="C29" s="156"/>
      <c r="D29" s="165"/>
      <c r="E29" s="262"/>
      <c r="F29" s="167"/>
      <c r="L29" s="10"/>
    </row>
    <row r="30" spans="1:15" x14ac:dyDescent="0.3">
      <c r="A30" s="903"/>
      <c r="B30" s="904"/>
      <c r="C30" s="156"/>
      <c r="D30" s="165"/>
      <c r="E30" s="262"/>
      <c r="F30" s="167"/>
      <c r="L30" s="217"/>
    </row>
    <row r="31" spans="1:15" ht="16.2" thickBot="1" x14ac:dyDescent="0.35">
      <c r="A31" s="905"/>
      <c r="B31" s="906"/>
      <c r="C31" s="178"/>
      <c r="D31" s="178"/>
      <c r="E31" s="251"/>
      <c r="F31" s="179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26966.453258666668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1.4</v>
      </c>
      <c r="F42" s="167">
        <f>D42*E42</f>
        <v>53860.799999999996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53860.799999999996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83520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25:B25"/>
    <mergeCell ref="A41:B41"/>
    <mergeCell ref="A42:B42"/>
    <mergeCell ref="A26:B26"/>
    <mergeCell ref="A31:B31"/>
    <mergeCell ref="A32:E32"/>
    <mergeCell ref="A38:E38"/>
    <mergeCell ref="A40:F40"/>
    <mergeCell ref="A34:F34"/>
    <mergeCell ref="A28:B28"/>
    <mergeCell ref="A29:B29"/>
    <mergeCell ref="A30:B30"/>
    <mergeCell ref="A27:B27"/>
    <mergeCell ref="A19:B19"/>
    <mergeCell ref="A20:E20"/>
    <mergeCell ref="A22:F22"/>
    <mergeCell ref="A23:B23"/>
    <mergeCell ref="A24:B24"/>
    <mergeCell ref="A1:F5"/>
    <mergeCell ref="A15:B15"/>
    <mergeCell ref="A16:B16"/>
    <mergeCell ref="A17:B17"/>
    <mergeCell ref="A18:B18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53:B53"/>
    <mergeCell ref="D53:F53"/>
    <mergeCell ref="A43:B43"/>
    <mergeCell ref="A44:B44"/>
    <mergeCell ref="A45:B45"/>
    <mergeCell ref="A52:B52"/>
    <mergeCell ref="D52:F52"/>
    <mergeCell ref="A46:E46"/>
    <mergeCell ref="A48:E48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59">
    <tabColor rgb="FFFFFF00"/>
  </sheetPr>
  <dimension ref="A1:N53"/>
  <sheetViews>
    <sheetView view="pageBreakPreview" topLeftCell="A19" zoomScale="60" zoomScaleNormal="11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(Entidad)'!C94</f>
        <v>ESTRUCTURA</v>
      </c>
      <c r="C9" s="885"/>
      <c r="D9" s="885"/>
      <c r="E9" s="851" t="s">
        <v>74</v>
      </c>
      <c r="F9" s="917" t="str">
        <f>'PRESUPUESTO OFICIAL (Entidad)'!D96</f>
        <v>ML</v>
      </c>
    </row>
    <row r="10" spans="1:6" ht="33" customHeight="1" x14ac:dyDescent="0.3">
      <c r="A10" s="915" t="s">
        <v>75</v>
      </c>
      <c r="B10" s="922" t="str">
        <f>'PRESUPUESTO OFICIAL (Entidad)'!C96</f>
        <v>Columnas concreto de 3000 PSI (0,12 x 0,20 mts).Incluye acero de refuerzo de 60000 PSI. (4Ø3/8" refuerzo y E=Ø1/4" c/d. 0,10 m).</v>
      </c>
      <c r="C10" s="922"/>
      <c r="D10" s="922"/>
      <c r="E10" s="851"/>
      <c r="F10" s="917"/>
    </row>
    <row r="11" spans="1:6" x14ac:dyDescent="0.3">
      <c r="A11" s="915"/>
      <c r="B11" s="210" t="s">
        <v>217</v>
      </c>
      <c r="C11" s="210" t="s">
        <v>1181</v>
      </c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+F46</f>
        <v>46166.400000000001</v>
      </c>
      <c r="F15" s="186">
        <f t="shared" ref="F15:F19" si="0">D15*E15</f>
        <v>2308.3200000000002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4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4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4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4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2308.3200000000002</v>
      </c>
    </row>
    <row r="21" spans="1:14" ht="16.8" thickTop="1" thickBot="1" x14ac:dyDescent="0.35">
      <c r="A21" s="103"/>
      <c r="B21" s="103"/>
      <c r="C21" s="103"/>
      <c r="D21" s="103"/>
      <c r="E21" s="103"/>
      <c r="F21" s="153"/>
    </row>
    <row r="22" spans="1:14" x14ac:dyDescent="0.3">
      <c r="A22" s="895" t="s">
        <v>81</v>
      </c>
      <c r="B22" s="896"/>
      <c r="C22" s="896"/>
      <c r="D22" s="896"/>
      <c r="E22" s="896"/>
      <c r="F22" s="897"/>
    </row>
    <row r="23" spans="1:14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1"/>
      <c r="I23" s="1"/>
      <c r="J23" s="1"/>
      <c r="K23" s="1"/>
      <c r="L23" s="1"/>
      <c r="M23" s="1"/>
      <c r="N23" s="1"/>
    </row>
    <row r="24" spans="1:14" ht="15" customHeight="1" x14ac:dyDescent="0.3">
      <c r="A24" s="903" t="s">
        <v>416</v>
      </c>
      <c r="B24" s="904"/>
      <c r="C24" s="156" t="s">
        <v>9</v>
      </c>
      <c r="D24" s="156">
        <f>0.12*0.2</f>
        <v>2.4E-2</v>
      </c>
      <c r="E24" s="211">
        <f>'C. 3000 PSI'!F45</f>
        <v>607218</v>
      </c>
      <c r="F24" s="167">
        <f>D24*E24</f>
        <v>14573.232</v>
      </c>
      <c r="I24" s="1" t="s">
        <v>18</v>
      </c>
      <c r="J24" s="1" t="s">
        <v>12</v>
      </c>
      <c r="K24" s="1" t="s">
        <v>112</v>
      </c>
      <c r="L24" s="1" t="s">
        <v>111</v>
      </c>
      <c r="M24" s="1" t="s">
        <v>113</v>
      </c>
    </row>
    <row r="25" spans="1:14" ht="15" customHeight="1" x14ac:dyDescent="0.3">
      <c r="A25" s="903" t="s">
        <v>696</v>
      </c>
      <c r="B25" s="904"/>
      <c r="C25" s="156" t="s">
        <v>111</v>
      </c>
      <c r="D25" s="165">
        <f>M25</f>
        <v>2.3296000000000001</v>
      </c>
      <c r="E25" s="213">
        <f>MAT!E141</f>
        <v>2685.7491666666665</v>
      </c>
      <c r="F25" s="167">
        <f t="shared" ref="F25:F28" si="1">D25*E25</f>
        <v>6256.7212586666665</v>
      </c>
      <c r="H25" s="1" t="s">
        <v>109</v>
      </c>
      <c r="I25" s="214">
        <v>1</v>
      </c>
      <c r="J25" s="1">
        <f>1*4</f>
        <v>4</v>
      </c>
      <c r="K25" s="1">
        <v>0.56000000000000005</v>
      </c>
      <c r="L25" s="1">
        <f>I25*J25*K25</f>
        <v>2.2400000000000002</v>
      </c>
      <c r="M25" s="214">
        <f>(L25*0.04)+L25</f>
        <v>2.3296000000000001</v>
      </c>
      <c r="N25" s="214"/>
    </row>
    <row r="26" spans="1:14" ht="15.75" customHeight="1" x14ac:dyDescent="0.3">
      <c r="A26" s="903" t="s">
        <v>719</v>
      </c>
      <c r="B26" s="904"/>
      <c r="C26" s="156" t="s">
        <v>111</v>
      </c>
      <c r="D26" s="165">
        <f>L26</f>
        <v>1.5000000000000002</v>
      </c>
      <c r="E26" s="213">
        <f>MAT!E140</f>
        <v>1458.3333333333335</v>
      </c>
      <c r="F26" s="167">
        <f t="shared" si="1"/>
        <v>2187.5000000000005</v>
      </c>
      <c r="H26" s="1" t="s">
        <v>110</v>
      </c>
      <c r="I26" s="1">
        <f>0.08+0.08+0.16+0.16+0.06+0.06</f>
        <v>0.60000000000000009</v>
      </c>
      <c r="J26" s="261">
        <f>1/0.1</f>
        <v>10</v>
      </c>
      <c r="K26" s="1">
        <v>0.25</v>
      </c>
      <c r="L26" s="214">
        <f>I26*J26*K26</f>
        <v>1.5000000000000002</v>
      </c>
    </row>
    <row r="27" spans="1:14" ht="15" customHeight="1" x14ac:dyDescent="0.3">
      <c r="A27" s="911" t="s">
        <v>508</v>
      </c>
      <c r="B27" s="912"/>
      <c r="C27" s="156" t="s">
        <v>8</v>
      </c>
      <c r="D27" s="165">
        <v>0.11</v>
      </c>
      <c r="E27" s="213">
        <f>MAT!E81</f>
        <v>35900</v>
      </c>
      <c r="F27" s="167">
        <f t="shared" si="1"/>
        <v>3949</v>
      </c>
    </row>
    <row r="28" spans="1:14" ht="15.7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4" x14ac:dyDescent="0.3">
      <c r="A29" s="903"/>
      <c r="B29" s="904"/>
      <c r="C29" s="156"/>
      <c r="D29" s="165"/>
      <c r="E29" s="262"/>
      <c r="F29" s="167"/>
      <c r="K29" s="10"/>
    </row>
    <row r="30" spans="1:14" x14ac:dyDescent="0.3">
      <c r="A30" s="903"/>
      <c r="B30" s="904"/>
      <c r="C30" s="156"/>
      <c r="D30" s="165"/>
      <c r="E30" s="262"/>
      <c r="F30" s="167"/>
      <c r="K30" s="217"/>
    </row>
    <row r="31" spans="1:14" ht="16.2" thickBot="1" x14ac:dyDescent="0.35">
      <c r="A31" s="905"/>
      <c r="B31" s="906"/>
      <c r="C31" s="178"/>
      <c r="D31" s="178"/>
      <c r="E31" s="251"/>
      <c r="F31" s="179"/>
    </row>
    <row r="32" spans="1:14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26966.453258666668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75441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27:B27"/>
    <mergeCell ref="A31:B31"/>
    <mergeCell ref="A32:E32"/>
    <mergeCell ref="A34:F34"/>
    <mergeCell ref="A6:F6"/>
    <mergeCell ref="A7:F7"/>
    <mergeCell ref="B9:D9"/>
    <mergeCell ref="E9:E10"/>
    <mergeCell ref="F9:F10"/>
    <mergeCell ref="B10:D10"/>
    <mergeCell ref="A10:A11"/>
    <mergeCell ref="A22:F22"/>
    <mergeCell ref="A23:B23"/>
    <mergeCell ref="A24:B24"/>
    <mergeCell ref="A25:B25"/>
    <mergeCell ref="A26:B26"/>
    <mergeCell ref="A18:B18"/>
    <mergeCell ref="A19:B19"/>
    <mergeCell ref="A20:E20"/>
    <mergeCell ref="A1:F5"/>
    <mergeCell ref="A52:B52"/>
    <mergeCell ref="D52:F52"/>
    <mergeCell ref="A40:F40"/>
    <mergeCell ref="A28:B28"/>
    <mergeCell ref="A29:B29"/>
    <mergeCell ref="A30:B30"/>
    <mergeCell ref="A15:B15"/>
    <mergeCell ref="A14:B14"/>
    <mergeCell ref="A13:F13"/>
    <mergeCell ref="A16:B16"/>
    <mergeCell ref="A17:B17"/>
    <mergeCell ref="A38:E38"/>
    <mergeCell ref="A53:B53"/>
    <mergeCell ref="D53:F53"/>
    <mergeCell ref="A41:B41"/>
    <mergeCell ref="A42:B42"/>
    <mergeCell ref="A43:B43"/>
    <mergeCell ref="A44:B44"/>
    <mergeCell ref="A45:B45"/>
    <mergeCell ref="A46:E46"/>
    <mergeCell ref="A48:E48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62">
    <tabColor rgb="FFFFFF00"/>
  </sheetPr>
  <dimension ref="A1:L53"/>
  <sheetViews>
    <sheetView view="pageBreakPreview" topLeftCell="A19" zoomScale="60" zoomScaleNormal="11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(Entidad)'!C94</f>
        <v>ESTRUCTURA</v>
      </c>
      <c r="C9" s="885"/>
      <c r="D9" s="885"/>
      <c r="E9" s="851" t="s">
        <v>74</v>
      </c>
      <c r="F9" s="917" t="str">
        <f>'PRESUPUESTO OFICIAL (Entidad)'!D97</f>
        <v>ML</v>
      </c>
    </row>
    <row r="10" spans="1:6" x14ac:dyDescent="0.3">
      <c r="A10" s="915" t="s">
        <v>75</v>
      </c>
      <c r="B10" s="887" t="str">
        <f>'PRESUPUESTO OFICIAL (Entidad)'!C97</f>
        <v>Lavamanos en concreto pulido.</v>
      </c>
      <c r="C10" s="887"/>
      <c r="D10" s="887"/>
      <c r="E10" s="851"/>
      <c r="F10" s="917"/>
    </row>
    <row r="11" spans="1:6" x14ac:dyDescent="0.3">
      <c r="A11" s="915"/>
      <c r="B11" s="210" t="s">
        <v>218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3">
        <f>F46</f>
        <v>69249.600000000006</v>
      </c>
      <c r="F15" s="264">
        <f t="shared" ref="F15:F19" si="0">D15*E15</f>
        <v>3462.4800000000005</v>
      </c>
    </row>
    <row r="16" spans="1:6" x14ac:dyDescent="0.3">
      <c r="A16" s="893"/>
      <c r="B16" s="894"/>
      <c r="C16" s="158"/>
      <c r="D16" s="158"/>
      <c r="E16" s="263"/>
      <c r="F16" s="264">
        <f t="shared" si="0"/>
        <v>0</v>
      </c>
    </row>
    <row r="17" spans="1:12" x14ac:dyDescent="0.3">
      <c r="A17" s="883"/>
      <c r="B17" s="884"/>
      <c r="C17" s="158"/>
      <c r="D17" s="158"/>
      <c r="E17" s="265"/>
      <c r="F17" s="264">
        <f t="shared" si="0"/>
        <v>0</v>
      </c>
    </row>
    <row r="18" spans="1:12" x14ac:dyDescent="0.3">
      <c r="A18" s="883"/>
      <c r="B18" s="884"/>
      <c r="C18" s="158"/>
      <c r="D18" s="158"/>
      <c r="E18" s="265"/>
      <c r="F18" s="264">
        <f t="shared" si="0"/>
        <v>0</v>
      </c>
    </row>
    <row r="19" spans="1:12" ht="16.2" thickBot="1" x14ac:dyDescent="0.35">
      <c r="A19" s="898"/>
      <c r="B19" s="899"/>
      <c r="C19" s="163"/>
      <c r="D19" s="163"/>
      <c r="E19" s="266"/>
      <c r="F19" s="264">
        <f t="shared" si="0"/>
        <v>0</v>
      </c>
    </row>
    <row r="20" spans="1:12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3462.4800000000005</v>
      </c>
    </row>
    <row r="21" spans="1:12" ht="16.8" thickTop="1" thickBot="1" x14ac:dyDescent="0.35">
      <c r="A21" s="103"/>
      <c r="B21" s="103"/>
      <c r="C21" s="103"/>
      <c r="D21" s="103"/>
      <c r="E21" s="103"/>
      <c r="F21" s="153"/>
    </row>
    <row r="22" spans="1:12" x14ac:dyDescent="0.3">
      <c r="A22" s="895" t="s">
        <v>81</v>
      </c>
      <c r="B22" s="896"/>
      <c r="C22" s="896"/>
      <c r="D22" s="896"/>
      <c r="E22" s="896"/>
      <c r="F22" s="897"/>
    </row>
    <row r="23" spans="1:12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2" ht="15" customHeight="1" x14ac:dyDescent="0.3">
      <c r="A24" s="911" t="s">
        <v>608</v>
      </c>
      <c r="B24" s="912"/>
      <c r="C24" s="156" t="s">
        <v>9</v>
      </c>
      <c r="D24" s="165">
        <f>I29</f>
        <v>0.1056</v>
      </c>
      <c r="E24" s="211">
        <f>'C. 3000 PSI'!F45</f>
        <v>607218</v>
      </c>
      <c r="F24" s="167">
        <f>D24*E24</f>
        <v>64122.220800000003</v>
      </c>
      <c r="H24" s="103" t="s">
        <v>115</v>
      </c>
      <c r="I24" s="103" t="s">
        <v>116</v>
      </c>
      <c r="J24" s="103" t="s">
        <v>117</v>
      </c>
      <c r="K24" s="103" t="s">
        <v>101</v>
      </c>
    </row>
    <row r="25" spans="1:12" ht="15" customHeight="1" x14ac:dyDescent="0.3">
      <c r="A25" s="903" t="s">
        <v>612</v>
      </c>
      <c r="B25" s="904"/>
      <c r="C25" s="156" t="s">
        <v>111</v>
      </c>
      <c r="D25" s="165">
        <f>K27</f>
        <v>18.190200000000001</v>
      </c>
      <c r="E25" s="213">
        <f>MAT!E139</f>
        <v>4618.0555555555557</v>
      </c>
      <c r="F25" s="167">
        <f t="shared" ref="F25:F31" si="1">D25*E25</f>
        <v>84003.354166666672</v>
      </c>
      <c r="H25" s="103">
        <v>0.8</v>
      </c>
      <c r="I25" s="103">
        <f>1/0.1</f>
        <v>10</v>
      </c>
      <c r="J25" s="103">
        <v>0.99399999999999999</v>
      </c>
      <c r="K25" s="103">
        <f>H25*I25*J25</f>
        <v>7.952</v>
      </c>
    </row>
    <row r="26" spans="1:12" ht="15.75" customHeight="1" x14ac:dyDescent="0.3">
      <c r="A26" s="911" t="s">
        <v>509</v>
      </c>
      <c r="B26" s="912"/>
      <c r="C26" s="156" t="s">
        <v>111</v>
      </c>
      <c r="D26" s="165">
        <v>0.2</v>
      </c>
      <c r="E26" s="213">
        <f>MAT!E41</f>
        <v>6894.1166666666659</v>
      </c>
      <c r="F26" s="167">
        <f t="shared" si="1"/>
        <v>1378.8233333333333</v>
      </c>
      <c r="H26" s="103">
        <v>1.03</v>
      </c>
      <c r="I26" s="103">
        <v>10</v>
      </c>
      <c r="J26" s="103">
        <v>0.99399999999999999</v>
      </c>
      <c r="K26" s="319">
        <f>H26*I26*J26</f>
        <v>10.238200000000001</v>
      </c>
    </row>
    <row r="27" spans="1:12" ht="15" customHeight="1" x14ac:dyDescent="0.3">
      <c r="A27" s="911" t="s">
        <v>508</v>
      </c>
      <c r="B27" s="912"/>
      <c r="C27" s="156" t="s">
        <v>8</v>
      </c>
      <c r="D27" s="156">
        <f>I31</f>
        <v>1.49</v>
      </c>
      <c r="E27" s="213">
        <f>MAT!E81</f>
        <v>35900</v>
      </c>
      <c r="F27" s="167">
        <f t="shared" si="1"/>
        <v>53491</v>
      </c>
      <c r="H27" s="103"/>
      <c r="I27" s="103"/>
      <c r="J27" s="103"/>
      <c r="K27" s="252">
        <f>SUM(K25:K26)</f>
        <v>18.190200000000001</v>
      </c>
    </row>
    <row r="28" spans="1:12" x14ac:dyDescent="0.3">
      <c r="A28" s="903" t="s">
        <v>523</v>
      </c>
      <c r="B28" s="904"/>
      <c r="C28" s="156" t="s">
        <v>427</v>
      </c>
      <c r="D28" s="165">
        <v>0.1</v>
      </c>
      <c r="E28" s="213">
        <f>MAT!E112</f>
        <v>15000</v>
      </c>
      <c r="F28" s="167">
        <f t="shared" si="1"/>
        <v>1500</v>
      </c>
    </row>
    <row r="29" spans="1:12" x14ac:dyDescent="0.3">
      <c r="A29" s="903" t="s">
        <v>193</v>
      </c>
      <c r="B29" s="904"/>
      <c r="C29" s="156" t="s">
        <v>111</v>
      </c>
      <c r="D29" s="165">
        <v>3</v>
      </c>
      <c r="E29" s="213">
        <f>MAT!E16</f>
        <v>726.6658666666666</v>
      </c>
      <c r="F29" s="167">
        <f t="shared" si="1"/>
        <v>2179.9975999999997</v>
      </c>
      <c r="H29" s="1" t="s">
        <v>118</v>
      </c>
      <c r="I29" s="1">
        <f>0.1056*1</f>
        <v>0.1056</v>
      </c>
    </row>
    <row r="30" spans="1:12" x14ac:dyDescent="0.3">
      <c r="A30" s="903"/>
      <c r="B30" s="904"/>
      <c r="C30" s="156"/>
      <c r="D30" s="156"/>
      <c r="E30" s="156"/>
      <c r="F30" s="167">
        <f t="shared" si="1"/>
        <v>0</v>
      </c>
      <c r="L30" s="1">
        <f>39000/50</f>
        <v>780</v>
      </c>
    </row>
    <row r="31" spans="1:12" ht="16.2" thickBot="1" x14ac:dyDescent="0.35">
      <c r="A31" s="905"/>
      <c r="B31" s="906"/>
      <c r="C31" s="178"/>
      <c r="D31" s="178"/>
      <c r="E31" s="178"/>
      <c r="F31" s="179">
        <f t="shared" si="1"/>
        <v>0</v>
      </c>
      <c r="H31" s="1" t="s">
        <v>114</v>
      </c>
      <c r="I31" s="1">
        <f>0.85+0.44+0.2</f>
        <v>1.49</v>
      </c>
      <c r="J31" s="1" t="s">
        <v>99</v>
      </c>
    </row>
    <row r="32" spans="1:12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206675.3959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1.8</v>
      </c>
      <c r="F42" s="167">
        <f>D42*E42</f>
        <v>69249.600000000006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69249.600000000006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279387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25:B25"/>
    <mergeCell ref="A41:B41"/>
    <mergeCell ref="A42:B42"/>
    <mergeCell ref="A26:B26"/>
    <mergeCell ref="A31:B31"/>
    <mergeCell ref="A32:E32"/>
    <mergeCell ref="A38:E38"/>
    <mergeCell ref="A40:F40"/>
    <mergeCell ref="A34:F34"/>
    <mergeCell ref="A28:B28"/>
    <mergeCell ref="A29:B29"/>
    <mergeCell ref="A30:B30"/>
    <mergeCell ref="A27:B27"/>
    <mergeCell ref="A19:B19"/>
    <mergeCell ref="A20:E20"/>
    <mergeCell ref="A22:F22"/>
    <mergeCell ref="A23:B23"/>
    <mergeCell ref="A24:B24"/>
    <mergeCell ref="A1:F5"/>
    <mergeCell ref="A15:B15"/>
    <mergeCell ref="A16:B16"/>
    <mergeCell ref="A17:B17"/>
    <mergeCell ref="A18:B18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53:B53"/>
    <mergeCell ref="D53:F53"/>
    <mergeCell ref="A43:B43"/>
    <mergeCell ref="A44:B44"/>
    <mergeCell ref="A45:B45"/>
    <mergeCell ref="A52:B52"/>
    <mergeCell ref="D52:F52"/>
    <mergeCell ref="A46:E46"/>
    <mergeCell ref="A48:E48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86">
    <tabColor rgb="FFFFFF00"/>
  </sheetPr>
  <dimension ref="A1:G54"/>
  <sheetViews>
    <sheetView view="pageBreakPreview" topLeftCell="A15" zoomScale="60" zoomScaleNormal="9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210" t="s">
        <v>73</v>
      </c>
      <c r="B9" s="885" t="str">
        <f>'PRESUPUESTO OFICIAL (Entidad)'!C99</f>
        <v>INSTALACIONES ELECTRICAS</v>
      </c>
      <c r="C9" s="885"/>
      <c r="D9" s="885"/>
      <c r="E9" s="851" t="s">
        <v>74</v>
      </c>
      <c r="F9" s="917" t="str">
        <f>'PRESUPUESTO OFICIAL (Entidad)'!D100</f>
        <v>UND</v>
      </c>
    </row>
    <row r="10" spans="1:6" ht="28.5" customHeight="1" x14ac:dyDescent="0.3">
      <c r="A10" s="915" t="s">
        <v>75</v>
      </c>
      <c r="B10" s="922" t="str">
        <f>'PRESUPUESTO OFICIAL (Entidad)'!C100</f>
        <v>Suministro e instalación de Salida lampara incandesente, incluye bombillo.</v>
      </c>
      <c r="C10" s="922"/>
      <c r="D10" s="922"/>
      <c r="E10" s="851"/>
      <c r="F10" s="917"/>
    </row>
    <row r="11" spans="1:6" x14ac:dyDescent="0.3">
      <c r="A11" s="915"/>
      <c r="B11" s="210" t="s">
        <v>221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F47</f>
        <v>55014.3</v>
      </c>
      <c r="F15" s="268">
        <f t="shared" ref="F15:F19" si="0">D15*E15</f>
        <v>2750.7150000000001</v>
      </c>
    </row>
    <row r="16" spans="1: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2750.7150000000001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5" customHeight="1" x14ac:dyDescent="0.3">
      <c r="A24" s="973" t="s">
        <v>777</v>
      </c>
      <c r="B24" s="974"/>
      <c r="C24" s="156" t="s">
        <v>19</v>
      </c>
      <c r="D24" s="165">
        <v>0.5</v>
      </c>
      <c r="E24" s="256">
        <f>MAT!E129</f>
        <v>3586.8344444444447</v>
      </c>
      <c r="F24" s="271">
        <f>D24*E24</f>
        <v>1793.4172222222223</v>
      </c>
    </row>
    <row r="25" spans="1:6" ht="15" customHeight="1" x14ac:dyDescent="0.3">
      <c r="A25" s="973" t="s">
        <v>578</v>
      </c>
      <c r="B25" s="974"/>
      <c r="C25" s="156" t="s">
        <v>19</v>
      </c>
      <c r="D25" s="165">
        <v>1.03</v>
      </c>
      <c r="E25" s="256">
        <f>MAT!E39</f>
        <v>3096.3585333333335</v>
      </c>
      <c r="F25" s="271">
        <f t="shared" ref="F25:F32" si="1">D25*E25</f>
        <v>3189.2492893333338</v>
      </c>
    </row>
    <row r="26" spans="1:6" ht="15.75" customHeight="1" x14ac:dyDescent="0.3">
      <c r="A26" s="973" t="s">
        <v>778</v>
      </c>
      <c r="B26" s="974"/>
      <c r="C26" s="156" t="s">
        <v>21</v>
      </c>
      <c r="D26" s="165">
        <v>2</v>
      </c>
      <c r="E26" s="256">
        <f>MAT!E37</f>
        <v>500</v>
      </c>
      <c r="F26" s="271">
        <f t="shared" si="1"/>
        <v>1000</v>
      </c>
    </row>
    <row r="27" spans="1:6" ht="15" customHeight="1" x14ac:dyDescent="0.3">
      <c r="A27" s="973" t="s">
        <v>577</v>
      </c>
      <c r="B27" s="974"/>
      <c r="C27" s="156" t="s">
        <v>21</v>
      </c>
      <c r="D27" s="165">
        <v>0.25</v>
      </c>
      <c r="E27" s="256">
        <f>MAT!E74</f>
        <v>700</v>
      </c>
      <c r="F27" s="271">
        <f t="shared" si="1"/>
        <v>175</v>
      </c>
    </row>
    <row r="28" spans="1:6" ht="15.75" customHeight="1" x14ac:dyDescent="0.3">
      <c r="A28" s="973" t="s">
        <v>722</v>
      </c>
      <c r="B28" s="974"/>
      <c r="C28" s="156" t="s">
        <v>21</v>
      </c>
      <c r="D28" s="165">
        <v>0.05</v>
      </c>
      <c r="E28" s="256">
        <f>MAT!E67</f>
        <v>4000</v>
      </c>
      <c r="F28" s="271">
        <f t="shared" si="1"/>
        <v>200</v>
      </c>
    </row>
    <row r="29" spans="1:6" ht="15.75" customHeight="1" x14ac:dyDescent="0.3">
      <c r="A29" s="973" t="s">
        <v>748</v>
      </c>
      <c r="B29" s="974"/>
      <c r="C29" s="156" t="s">
        <v>422</v>
      </c>
      <c r="D29" s="255">
        <v>3.0000000000000001E-3</v>
      </c>
      <c r="E29" s="256">
        <f>MAT!E117</f>
        <v>67028.289999999994</v>
      </c>
      <c r="F29" s="271">
        <f t="shared" si="1"/>
        <v>201.08487</v>
      </c>
    </row>
    <row r="30" spans="1:6" x14ac:dyDescent="0.3">
      <c r="A30" s="973" t="s">
        <v>749</v>
      </c>
      <c r="B30" s="974"/>
      <c r="C30" s="156" t="s">
        <v>422</v>
      </c>
      <c r="D30" s="255">
        <v>3.0000000000000001E-3</v>
      </c>
      <c r="E30" s="256">
        <f>MAT!E92</f>
        <v>36952.94</v>
      </c>
      <c r="F30" s="271">
        <f t="shared" si="1"/>
        <v>110.85882000000001</v>
      </c>
    </row>
    <row r="31" spans="1:6" x14ac:dyDescent="0.3">
      <c r="A31" s="1012" t="s">
        <v>724</v>
      </c>
      <c r="B31" s="1013"/>
      <c r="C31" s="315" t="s">
        <v>21</v>
      </c>
      <c r="D31" s="258">
        <v>1</v>
      </c>
      <c r="E31" s="256">
        <f>MAT!E56</f>
        <v>1350</v>
      </c>
      <c r="F31" s="271">
        <f t="shared" si="1"/>
        <v>1350</v>
      </c>
    </row>
    <row r="32" spans="1:6" ht="16.2" thickBot="1" x14ac:dyDescent="0.35">
      <c r="A32" s="905" t="s">
        <v>779</v>
      </c>
      <c r="B32" s="906"/>
      <c r="C32" s="178" t="s">
        <v>21</v>
      </c>
      <c r="D32" s="320">
        <v>1</v>
      </c>
      <c r="E32" s="321">
        <f>MAT!E106</f>
        <v>4120.4466666666667</v>
      </c>
      <c r="F32" s="274">
        <f t="shared" si="1"/>
        <v>4120.4466666666667</v>
      </c>
    </row>
    <row r="33" spans="1:6" ht="16.2" thickBot="1" x14ac:dyDescent="0.35">
      <c r="A33" s="900" t="s">
        <v>84</v>
      </c>
      <c r="B33" s="900"/>
      <c r="C33" s="900"/>
      <c r="D33" s="900"/>
      <c r="E33" s="900"/>
      <c r="F33" s="168">
        <f>SUM(F24:F32)</f>
        <v>12140.056868222222</v>
      </c>
    </row>
    <row r="34" spans="1:6" ht="16.8" thickTop="1" thickBot="1" x14ac:dyDescent="0.35">
      <c r="A34" s="103"/>
      <c r="B34" s="103"/>
      <c r="C34" s="103"/>
      <c r="D34" s="103"/>
      <c r="E34" s="103"/>
      <c r="F34" s="153"/>
    </row>
    <row r="35" spans="1:6" x14ac:dyDescent="0.3">
      <c r="A35" s="895" t="s">
        <v>85</v>
      </c>
      <c r="B35" s="896"/>
      <c r="C35" s="896"/>
      <c r="D35" s="896"/>
      <c r="E35" s="896"/>
      <c r="F35" s="897"/>
    </row>
    <row r="36" spans="1:6" ht="31.2" x14ac:dyDescent="0.3">
      <c r="A36" s="169" t="s">
        <v>86</v>
      </c>
      <c r="B36" s="156" t="s">
        <v>94</v>
      </c>
      <c r="C36" s="158" t="s">
        <v>96</v>
      </c>
      <c r="D36" s="158" t="s">
        <v>97</v>
      </c>
      <c r="E36" s="158" t="s">
        <v>95</v>
      </c>
      <c r="F36" s="160" t="s">
        <v>82</v>
      </c>
    </row>
    <row r="37" spans="1:6" x14ac:dyDescent="0.3">
      <c r="A37" s="169"/>
      <c r="B37" s="111"/>
      <c r="C37" s="158"/>
      <c r="D37" s="158"/>
      <c r="E37" s="158"/>
      <c r="F37" s="186">
        <f>C37*D37*E37</f>
        <v>0</v>
      </c>
    </row>
    <row r="38" spans="1:6" ht="16.2" thickBot="1" x14ac:dyDescent="0.35">
      <c r="A38" s="171"/>
      <c r="B38" s="197"/>
      <c r="C38" s="163"/>
      <c r="D38" s="163"/>
      <c r="E38" s="163"/>
      <c r="F38" s="190">
        <f>C38*D38*E38</f>
        <v>0</v>
      </c>
    </row>
    <row r="39" spans="1:6" ht="15.75" customHeight="1" thickBot="1" x14ac:dyDescent="0.35">
      <c r="A39" s="907" t="s">
        <v>90</v>
      </c>
      <c r="B39" s="907"/>
      <c r="C39" s="907"/>
      <c r="D39" s="907"/>
      <c r="E39" s="907"/>
      <c r="F39" s="198">
        <f>SUM(F37:F38)</f>
        <v>0</v>
      </c>
    </row>
    <row r="40" spans="1:6" ht="16.8" thickTop="1" thickBot="1" x14ac:dyDescent="0.35">
      <c r="A40" s="103"/>
      <c r="B40" s="103"/>
      <c r="C40" s="103"/>
      <c r="D40" s="103"/>
      <c r="E40" s="103"/>
      <c r="F40" s="153"/>
    </row>
    <row r="41" spans="1:6" ht="15.75" customHeight="1" x14ac:dyDescent="0.3">
      <c r="A41" s="895" t="s">
        <v>91</v>
      </c>
      <c r="B41" s="896"/>
      <c r="C41" s="896"/>
      <c r="D41" s="896"/>
      <c r="E41" s="896"/>
      <c r="F41" s="897"/>
    </row>
    <row r="42" spans="1:6" ht="24.75" customHeight="1" x14ac:dyDescent="0.3">
      <c r="A42" s="891" t="s">
        <v>48</v>
      </c>
      <c r="B42" s="892"/>
      <c r="C42" s="156" t="s">
        <v>23</v>
      </c>
      <c r="D42" s="156" t="s">
        <v>378</v>
      </c>
      <c r="E42" s="156" t="s">
        <v>98</v>
      </c>
      <c r="F42" s="157" t="s">
        <v>79</v>
      </c>
    </row>
    <row r="43" spans="1:6" x14ac:dyDescent="0.3">
      <c r="A43" s="893" t="str">
        <f>M.O!B99</f>
        <v>MANO DE OBRA ELECTRICA</v>
      </c>
      <c r="B43" s="894"/>
      <c r="C43" s="176" t="s">
        <v>43</v>
      </c>
      <c r="D43" s="177">
        <f>M.O!F106</f>
        <v>50013</v>
      </c>
      <c r="E43" s="156">
        <v>1.1000000000000001</v>
      </c>
      <c r="F43" s="167">
        <f>D43*E43</f>
        <v>55014.3</v>
      </c>
    </row>
    <row r="44" spans="1:6" x14ac:dyDescent="0.3">
      <c r="A44" s="883"/>
      <c r="B44" s="884"/>
      <c r="C44" s="176"/>
      <c r="D44" s="156"/>
      <c r="E44" s="156"/>
      <c r="F44" s="167">
        <f t="shared" ref="F44:F46" si="2">D44*E44</f>
        <v>0</v>
      </c>
    </row>
    <row r="45" spans="1:6" x14ac:dyDescent="0.3">
      <c r="A45" s="883"/>
      <c r="B45" s="884"/>
      <c r="C45" s="156"/>
      <c r="D45" s="156"/>
      <c r="E45" s="156"/>
      <c r="F45" s="167">
        <f t="shared" si="2"/>
        <v>0</v>
      </c>
    </row>
    <row r="46" spans="1:6" ht="16.2" thickBot="1" x14ac:dyDescent="0.35">
      <c r="A46" s="898"/>
      <c r="B46" s="899"/>
      <c r="C46" s="178"/>
      <c r="D46" s="178"/>
      <c r="E46" s="178"/>
      <c r="F46" s="179">
        <f t="shared" si="2"/>
        <v>0</v>
      </c>
    </row>
    <row r="47" spans="1:6" ht="15.75" customHeight="1" thickBot="1" x14ac:dyDescent="0.35">
      <c r="A47" s="907" t="s">
        <v>92</v>
      </c>
      <c r="B47" s="907"/>
      <c r="C47" s="907"/>
      <c r="D47" s="907"/>
      <c r="E47" s="907"/>
      <c r="F47" s="175">
        <f>SUM(F43:F46)</f>
        <v>55014.3</v>
      </c>
    </row>
    <row r="48" spans="1:6" ht="16.2" thickTop="1" x14ac:dyDescent="0.3">
      <c r="A48" s="103"/>
      <c r="B48" s="103"/>
      <c r="C48" s="103"/>
      <c r="D48" s="103"/>
      <c r="E48" s="103"/>
      <c r="F48" s="153"/>
    </row>
    <row r="49" spans="1:7" ht="15.75" customHeight="1" thickBot="1" x14ac:dyDescent="0.35">
      <c r="A49" s="907" t="s">
        <v>93</v>
      </c>
      <c r="B49" s="907"/>
      <c r="C49" s="907"/>
      <c r="D49" s="907"/>
      <c r="E49" s="907"/>
      <c r="F49" s="180">
        <f>ROUND(SUM(F33+F47+F20+F39),0)</f>
        <v>69905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1" spans="1:7" x14ac:dyDescent="0.3">
      <c r="A51" s="103"/>
      <c r="B51" s="103"/>
      <c r="C51" s="103"/>
      <c r="D51" s="103"/>
      <c r="E51" s="103"/>
      <c r="F51" s="153"/>
    </row>
    <row r="53" spans="1:7" x14ac:dyDescent="0.3">
      <c r="A53" s="856" t="s">
        <v>120</v>
      </c>
      <c r="B53" s="856"/>
      <c r="D53" s="856" t="s">
        <v>122</v>
      </c>
      <c r="E53" s="856"/>
      <c r="F53" s="856"/>
      <c r="G53" s="9"/>
    </row>
    <row r="54" spans="1:7" x14ac:dyDescent="0.3">
      <c r="A54" s="741" t="s">
        <v>121</v>
      </c>
      <c r="B54" s="741"/>
      <c r="D54" s="741" t="s">
        <v>123</v>
      </c>
      <c r="E54" s="741"/>
      <c r="F54" s="741"/>
    </row>
  </sheetData>
  <mergeCells count="42">
    <mergeCell ref="A25:B25"/>
    <mergeCell ref="A26:B26"/>
    <mergeCell ref="A27:B27"/>
    <mergeCell ref="A53:B53"/>
    <mergeCell ref="A30:B30"/>
    <mergeCell ref="D53:F53"/>
    <mergeCell ref="A49:E49"/>
    <mergeCell ref="A35:F35"/>
    <mergeCell ref="A28:B28"/>
    <mergeCell ref="A29:B29"/>
    <mergeCell ref="A31:B31"/>
    <mergeCell ref="A32:B32"/>
    <mergeCell ref="A33:E33"/>
    <mergeCell ref="A39:E39"/>
    <mergeCell ref="A41:F41"/>
    <mergeCell ref="A47:E47"/>
    <mergeCell ref="A42:B42"/>
    <mergeCell ref="A43:B43"/>
    <mergeCell ref="A44:B44"/>
    <mergeCell ref="A45:B45"/>
    <mergeCell ref="A46:B46"/>
    <mergeCell ref="A19:B19"/>
    <mergeCell ref="A20:E20"/>
    <mergeCell ref="A22:F22"/>
    <mergeCell ref="A23:B23"/>
    <mergeCell ref="A24:B24"/>
    <mergeCell ref="A1:F5"/>
    <mergeCell ref="A54:B54"/>
    <mergeCell ref="D54:F54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1" orientation="portrait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88">
    <tabColor rgb="FFFFFF00"/>
  </sheetPr>
  <dimension ref="A1:G53"/>
  <sheetViews>
    <sheetView view="pageBreakPreview" topLeftCell="A14" zoomScale="60" zoomScaleNormal="9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(Entidad)'!C99</f>
        <v>INSTALACIONES ELECTRICAS</v>
      </c>
      <c r="C9" s="885"/>
      <c r="D9" s="885"/>
      <c r="E9" s="851" t="s">
        <v>74</v>
      </c>
      <c r="F9" s="917" t="str">
        <f>'PRESUPUESTO OFICIAL (Entidad)'!D102</f>
        <v>UND</v>
      </c>
    </row>
    <row r="10" spans="1:6" x14ac:dyDescent="0.3">
      <c r="A10" s="915" t="s">
        <v>75</v>
      </c>
      <c r="B10" s="887" t="str">
        <f>'PRESUPUESTO OFICIAL (Entidad)'!C102</f>
        <v>Suministro e instalacion de tablero monofase 2 circuitos.</v>
      </c>
      <c r="C10" s="887"/>
      <c r="D10" s="887"/>
      <c r="E10" s="851"/>
      <c r="F10" s="917"/>
    </row>
    <row r="11" spans="1:6" x14ac:dyDescent="0.3">
      <c r="A11" s="915"/>
      <c r="B11" s="210" t="s">
        <v>667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F46</f>
        <v>95024.7</v>
      </c>
      <c r="F15" s="160">
        <f t="shared" ref="F15:F19" si="0">D15*E15</f>
        <v>4751.2349999999997</v>
      </c>
    </row>
    <row r="16" spans="1:6" x14ac:dyDescent="0.3">
      <c r="A16" s="893"/>
      <c r="B16" s="894"/>
      <c r="C16" s="158"/>
      <c r="D16" s="158"/>
      <c r="E16" s="159"/>
      <c r="F16" s="186">
        <f t="shared" si="0"/>
        <v>0</v>
      </c>
    </row>
    <row r="17" spans="1:6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6" x14ac:dyDescent="0.3">
      <c r="A18" s="883"/>
      <c r="B18" s="884"/>
      <c r="C18" s="158"/>
      <c r="D18" s="158"/>
      <c r="E18" s="158"/>
      <c r="F18" s="186">
        <f t="shared" si="0"/>
        <v>0</v>
      </c>
    </row>
    <row r="19" spans="1:6" ht="16.2" thickBot="1" x14ac:dyDescent="0.35">
      <c r="A19" s="898"/>
      <c r="B19" s="899"/>
      <c r="C19" s="163"/>
      <c r="D19" s="163"/>
      <c r="E19" s="163"/>
      <c r="F19" s="186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4751.2349999999997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5" customHeight="1" x14ac:dyDescent="0.3">
      <c r="A24" s="903" t="s">
        <v>529</v>
      </c>
      <c r="B24" s="904"/>
      <c r="C24" s="156" t="s">
        <v>21</v>
      </c>
      <c r="D24" s="156">
        <v>1</v>
      </c>
      <c r="E24" s="166">
        <f>MAT!E119</f>
        <v>117000</v>
      </c>
      <c r="F24" s="157">
        <f>D24*E24</f>
        <v>117000</v>
      </c>
    </row>
    <row r="25" spans="1:6" ht="15" customHeight="1" x14ac:dyDescent="0.3">
      <c r="A25" s="903" t="s">
        <v>683</v>
      </c>
      <c r="B25" s="904"/>
      <c r="C25" s="156" t="s">
        <v>21</v>
      </c>
      <c r="D25" s="156">
        <v>2</v>
      </c>
      <c r="E25" s="166">
        <f>MAT!E52</f>
        <v>19500</v>
      </c>
      <c r="F25" s="157">
        <f t="shared" ref="F25:F31" si="1">D25*E25</f>
        <v>39000</v>
      </c>
    </row>
    <row r="26" spans="1:6" x14ac:dyDescent="0.3">
      <c r="A26" s="903"/>
      <c r="B26" s="904"/>
      <c r="C26" s="156"/>
      <c r="D26" s="156"/>
      <c r="E26" s="166"/>
      <c r="F26" s="167">
        <f t="shared" si="1"/>
        <v>0</v>
      </c>
    </row>
    <row r="27" spans="1:6" ht="15" customHeight="1" x14ac:dyDescent="0.3">
      <c r="A27" s="903"/>
      <c r="B27" s="904"/>
      <c r="C27" s="156"/>
      <c r="D27" s="156"/>
      <c r="E27" s="166"/>
      <c r="F27" s="167">
        <f t="shared" si="1"/>
        <v>0</v>
      </c>
    </row>
    <row r="28" spans="1:6" x14ac:dyDescent="0.3">
      <c r="A28" s="903"/>
      <c r="B28" s="904"/>
      <c r="C28" s="156"/>
      <c r="D28" s="156"/>
      <c r="E28" s="156"/>
      <c r="F28" s="167">
        <f t="shared" si="1"/>
        <v>0</v>
      </c>
    </row>
    <row r="29" spans="1:6" x14ac:dyDescent="0.3">
      <c r="A29" s="903"/>
      <c r="B29" s="904"/>
      <c r="C29" s="156"/>
      <c r="D29" s="156"/>
      <c r="E29" s="156"/>
      <c r="F29" s="167">
        <f t="shared" si="1"/>
        <v>0</v>
      </c>
    </row>
    <row r="30" spans="1:6" x14ac:dyDescent="0.3">
      <c r="A30" s="903"/>
      <c r="B30" s="904"/>
      <c r="C30" s="156"/>
      <c r="D30" s="156"/>
      <c r="E30" s="156"/>
      <c r="F30" s="167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179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156000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280" t="str">
        <f>[10]Hoja2!$B$8</f>
        <v>UNIDAD</v>
      </c>
      <c r="D35" s="158" t="s">
        <v>88</v>
      </c>
      <c r="E35" s="158" t="s">
        <v>108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322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M.O!B99</f>
        <v>MANO DE OBRA ELECTRICA</v>
      </c>
      <c r="B42" s="894"/>
      <c r="C42" s="176" t="s">
        <v>43</v>
      </c>
      <c r="D42" s="177">
        <f>M.O!F106</f>
        <v>50013</v>
      </c>
      <c r="E42" s="156">
        <v>1.9</v>
      </c>
      <c r="F42" s="167">
        <f>D42*E42</f>
        <v>95024.7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95024.7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255776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48:E48"/>
    <mergeCell ref="A34:F34"/>
    <mergeCell ref="A28:B28"/>
    <mergeCell ref="A29:B29"/>
    <mergeCell ref="A30:B30"/>
    <mergeCell ref="A31:B31"/>
    <mergeCell ref="A32:E32"/>
    <mergeCell ref="A38:E38"/>
    <mergeCell ref="A40:F40"/>
    <mergeCell ref="A46:E46"/>
    <mergeCell ref="A41:B41"/>
    <mergeCell ref="A42:B42"/>
    <mergeCell ref="A43:B43"/>
    <mergeCell ref="A44:B44"/>
    <mergeCell ref="A45:B45"/>
    <mergeCell ref="A19:B19"/>
    <mergeCell ref="A20:E20"/>
    <mergeCell ref="A22:F22"/>
    <mergeCell ref="A23:B23"/>
    <mergeCell ref="A24:B24"/>
    <mergeCell ref="A25:B25"/>
    <mergeCell ref="A26:B26"/>
    <mergeCell ref="A27:B27"/>
    <mergeCell ref="A1:F5"/>
    <mergeCell ref="A53:B53"/>
    <mergeCell ref="D53:F53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4" orientation="portrait" r:id="rId1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75">
    <tabColor rgb="FFFFFF00"/>
  </sheetPr>
  <dimension ref="A1:G53"/>
  <sheetViews>
    <sheetView view="pageBreakPreview" topLeftCell="A28" zoomScale="70" zoomScaleNormal="9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(Entidad)'!C105</f>
        <v xml:space="preserve">INSTALACIONES HIDRAULICAS Y SANITARIAS </v>
      </c>
      <c r="C9" s="885"/>
      <c r="D9" s="885"/>
      <c r="E9" s="851" t="s">
        <v>74</v>
      </c>
      <c r="F9" s="917" t="str">
        <f>'PRESUPUESTO OFICIAL (Entidad)'!D115</f>
        <v>UND</v>
      </c>
    </row>
    <row r="10" spans="1:6" x14ac:dyDescent="0.3">
      <c r="A10" s="915" t="s">
        <v>75</v>
      </c>
      <c r="B10" s="887" t="str">
        <f>'PRESUPUESTO OFICIAL (Entidad)'!C115</f>
        <v>Suministro e instalacion de griferia lavamanos cromada.</v>
      </c>
      <c r="C10" s="887"/>
      <c r="D10" s="887"/>
      <c r="E10" s="851"/>
      <c r="F10" s="917"/>
    </row>
    <row r="11" spans="1:6" x14ac:dyDescent="0.3">
      <c r="A11" s="915"/>
      <c r="B11" s="210" t="s">
        <v>676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F46</f>
        <v>16927.600000000002</v>
      </c>
      <c r="F15" s="268">
        <f t="shared" ref="F15:F19" si="0">D15*E15</f>
        <v>846.38000000000011</v>
      </c>
    </row>
    <row r="16" spans="1: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846.38000000000011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5" customHeight="1" x14ac:dyDescent="0.3">
      <c r="A24" s="903" t="s">
        <v>525</v>
      </c>
      <c r="B24" s="904"/>
      <c r="C24" s="156" t="s">
        <v>21</v>
      </c>
      <c r="D24" s="165">
        <v>1</v>
      </c>
      <c r="E24" s="256">
        <f>MAT!E83</f>
        <v>31250</v>
      </c>
      <c r="F24" s="271">
        <f>D24*E24</f>
        <v>31250</v>
      </c>
    </row>
    <row r="25" spans="1:6" ht="15" customHeight="1" x14ac:dyDescent="0.3">
      <c r="A25" s="903"/>
      <c r="B25" s="904"/>
      <c r="C25" s="156"/>
      <c r="D25" s="156"/>
      <c r="E25" s="256"/>
      <c r="F25" s="271">
        <f t="shared" ref="F25:F31" si="1">D25*E25</f>
        <v>0</v>
      </c>
    </row>
    <row r="26" spans="1:6" x14ac:dyDescent="0.3">
      <c r="A26" s="903"/>
      <c r="B26" s="904"/>
      <c r="C26" s="156"/>
      <c r="D26" s="156"/>
      <c r="E26" s="256"/>
      <c r="F26" s="271">
        <f t="shared" si="1"/>
        <v>0</v>
      </c>
    </row>
    <row r="27" spans="1:6" ht="15" customHeight="1" x14ac:dyDescent="0.3">
      <c r="A27" s="903"/>
      <c r="B27" s="904"/>
      <c r="C27" s="156"/>
      <c r="D27" s="156"/>
      <c r="E27" s="256"/>
      <c r="F27" s="271">
        <f t="shared" si="1"/>
        <v>0</v>
      </c>
    </row>
    <row r="28" spans="1:6" x14ac:dyDescent="0.3">
      <c r="A28" s="903"/>
      <c r="B28" s="904"/>
      <c r="C28" s="156"/>
      <c r="D28" s="156"/>
      <c r="E28" s="272"/>
      <c r="F28" s="271">
        <f t="shared" si="1"/>
        <v>0</v>
      </c>
    </row>
    <row r="29" spans="1:6" x14ac:dyDescent="0.3">
      <c r="A29" s="903"/>
      <c r="B29" s="904"/>
      <c r="C29" s="156"/>
      <c r="D29" s="156"/>
      <c r="E29" s="272"/>
      <c r="F29" s="271">
        <f t="shared" si="1"/>
        <v>0</v>
      </c>
    </row>
    <row r="30" spans="1:6" x14ac:dyDescent="0.3">
      <c r="A30" s="903"/>
      <c r="B30" s="904"/>
      <c r="C30" s="156"/>
      <c r="D30" s="156"/>
      <c r="E30" s="272"/>
      <c r="F30" s="271">
        <f t="shared" si="1"/>
        <v>0</v>
      </c>
    </row>
    <row r="31" spans="1:6" ht="16.2" thickBot="1" x14ac:dyDescent="0.35">
      <c r="A31" s="905"/>
      <c r="B31" s="906"/>
      <c r="C31" s="178"/>
      <c r="D31" s="178"/>
      <c r="E31" s="273"/>
      <c r="F31" s="274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31250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0.4</v>
      </c>
      <c r="F42" s="167">
        <f>D42*E42</f>
        <v>16927.600000000002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16927.600000000002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49024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48:E48"/>
    <mergeCell ref="A34:F34"/>
    <mergeCell ref="A28:B28"/>
    <mergeCell ref="A29:B29"/>
    <mergeCell ref="A30:B30"/>
    <mergeCell ref="A31:B31"/>
    <mergeCell ref="A32:E32"/>
    <mergeCell ref="A38:E38"/>
    <mergeCell ref="A40:F40"/>
    <mergeCell ref="A46:E46"/>
    <mergeCell ref="A41:B41"/>
    <mergeCell ref="A42:B42"/>
    <mergeCell ref="A43:B43"/>
    <mergeCell ref="A44:B44"/>
    <mergeCell ref="A45:B45"/>
    <mergeCell ref="A19:B19"/>
    <mergeCell ref="A20:E20"/>
    <mergeCell ref="A22:F22"/>
    <mergeCell ref="A23:B23"/>
    <mergeCell ref="A24:B24"/>
    <mergeCell ref="A25:B25"/>
    <mergeCell ref="A26:B26"/>
    <mergeCell ref="A27:B27"/>
    <mergeCell ref="A1:F5"/>
    <mergeCell ref="A53:B53"/>
    <mergeCell ref="D53:F53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4" orientation="portrait" r:id="rId1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69">
    <tabColor rgb="FFFFFF00"/>
  </sheetPr>
  <dimension ref="A1:G52"/>
  <sheetViews>
    <sheetView view="pageBreakPreview" topLeftCell="A22" zoomScale="70" zoomScaleNormal="90" zoomScaleSheetLayoutView="70" workbookViewId="0">
      <selection activeCell="A51" sqref="A51:B5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(Entidad)'!C116</f>
        <v xml:space="preserve">APARATOS SANITARIOS </v>
      </c>
      <c r="C9" s="885"/>
      <c r="D9" s="885"/>
      <c r="E9" s="851" t="s">
        <v>74</v>
      </c>
      <c r="F9" s="917" t="str">
        <f>'PRESUPUESTO OFICIAL (Entidad)'!D117</f>
        <v>UND</v>
      </c>
    </row>
    <row r="10" spans="1:6" x14ac:dyDescent="0.3">
      <c r="A10" s="915" t="s">
        <v>75</v>
      </c>
      <c r="B10" s="887" t="str">
        <f>'PRESUPUESTO OFICIAL (Entidad)'!C117</f>
        <v>Suministro e instalación  de sanitario color blanco.</v>
      </c>
      <c r="C10" s="887"/>
      <c r="D10" s="887"/>
      <c r="E10" s="851"/>
      <c r="F10" s="917"/>
    </row>
    <row r="11" spans="1:6" x14ac:dyDescent="0.3">
      <c r="A11" s="915"/>
      <c r="B11" s="210" t="s">
        <v>227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F45</f>
        <v>84638</v>
      </c>
      <c r="F15" s="268">
        <f t="shared" ref="F15:F19" si="0">D15*E15</f>
        <v>4231.9000000000005</v>
      </c>
    </row>
    <row r="16" spans="1: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4231.9000000000005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685</v>
      </c>
      <c r="B24" s="904"/>
      <c r="C24" s="156" t="s">
        <v>111</v>
      </c>
      <c r="D24" s="165">
        <v>0.5</v>
      </c>
      <c r="E24" s="256">
        <f>MAT!E61</f>
        <v>3000</v>
      </c>
      <c r="F24" s="271">
        <f>D24*E24</f>
        <v>1500</v>
      </c>
    </row>
    <row r="25" spans="1:6" x14ac:dyDescent="0.3">
      <c r="A25" s="903" t="s">
        <v>781</v>
      </c>
      <c r="B25" s="904"/>
      <c r="C25" s="156" t="s">
        <v>21</v>
      </c>
      <c r="D25" s="165">
        <v>1</v>
      </c>
      <c r="E25" s="256">
        <f>MAT!E110</f>
        <v>491950</v>
      </c>
      <c r="F25" s="271">
        <f t="shared" ref="F25:F30" si="1">D25*E25</f>
        <v>491950</v>
      </c>
    </row>
    <row r="26" spans="1:6" x14ac:dyDescent="0.3">
      <c r="A26" s="903"/>
      <c r="B26" s="904"/>
      <c r="C26" s="156"/>
      <c r="D26" s="165"/>
      <c r="E26" s="272"/>
      <c r="F26" s="271">
        <f t="shared" si="1"/>
        <v>0</v>
      </c>
    </row>
    <row r="27" spans="1:6" x14ac:dyDescent="0.3">
      <c r="A27" s="903"/>
      <c r="B27" s="904"/>
      <c r="C27" s="156"/>
      <c r="D27" s="165"/>
      <c r="E27" s="272"/>
      <c r="F27" s="271">
        <f t="shared" si="1"/>
        <v>0</v>
      </c>
    </row>
    <row r="28" spans="1:6" x14ac:dyDescent="0.3">
      <c r="A28" s="903"/>
      <c r="B28" s="904"/>
      <c r="C28" s="156"/>
      <c r="D28" s="156"/>
      <c r="E28" s="272"/>
      <c r="F28" s="271">
        <f t="shared" si="1"/>
        <v>0</v>
      </c>
    </row>
    <row r="29" spans="1:6" x14ac:dyDescent="0.3">
      <c r="A29" s="903"/>
      <c r="B29" s="904"/>
      <c r="C29" s="156"/>
      <c r="D29" s="156"/>
      <c r="E29" s="272"/>
      <c r="F29" s="271">
        <f t="shared" si="1"/>
        <v>0</v>
      </c>
    </row>
    <row r="30" spans="1:6" ht="16.2" thickBot="1" x14ac:dyDescent="0.35">
      <c r="A30" s="905"/>
      <c r="B30" s="906"/>
      <c r="C30" s="178"/>
      <c r="D30" s="178"/>
      <c r="E30" s="273"/>
      <c r="F30" s="274">
        <f t="shared" si="1"/>
        <v>0</v>
      </c>
    </row>
    <row r="31" spans="1:6" ht="16.2" thickBot="1" x14ac:dyDescent="0.35">
      <c r="A31" s="900" t="s">
        <v>84</v>
      </c>
      <c r="B31" s="900"/>
      <c r="C31" s="900"/>
      <c r="D31" s="900"/>
      <c r="E31" s="900"/>
      <c r="F31" s="168">
        <f>SUM(F24:F30)</f>
        <v>493450</v>
      </c>
    </row>
    <row r="32" spans="1:6" ht="16.8" thickTop="1" thickBot="1" x14ac:dyDescent="0.35">
      <c r="A32" s="103"/>
      <c r="B32" s="103"/>
      <c r="C32" s="103"/>
      <c r="D32" s="103"/>
      <c r="E32" s="103"/>
      <c r="F32" s="153"/>
    </row>
    <row r="33" spans="1:6" x14ac:dyDescent="0.3">
      <c r="A33" s="895" t="s">
        <v>85</v>
      </c>
      <c r="B33" s="896"/>
      <c r="C33" s="896"/>
      <c r="D33" s="896"/>
      <c r="E33" s="896"/>
      <c r="F33" s="897"/>
    </row>
    <row r="34" spans="1:6" ht="31.2" x14ac:dyDescent="0.3">
      <c r="A34" s="169" t="s">
        <v>86</v>
      </c>
      <c r="B34" s="156" t="s">
        <v>94</v>
      </c>
      <c r="C34" s="158" t="s">
        <v>96</v>
      </c>
      <c r="D34" s="158" t="s">
        <v>97</v>
      </c>
      <c r="E34" s="158" t="s">
        <v>95</v>
      </c>
      <c r="F34" s="160" t="s">
        <v>82</v>
      </c>
    </row>
    <row r="35" spans="1:6" ht="33.75" customHeight="1" x14ac:dyDescent="0.3">
      <c r="A35" s="275" t="s">
        <v>103</v>
      </c>
      <c r="B35" s="276"/>
      <c r="C35" s="158"/>
      <c r="D35" s="158"/>
      <c r="E35" s="158"/>
      <c r="F35" s="268">
        <v>5000</v>
      </c>
    </row>
    <row r="36" spans="1:6" ht="16.2" thickBot="1" x14ac:dyDescent="0.35">
      <c r="A36" s="171"/>
      <c r="B36" s="197"/>
      <c r="C36" s="163"/>
      <c r="D36" s="163"/>
      <c r="E36" s="163"/>
      <c r="F36" s="277">
        <f>C36*D36*E36</f>
        <v>0</v>
      </c>
    </row>
    <row r="37" spans="1:6" ht="16.2" thickBot="1" x14ac:dyDescent="0.35">
      <c r="A37" s="907" t="s">
        <v>90</v>
      </c>
      <c r="B37" s="907"/>
      <c r="C37" s="907"/>
      <c r="D37" s="907"/>
      <c r="E37" s="907"/>
      <c r="F37" s="164">
        <f>SUM(F35:F36)</f>
        <v>5000</v>
      </c>
    </row>
    <row r="38" spans="1:6" ht="16.8" thickTop="1" thickBot="1" x14ac:dyDescent="0.35">
      <c r="A38" s="103"/>
      <c r="B38" s="103"/>
      <c r="C38" s="103"/>
      <c r="D38" s="103"/>
      <c r="E38" s="103"/>
      <c r="F38" s="153"/>
    </row>
    <row r="39" spans="1:6" ht="15.75" customHeight="1" x14ac:dyDescent="0.3">
      <c r="A39" s="895" t="s">
        <v>91</v>
      </c>
      <c r="B39" s="896"/>
      <c r="C39" s="896"/>
      <c r="D39" s="896"/>
      <c r="E39" s="896"/>
      <c r="F39" s="897"/>
    </row>
    <row r="40" spans="1:6" ht="24.75" customHeight="1" x14ac:dyDescent="0.3">
      <c r="A40" s="891" t="s">
        <v>48</v>
      </c>
      <c r="B40" s="892"/>
      <c r="C40" s="156" t="s">
        <v>23</v>
      </c>
      <c r="D40" s="156" t="s">
        <v>378</v>
      </c>
      <c r="E40" s="156" t="s">
        <v>98</v>
      </c>
      <c r="F40" s="157" t="s">
        <v>79</v>
      </c>
    </row>
    <row r="41" spans="1:6" x14ac:dyDescent="0.3">
      <c r="A41" s="893" t="str">
        <f>M.O!B72</f>
        <v>MANO DE OBRA HIDRAULICA</v>
      </c>
      <c r="B41" s="894"/>
      <c r="C41" s="176" t="s">
        <v>43</v>
      </c>
      <c r="D41" s="177">
        <f>M.O!F79</f>
        <v>42319</v>
      </c>
      <c r="E41" s="156">
        <v>2</v>
      </c>
      <c r="F41" s="167">
        <f>D41*E41</f>
        <v>84638</v>
      </c>
    </row>
    <row r="42" spans="1:6" x14ac:dyDescent="0.3">
      <c r="A42" s="883"/>
      <c r="B42" s="884"/>
      <c r="C42" s="176"/>
      <c r="D42" s="156"/>
      <c r="E42" s="156"/>
      <c r="F42" s="167">
        <f t="shared" ref="F42:F44" si="2">D42*E42</f>
        <v>0</v>
      </c>
    </row>
    <row r="43" spans="1:6" x14ac:dyDescent="0.3">
      <c r="A43" s="883"/>
      <c r="B43" s="884"/>
      <c r="C43" s="156"/>
      <c r="D43" s="156"/>
      <c r="E43" s="156"/>
      <c r="F43" s="167">
        <f t="shared" si="2"/>
        <v>0</v>
      </c>
    </row>
    <row r="44" spans="1:6" ht="16.2" thickBot="1" x14ac:dyDescent="0.35">
      <c r="A44" s="898"/>
      <c r="B44" s="899"/>
      <c r="C44" s="178"/>
      <c r="D44" s="178"/>
      <c r="E44" s="178"/>
      <c r="F44" s="179">
        <f t="shared" si="2"/>
        <v>0</v>
      </c>
    </row>
    <row r="45" spans="1:6" ht="15.75" customHeight="1" thickBot="1" x14ac:dyDescent="0.35">
      <c r="A45" s="907" t="s">
        <v>92</v>
      </c>
      <c r="B45" s="907"/>
      <c r="C45" s="907"/>
      <c r="D45" s="907"/>
      <c r="E45" s="907"/>
      <c r="F45" s="175">
        <f>SUM(F41:F44)</f>
        <v>84638</v>
      </c>
    </row>
    <row r="46" spans="1:6" ht="16.2" thickTop="1" x14ac:dyDescent="0.3">
      <c r="A46" s="103"/>
      <c r="B46" s="103"/>
      <c r="C46" s="103"/>
      <c r="D46" s="103"/>
      <c r="E46" s="103"/>
      <c r="F46" s="153"/>
    </row>
    <row r="47" spans="1:6" ht="15.75" customHeight="1" thickBot="1" x14ac:dyDescent="0.35">
      <c r="A47" s="907" t="s">
        <v>93</v>
      </c>
      <c r="B47" s="907"/>
      <c r="C47" s="907"/>
      <c r="D47" s="907"/>
      <c r="E47" s="907"/>
      <c r="F47" s="180">
        <f>ROUND(SUM(F31+F45+F20+F37),0)</f>
        <v>587320</v>
      </c>
    </row>
    <row r="48" spans="1:6" ht="16.2" thickTop="1" x14ac:dyDescent="0.3">
      <c r="A48" s="103"/>
      <c r="B48" s="103"/>
      <c r="C48" s="103"/>
      <c r="D48" s="103"/>
      <c r="E48" s="103"/>
      <c r="F48" s="153"/>
    </row>
    <row r="49" spans="1:7" x14ac:dyDescent="0.3">
      <c r="A49" s="103"/>
      <c r="B49" s="103"/>
      <c r="C49" s="103"/>
      <c r="D49" s="103"/>
      <c r="E49" s="103"/>
      <c r="F49" s="15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9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0">
    <mergeCell ref="A51:B51"/>
    <mergeCell ref="D51:F51"/>
    <mergeCell ref="A52:B52"/>
    <mergeCell ref="D52:F52"/>
    <mergeCell ref="A31:E31"/>
    <mergeCell ref="A37:E37"/>
    <mergeCell ref="A39:F39"/>
    <mergeCell ref="A45:E45"/>
    <mergeCell ref="A47:E47"/>
    <mergeCell ref="A33:F33"/>
    <mergeCell ref="A40:B40"/>
    <mergeCell ref="A41:B41"/>
    <mergeCell ref="A42:B42"/>
    <mergeCell ref="A43:B43"/>
    <mergeCell ref="A44:B44"/>
    <mergeCell ref="A30:B30"/>
    <mergeCell ref="A14:B14"/>
    <mergeCell ref="A26:B26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25:B25"/>
    <mergeCell ref="A6:F6"/>
    <mergeCell ref="A1:F5"/>
    <mergeCell ref="A27:B27"/>
    <mergeCell ref="A28:B28"/>
    <mergeCell ref="A29:B29"/>
    <mergeCell ref="A13:F13"/>
    <mergeCell ref="A7:F7"/>
    <mergeCell ref="B9:D9"/>
    <mergeCell ref="E9:E10"/>
    <mergeCell ref="F9:F10"/>
    <mergeCell ref="B10:D10"/>
    <mergeCell ref="A10:A11"/>
  </mergeCells>
  <pageMargins left="0.7" right="0.7" top="0.75" bottom="0.75" header="0.3" footer="0.3"/>
  <pageSetup paperSize="9" scale="84" orientation="portrait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70">
    <tabColor rgb="FFFFFF00"/>
  </sheetPr>
  <dimension ref="A1:G53"/>
  <sheetViews>
    <sheetView view="pageBreakPreview" topLeftCell="A22" zoomScale="70" zoomScaleNormal="90" zoomScaleSheetLayoutView="70" workbookViewId="0">
      <selection activeCell="K49" sqref="K48:K49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(Entidad)'!C116</f>
        <v xml:space="preserve">APARATOS SANITARIOS </v>
      </c>
      <c r="C9" s="885"/>
      <c r="D9" s="885"/>
      <c r="E9" s="851" t="s">
        <v>74</v>
      </c>
      <c r="F9" s="917" t="str">
        <f>'PRESUPUESTO OFICIAL (Entidad)'!D118</f>
        <v>UND</v>
      </c>
    </row>
    <row r="10" spans="1:6" x14ac:dyDescent="0.3">
      <c r="A10" s="915" t="s">
        <v>75</v>
      </c>
      <c r="B10" s="887" t="str">
        <f>'PRESUPUESTO OFICIAL (Entidad)'!C118</f>
        <v>Suministro e instalación de Orinal color blanco.</v>
      </c>
      <c r="C10" s="887"/>
      <c r="D10" s="887"/>
      <c r="E10" s="851"/>
      <c r="F10" s="917"/>
    </row>
    <row r="11" spans="1:6" x14ac:dyDescent="0.3">
      <c r="A11" s="915"/>
      <c r="B11" s="210" t="s">
        <v>228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F46</f>
        <v>84638</v>
      </c>
      <c r="F15" s="268">
        <f t="shared" ref="F15:F19" si="0">D15*E15</f>
        <v>4231.9000000000005</v>
      </c>
    </row>
    <row r="16" spans="1: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4231.9000000000005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5" customHeight="1" x14ac:dyDescent="0.3">
      <c r="A24" s="903" t="s">
        <v>685</v>
      </c>
      <c r="B24" s="904"/>
      <c r="C24" s="156" t="s">
        <v>111</v>
      </c>
      <c r="D24" s="165">
        <v>0.5</v>
      </c>
      <c r="E24" s="256">
        <f>MAT!E61</f>
        <v>3000</v>
      </c>
      <c r="F24" s="271">
        <f>D24*E24</f>
        <v>1500</v>
      </c>
    </row>
    <row r="25" spans="1:6" ht="24.75" customHeight="1" x14ac:dyDescent="0.3">
      <c r="A25" s="903" t="s">
        <v>783</v>
      </c>
      <c r="B25" s="904"/>
      <c r="C25" s="156" t="s">
        <v>21</v>
      </c>
      <c r="D25" s="165">
        <v>1</v>
      </c>
      <c r="E25" s="256">
        <f>MAT!E99</f>
        <v>252500</v>
      </c>
      <c r="F25" s="271">
        <f t="shared" ref="F25:F31" si="1">D25*E25</f>
        <v>252500</v>
      </c>
    </row>
    <row r="26" spans="1:6" x14ac:dyDescent="0.3">
      <c r="A26" s="903" t="s">
        <v>784</v>
      </c>
      <c r="B26" s="904"/>
      <c r="C26" s="156" t="s">
        <v>21</v>
      </c>
      <c r="D26" s="156">
        <v>1</v>
      </c>
      <c r="E26" s="272">
        <f>MAT!E96</f>
        <v>6700</v>
      </c>
      <c r="F26" s="271">
        <f t="shared" si="1"/>
        <v>6700</v>
      </c>
    </row>
    <row r="27" spans="1:6" x14ac:dyDescent="0.3">
      <c r="A27" s="903"/>
      <c r="B27" s="904"/>
      <c r="C27" s="156"/>
      <c r="D27" s="156"/>
      <c r="E27" s="272"/>
      <c r="F27" s="271">
        <f t="shared" si="1"/>
        <v>0</v>
      </c>
    </row>
    <row r="28" spans="1:6" x14ac:dyDescent="0.3">
      <c r="A28" s="903"/>
      <c r="B28" s="904"/>
      <c r="C28" s="156"/>
      <c r="D28" s="156"/>
      <c r="E28" s="272"/>
      <c r="F28" s="271">
        <f t="shared" si="1"/>
        <v>0</v>
      </c>
    </row>
    <row r="29" spans="1:6" x14ac:dyDescent="0.3">
      <c r="A29" s="903"/>
      <c r="B29" s="904"/>
      <c r="C29" s="156"/>
      <c r="D29" s="156"/>
      <c r="E29" s="272"/>
      <c r="F29" s="271">
        <f t="shared" si="1"/>
        <v>0</v>
      </c>
    </row>
    <row r="30" spans="1:6" x14ac:dyDescent="0.3">
      <c r="A30" s="903"/>
      <c r="B30" s="904"/>
      <c r="C30" s="156"/>
      <c r="D30" s="156"/>
      <c r="E30" s="272"/>
      <c r="F30" s="271">
        <f t="shared" si="1"/>
        <v>0</v>
      </c>
    </row>
    <row r="31" spans="1:6" ht="16.2" thickBot="1" x14ac:dyDescent="0.35">
      <c r="A31" s="905"/>
      <c r="B31" s="906"/>
      <c r="C31" s="178"/>
      <c r="D31" s="178"/>
      <c r="E31" s="273"/>
      <c r="F31" s="274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260700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46.8" x14ac:dyDescent="0.3">
      <c r="A36" s="275" t="s">
        <v>104</v>
      </c>
      <c r="B36" s="276"/>
      <c r="C36" s="158"/>
      <c r="D36" s="158"/>
      <c r="E36" s="158"/>
      <c r="F36" s="160">
        <v>5000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64">
        <f>SUM(F36:F37)</f>
        <v>5000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M.O!B72</f>
        <v>MANO DE OBRA HIDRAULICA</v>
      </c>
      <c r="B42" s="894"/>
      <c r="C42" s="176" t="s">
        <v>43</v>
      </c>
      <c r="D42" s="177">
        <f>M.O!F79</f>
        <v>42319</v>
      </c>
      <c r="E42" s="156">
        <v>2</v>
      </c>
      <c r="F42" s="167">
        <f>D42*E42</f>
        <v>84638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84638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354570</v>
      </c>
    </row>
    <row r="49" spans="1:7" ht="15.75" customHeight="1" thickTop="1" x14ac:dyDescent="0.3">
      <c r="A49" s="174"/>
      <c r="B49" s="174"/>
      <c r="C49" s="174"/>
      <c r="D49" s="174"/>
      <c r="E49" s="174"/>
      <c r="F49" s="278"/>
    </row>
    <row r="50" spans="1:7" ht="15.75" customHeight="1" x14ac:dyDescent="0.3">
      <c r="A50" s="174"/>
      <c r="B50" s="174"/>
      <c r="C50" s="174"/>
      <c r="D50" s="174"/>
      <c r="E50" s="174"/>
      <c r="F50" s="278"/>
    </row>
    <row r="51" spans="1:7" x14ac:dyDescent="0.3">
      <c r="A51" s="103"/>
      <c r="B51" s="103"/>
      <c r="C51" s="103"/>
      <c r="D51" s="103"/>
      <c r="E51" s="103"/>
      <c r="F51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48:E48"/>
    <mergeCell ref="A34:F34"/>
    <mergeCell ref="A28:B28"/>
    <mergeCell ref="A29:B29"/>
    <mergeCell ref="A30:B30"/>
    <mergeCell ref="A31:B31"/>
    <mergeCell ref="A32:E32"/>
    <mergeCell ref="A38:E38"/>
    <mergeCell ref="A40:F40"/>
    <mergeCell ref="A46:E46"/>
    <mergeCell ref="A41:B41"/>
    <mergeCell ref="A42:B42"/>
    <mergeCell ref="A43:B43"/>
    <mergeCell ref="A44:B44"/>
    <mergeCell ref="A45:B45"/>
    <mergeCell ref="A19:B19"/>
    <mergeCell ref="A20:E20"/>
    <mergeCell ref="A22:F22"/>
    <mergeCell ref="A23:B23"/>
    <mergeCell ref="A24:B24"/>
    <mergeCell ref="A25:B25"/>
    <mergeCell ref="A26:B26"/>
    <mergeCell ref="A27:B27"/>
    <mergeCell ref="A1:F5"/>
    <mergeCell ref="A53:B53"/>
    <mergeCell ref="D53:F53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0" orientation="portrait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66">
    <tabColor rgb="FFFFFF00"/>
  </sheetPr>
  <dimension ref="A1:G53"/>
  <sheetViews>
    <sheetView view="pageBreakPreview" topLeftCell="A22" zoomScale="70" zoomScaleNormal="9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(Entidad)'!C121</f>
        <v>ENCHAPES</v>
      </c>
      <c r="C9" s="885"/>
      <c r="D9" s="885"/>
      <c r="E9" s="851" t="s">
        <v>74</v>
      </c>
      <c r="F9" s="917" t="str">
        <f>'PRESUPUESTO OFICIAL (Entidad)'!D122</f>
        <v>M2</v>
      </c>
    </row>
    <row r="10" spans="1:6" ht="19.5" customHeight="1" x14ac:dyDescent="0.3">
      <c r="A10" s="915" t="s">
        <v>75</v>
      </c>
      <c r="B10" s="887" t="str">
        <f>'PRESUPUESTO OFICIAL (Entidad)'!C122</f>
        <v>Suministro e instalacion de Enchape de pares 0,20 x 0,25.</v>
      </c>
      <c r="C10" s="887"/>
      <c r="D10" s="887"/>
      <c r="E10" s="851"/>
      <c r="F10" s="917"/>
    </row>
    <row r="11" spans="1:6" x14ac:dyDescent="0.3">
      <c r="A11" s="915"/>
      <c r="B11" s="210" t="s">
        <v>232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F45</f>
        <v>26930.399999999998</v>
      </c>
      <c r="F15" s="186">
        <f t="shared" ref="F15:F19" si="0">D15*E15</f>
        <v>1346.52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6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1346.52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5.75" customHeight="1" x14ac:dyDescent="0.3">
      <c r="A24" s="903" t="s">
        <v>786</v>
      </c>
      <c r="B24" s="904"/>
      <c r="C24" s="87" t="s">
        <v>8</v>
      </c>
      <c r="D24" s="156">
        <v>1.05</v>
      </c>
      <c r="E24" s="213">
        <f>MAT!E63</f>
        <v>125800</v>
      </c>
      <c r="F24" s="167">
        <f t="shared" ref="F24:F30" si="1">D24*E24</f>
        <v>132090</v>
      </c>
    </row>
    <row r="25" spans="1:6" ht="15.75" customHeight="1" x14ac:dyDescent="0.3">
      <c r="A25" s="903" t="s">
        <v>629</v>
      </c>
      <c r="B25" s="904"/>
      <c r="C25" s="156" t="s">
        <v>111</v>
      </c>
      <c r="D25" s="165">
        <v>0.2</v>
      </c>
      <c r="E25" s="213">
        <f>MAT!E50</f>
        <v>5750</v>
      </c>
      <c r="F25" s="167">
        <f t="shared" si="1"/>
        <v>1150</v>
      </c>
    </row>
    <row r="26" spans="1:6" ht="15.75" customHeight="1" x14ac:dyDescent="0.3">
      <c r="A26" s="903" t="s">
        <v>452</v>
      </c>
      <c r="B26" s="904"/>
      <c r="C26" s="156" t="s">
        <v>111</v>
      </c>
      <c r="D26" s="165">
        <v>0.4</v>
      </c>
      <c r="E26" s="213">
        <f>MAT!E102</f>
        <v>14900</v>
      </c>
      <c r="F26" s="167">
        <f t="shared" si="1"/>
        <v>5960</v>
      </c>
    </row>
    <row r="27" spans="1:6" x14ac:dyDescent="0.3">
      <c r="A27" s="903"/>
      <c r="B27" s="904"/>
      <c r="C27" s="156"/>
      <c r="D27" s="156"/>
      <c r="E27" s="262"/>
      <c r="F27" s="167">
        <f t="shared" si="1"/>
        <v>0</v>
      </c>
    </row>
    <row r="28" spans="1:6" x14ac:dyDescent="0.3">
      <c r="A28" s="903"/>
      <c r="B28" s="904"/>
      <c r="C28" s="156"/>
      <c r="D28" s="156"/>
      <c r="E28" s="262"/>
      <c r="F28" s="167">
        <f t="shared" si="1"/>
        <v>0</v>
      </c>
    </row>
    <row r="29" spans="1:6" x14ac:dyDescent="0.3">
      <c r="A29" s="903"/>
      <c r="B29" s="904"/>
      <c r="C29" s="156"/>
      <c r="D29" s="156"/>
      <c r="E29" s="262"/>
      <c r="F29" s="167">
        <f t="shared" si="1"/>
        <v>0</v>
      </c>
    </row>
    <row r="30" spans="1:6" ht="16.2" thickBot="1" x14ac:dyDescent="0.35">
      <c r="A30" s="905"/>
      <c r="B30" s="906"/>
      <c r="C30" s="178"/>
      <c r="D30" s="178"/>
      <c r="E30" s="251"/>
      <c r="F30" s="179">
        <f t="shared" si="1"/>
        <v>0</v>
      </c>
    </row>
    <row r="31" spans="1:6" ht="16.2" thickBot="1" x14ac:dyDescent="0.35">
      <c r="A31" s="900" t="s">
        <v>84</v>
      </c>
      <c r="B31" s="900"/>
      <c r="C31" s="900"/>
      <c r="D31" s="900"/>
      <c r="E31" s="900"/>
      <c r="F31" s="168">
        <f>SUM(F24:F30)</f>
        <v>139200</v>
      </c>
    </row>
    <row r="32" spans="1:6" ht="16.8" thickTop="1" thickBot="1" x14ac:dyDescent="0.35">
      <c r="A32" s="103"/>
      <c r="B32" s="103"/>
      <c r="C32" s="103"/>
      <c r="D32" s="103"/>
      <c r="E32" s="103"/>
      <c r="F32" s="153"/>
    </row>
    <row r="33" spans="1:6" x14ac:dyDescent="0.3">
      <c r="A33" s="895" t="s">
        <v>85</v>
      </c>
      <c r="B33" s="896"/>
      <c r="C33" s="896"/>
      <c r="D33" s="896"/>
      <c r="E33" s="896"/>
      <c r="F33" s="897"/>
    </row>
    <row r="34" spans="1:6" ht="31.2" x14ac:dyDescent="0.3">
      <c r="A34" s="169" t="s">
        <v>86</v>
      </c>
      <c r="B34" s="156" t="s">
        <v>94</v>
      </c>
      <c r="C34" s="158" t="s">
        <v>96</v>
      </c>
      <c r="D34" s="158" t="s">
        <v>97</v>
      </c>
      <c r="E34" s="158" t="s">
        <v>95</v>
      </c>
      <c r="F34" s="160" t="s">
        <v>82</v>
      </c>
    </row>
    <row r="35" spans="1:6" x14ac:dyDescent="0.3">
      <c r="A35" s="169"/>
      <c r="B35" s="111"/>
      <c r="C35" s="158"/>
      <c r="D35" s="158"/>
      <c r="E35" s="158"/>
      <c r="F35" s="186">
        <f>C35*D35*E35</f>
        <v>0</v>
      </c>
    </row>
    <row r="36" spans="1:6" ht="16.2" thickBot="1" x14ac:dyDescent="0.35">
      <c r="A36" s="171"/>
      <c r="B36" s="197"/>
      <c r="C36" s="163"/>
      <c r="D36" s="163"/>
      <c r="E36" s="163"/>
      <c r="F36" s="190">
        <f>C36*D36*E36</f>
        <v>0</v>
      </c>
    </row>
    <row r="37" spans="1:6" ht="15.75" customHeight="1" thickBot="1" x14ac:dyDescent="0.35">
      <c r="A37" s="907" t="s">
        <v>90</v>
      </c>
      <c r="B37" s="907"/>
      <c r="C37" s="907"/>
      <c r="D37" s="907"/>
      <c r="E37" s="907"/>
      <c r="F37" s="198">
        <f>SUM(F35:F36)</f>
        <v>0</v>
      </c>
    </row>
    <row r="38" spans="1:6" ht="16.8" thickTop="1" thickBot="1" x14ac:dyDescent="0.35">
      <c r="A38" s="103"/>
      <c r="B38" s="103"/>
      <c r="C38" s="103"/>
      <c r="D38" s="103"/>
      <c r="E38" s="103"/>
      <c r="F38" s="153"/>
    </row>
    <row r="39" spans="1:6" x14ac:dyDescent="0.3">
      <c r="A39" s="895" t="s">
        <v>91</v>
      </c>
      <c r="B39" s="896"/>
      <c r="C39" s="896"/>
      <c r="D39" s="896"/>
      <c r="E39" s="896"/>
      <c r="F39" s="897"/>
    </row>
    <row r="40" spans="1:6" x14ac:dyDescent="0.3">
      <c r="A40" s="891" t="s">
        <v>48</v>
      </c>
      <c r="B40" s="892"/>
      <c r="C40" s="156" t="s">
        <v>23</v>
      </c>
      <c r="D40" s="156" t="s">
        <v>378</v>
      </c>
      <c r="E40" s="156" t="s">
        <v>98</v>
      </c>
      <c r="F40" s="157" t="s">
        <v>79</v>
      </c>
    </row>
    <row r="41" spans="1:6" x14ac:dyDescent="0.3">
      <c r="A41" s="893" t="str">
        <f>M.O!B63</f>
        <v>MANO DE OBRA A (1 OF Y 1 AYUD)</v>
      </c>
      <c r="B41" s="894"/>
      <c r="C41" s="176" t="s">
        <v>43</v>
      </c>
      <c r="D41" s="177">
        <f>M.O!F70</f>
        <v>38472</v>
      </c>
      <c r="E41" s="156">
        <v>0.7</v>
      </c>
      <c r="F41" s="167">
        <f>D41*E41</f>
        <v>26930.399999999998</v>
      </c>
    </row>
    <row r="42" spans="1:6" x14ac:dyDescent="0.3">
      <c r="A42" s="883"/>
      <c r="B42" s="884"/>
      <c r="C42" s="176"/>
      <c r="D42" s="156"/>
      <c r="E42" s="156"/>
      <c r="F42" s="167">
        <f t="shared" ref="F42:F44" si="2">D42*E42</f>
        <v>0</v>
      </c>
    </row>
    <row r="43" spans="1:6" x14ac:dyDescent="0.3">
      <c r="A43" s="883"/>
      <c r="B43" s="884"/>
      <c r="C43" s="156"/>
      <c r="D43" s="156"/>
      <c r="E43" s="156"/>
      <c r="F43" s="167">
        <f t="shared" si="2"/>
        <v>0</v>
      </c>
    </row>
    <row r="44" spans="1:6" ht="16.2" thickBot="1" x14ac:dyDescent="0.35">
      <c r="A44" s="898"/>
      <c r="B44" s="899"/>
      <c r="C44" s="178"/>
      <c r="D44" s="178"/>
      <c r="E44" s="178"/>
      <c r="F44" s="179">
        <f t="shared" si="2"/>
        <v>0</v>
      </c>
    </row>
    <row r="45" spans="1:6" ht="15.75" customHeight="1" thickBot="1" x14ac:dyDescent="0.35">
      <c r="A45" s="907" t="s">
        <v>92</v>
      </c>
      <c r="B45" s="907"/>
      <c r="C45" s="907"/>
      <c r="D45" s="907"/>
      <c r="E45" s="907"/>
      <c r="F45" s="175">
        <f>SUM(F41:F44)</f>
        <v>26930.399999999998</v>
      </c>
    </row>
    <row r="46" spans="1:6" ht="16.2" thickTop="1" x14ac:dyDescent="0.3">
      <c r="A46" s="103"/>
      <c r="B46" s="103"/>
      <c r="C46" s="103"/>
      <c r="D46" s="103"/>
      <c r="E46" s="103"/>
      <c r="F46" s="153"/>
    </row>
    <row r="47" spans="1:6" ht="15.75" customHeight="1" thickBot="1" x14ac:dyDescent="0.35">
      <c r="A47" s="907" t="s">
        <v>93</v>
      </c>
      <c r="B47" s="907"/>
      <c r="C47" s="907"/>
      <c r="D47" s="907"/>
      <c r="E47" s="907"/>
      <c r="F47" s="180">
        <f>ROUND(SUM(F31+F45+F20+F37),0)</f>
        <v>167477</v>
      </c>
    </row>
    <row r="48" spans="1:6" ht="16.2" thickTop="1" x14ac:dyDescent="0.3">
      <c r="A48" s="103"/>
      <c r="B48" s="103"/>
      <c r="C48" s="103"/>
      <c r="D48" s="103"/>
      <c r="E48" s="103"/>
      <c r="F48" s="153"/>
    </row>
    <row r="49" spans="1:7" x14ac:dyDescent="0.3">
      <c r="A49" s="103"/>
      <c r="B49" s="103"/>
      <c r="C49" s="103"/>
      <c r="D49" s="103"/>
      <c r="E49" s="103"/>
      <c r="F49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0">
    <mergeCell ref="D52:F52"/>
    <mergeCell ref="A53:B53"/>
    <mergeCell ref="A39:F39"/>
    <mergeCell ref="A45:E45"/>
    <mergeCell ref="A47:E47"/>
    <mergeCell ref="A44:B44"/>
    <mergeCell ref="D53:F53"/>
    <mergeCell ref="A40:B40"/>
    <mergeCell ref="A41:B41"/>
    <mergeCell ref="A42:B42"/>
    <mergeCell ref="A43:B43"/>
    <mergeCell ref="A52:B52"/>
    <mergeCell ref="A31:E31"/>
    <mergeCell ref="A37:E37"/>
    <mergeCell ref="A27:B27"/>
    <mergeCell ref="A28:B28"/>
    <mergeCell ref="A29:B29"/>
    <mergeCell ref="A30:B30"/>
    <mergeCell ref="A33:F33"/>
    <mergeCell ref="A20:E20"/>
    <mergeCell ref="A22:F22"/>
    <mergeCell ref="A23:B23"/>
    <mergeCell ref="A24:B24"/>
    <mergeCell ref="A25:B25"/>
    <mergeCell ref="A14:B14"/>
    <mergeCell ref="A26:B26"/>
    <mergeCell ref="A15:B15"/>
    <mergeCell ref="A16:B16"/>
    <mergeCell ref="A1:F5"/>
    <mergeCell ref="A13:F13"/>
    <mergeCell ref="A7:F7"/>
    <mergeCell ref="B9:D9"/>
    <mergeCell ref="E9:E10"/>
    <mergeCell ref="F9:F10"/>
    <mergeCell ref="B10:D10"/>
    <mergeCell ref="A10:A11"/>
    <mergeCell ref="A6:F6"/>
    <mergeCell ref="A17:B17"/>
    <mergeCell ref="A18:B18"/>
    <mergeCell ref="A19:B19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68"/>
  <dimension ref="A1:G53"/>
  <sheetViews>
    <sheetView view="pageBreakPreview" topLeftCell="A28" zoomScale="70" zoomScaleNormal="90" zoomScaleSheetLayoutView="70" workbookViewId="0">
      <selection activeCell="J54" sqref="J5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(Entidad)'!C121</f>
        <v>ENCHAPES</v>
      </c>
      <c r="C9" s="885"/>
      <c r="D9" s="885"/>
      <c r="E9" s="851" t="s">
        <v>74</v>
      </c>
      <c r="F9" s="917" t="str">
        <f>'PRESUPUESTO OFICIAL (Entidad)'!D126</f>
        <v>M2</v>
      </c>
    </row>
    <row r="10" spans="1:6" x14ac:dyDescent="0.3">
      <c r="A10" s="915" t="s">
        <v>75</v>
      </c>
      <c r="B10" s="887" t="str">
        <f>'PRESUPUESTO OFICIAL (Entidad)'!C126</f>
        <v>Suministro e instalacion de Espejo flotado 4mm.</v>
      </c>
      <c r="C10" s="887"/>
      <c r="D10" s="887"/>
      <c r="E10" s="851"/>
      <c r="F10" s="917"/>
    </row>
    <row r="11" spans="1:6" x14ac:dyDescent="0.3">
      <c r="A11" s="915"/>
      <c r="B11" s="210" t="s">
        <v>682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F46</f>
        <v>30777.600000000002</v>
      </c>
      <c r="F15" s="268">
        <f t="shared" ref="F15:F19" si="0">D15*E15</f>
        <v>1538.88</v>
      </c>
    </row>
    <row r="16" spans="1:6" ht="15.75" customHeight="1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1538.88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787</v>
      </c>
      <c r="B24" s="904"/>
      <c r="C24" s="156" t="s">
        <v>8</v>
      </c>
      <c r="D24" s="165">
        <v>1</v>
      </c>
      <c r="E24" s="256">
        <f>MAT!E79</f>
        <v>179900</v>
      </c>
      <c r="F24" s="271">
        <f>D24*E24</f>
        <v>179900</v>
      </c>
    </row>
    <row r="25" spans="1:6" x14ac:dyDescent="0.3">
      <c r="A25" s="903" t="s">
        <v>524</v>
      </c>
      <c r="B25" s="904"/>
      <c r="C25" s="156" t="s">
        <v>19</v>
      </c>
      <c r="D25" s="165">
        <v>0.2</v>
      </c>
      <c r="E25" s="256">
        <f>MAT!E101</f>
        <v>18916.666666666664</v>
      </c>
      <c r="F25" s="271">
        <f t="shared" ref="F25:F31" si="1">D25*E25</f>
        <v>3783.333333333333</v>
      </c>
    </row>
    <row r="26" spans="1:6" x14ac:dyDescent="0.3">
      <c r="A26" s="903" t="s">
        <v>686</v>
      </c>
      <c r="B26" s="904"/>
      <c r="C26" s="156" t="s">
        <v>21</v>
      </c>
      <c r="D26" s="165">
        <v>4</v>
      </c>
      <c r="E26" s="256">
        <f>MAT!E66</f>
        <v>350</v>
      </c>
      <c r="F26" s="271">
        <f t="shared" si="1"/>
        <v>1400</v>
      </c>
    </row>
    <row r="27" spans="1:6" x14ac:dyDescent="0.3">
      <c r="A27" s="903"/>
      <c r="B27" s="904"/>
      <c r="C27" s="156"/>
      <c r="D27" s="165"/>
      <c r="E27" s="272"/>
      <c r="F27" s="271">
        <f t="shared" si="1"/>
        <v>0</v>
      </c>
    </row>
    <row r="28" spans="1:6" x14ac:dyDescent="0.3">
      <c r="A28" s="903"/>
      <c r="B28" s="904"/>
      <c r="C28" s="156"/>
      <c r="D28" s="156"/>
      <c r="E28" s="272"/>
      <c r="F28" s="271">
        <f t="shared" si="1"/>
        <v>0</v>
      </c>
    </row>
    <row r="29" spans="1:6" x14ac:dyDescent="0.3">
      <c r="A29" s="903"/>
      <c r="B29" s="904"/>
      <c r="C29" s="156"/>
      <c r="D29" s="156"/>
      <c r="E29" s="272"/>
      <c r="F29" s="271">
        <f t="shared" si="1"/>
        <v>0</v>
      </c>
    </row>
    <row r="30" spans="1:6" x14ac:dyDescent="0.3">
      <c r="A30" s="903"/>
      <c r="B30" s="904"/>
      <c r="C30" s="156"/>
      <c r="D30" s="156"/>
      <c r="E30" s="272"/>
      <c r="F30" s="271">
        <f t="shared" si="1"/>
        <v>0</v>
      </c>
    </row>
    <row r="31" spans="1:6" ht="16.2" thickBot="1" x14ac:dyDescent="0.35">
      <c r="A31" s="905"/>
      <c r="B31" s="906"/>
      <c r="C31" s="178"/>
      <c r="D31" s="178"/>
      <c r="E31" s="273"/>
      <c r="F31" s="274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185083.33333333334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0.8</v>
      </c>
      <c r="F42" s="167">
        <f>D42*E42</f>
        <v>30777.600000000002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30777.600000000002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217400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25:B25"/>
    <mergeCell ref="A41:B41"/>
    <mergeCell ref="A42:B42"/>
    <mergeCell ref="A26:B26"/>
    <mergeCell ref="A31:B31"/>
    <mergeCell ref="A32:E32"/>
    <mergeCell ref="A38:E38"/>
    <mergeCell ref="A40:F40"/>
    <mergeCell ref="A34:F34"/>
    <mergeCell ref="A28:B28"/>
    <mergeCell ref="A29:B29"/>
    <mergeCell ref="A30:B30"/>
    <mergeCell ref="A27:B27"/>
    <mergeCell ref="A19:B19"/>
    <mergeCell ref="A20:E20"/>
    <mergeCell ref="A22:F22"/>
    <mergeCell ref="A23:B23"/>
    <mergeCell ref="A24:B24"/>
    <mergeCell ref="A1:F5"/>
    <mergeCell ref="A15:B15"/>
    <mergeCell ref="A16:B16"/>
    <mergeCell ref="A17:B17"/>
    <mergeCell ref="A18:B18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53:B53"/>
    <mergeCell ref="D53:F53"/>
    <mergeCell ref="A43:B43"/>
    <mergeCell ref="A44:B44"/>
    <mergeCell ref="A45:B45"/>
    <mergeCell ref="A52:B52"/>
    <mergeCell ref="D52:F52"/>
    <mergeCell ref="A46:E46"/>
    <mergeCell ref="A48:E48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71">
    <tabColor rgb="FFFFFF00"/>
  </sheetPr>
  <dimension ref="A1:G53"/>
  <sheetViews>
    <sheetView view="pageBreakPreview" topLeftCell="A25" zoomScale="70" zoomScaleNormal="90" zoomScaleSheetLayoutView="70" workbookViewId="0">
      <selection activeCell="C52" sqref="C52"/>
    </sheetView>
  </sheetViews>
  <sheetFormatPr baseColWidth="10" defaultColWidth="11.44140625" defaultRowHeight="13.8" x14ac:dyDescent="0.25"/>
  <cols>
    <col min="1" max="1" width="14" style="2" customWidth="1"/>
    <col min="2" max="2" width="23" style="2" customWidth="1"/>
    <col min="3" max="3" width="14.33203125" style="2" customWidth="1"/>
    <col min="4" max="4" width="14.6640625" style="2" customWidth="1"/>
    <col min="5" max="5" width="14.5546875" style="2" customWidth="1"/>
    <col min="6" max="6" width="13.88671875" style="152" customWidth="1"/>
    <col min="7" max="16384" width="11.44140625" style="2"/>
  </cols>
  <sheetData>
    <row r="1" spans="1:6" x14ac:dyDescent="0.25">
      <c r="A1" s="741"/>
      <c r="B1" s="741"/>
      <c r="C1" s="741"/>
      <c r="D1" s="741"/>
      <c r="E1" s="741"/>
      <c r="F1" s="741"/>
    </row>
    <row r="2" spans="1:6" x14ac:dyDescent="0.25">
      <c r="A2" s="741"/>
      <c r="B2" s="741"/>
      <c r="C2" s="741"/>
      <c r="D2" s="741"/>
      <c r="E2" s="741"/>
      <c r="F2" s="741"/>
    </row>
    <row r="3" spans="1:6" x14ac:dyDescent="0.25">
      <c r="A3" s="741"/>
      <c r="B3" s="741"/>
      <c r="C3" s="741"/>
      <c r="D3" s="741"/>
      <c r="E3" s="741"/>
      <c r="F3" s="741"/>
    </row>
    <row r="4" spans="1:6" x14ac:dyDescent="0.25">
      <c r="A4" s="741"/>
      <c r="B4" s="741"/>
      <c r="C4" s="741"/>
      <c r="D4" s="741"/>
      <c r="E4" s="741"/>
      <c r="F4" s="741"/>
    </row>
    <row r="5" spans="1:6" x14ac:dyDescent="0.25">
      <c r="A5" s="741"/>
      <c r="B5" s="741"/>
      <c r="C5" s="741"/>
      <c r="D5" s="741"/>
      <c r="E5" s="741"/>
      <c r="F5" s="741"/>
    </row>
    <row r="6" spans="1:6" ht="15.6" x14ac:dyDescent="0.3">
      <c r="A6" s="741"/>
      <c r="B6" s="741"/>
      <c r="C6" s="741"/>
      <c r="D6" s="741"/>
      <c r="E6" s="741"/>
      <c r="F6" s="74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'PRESUPUESTO OFICIAL (Entidad)'!C127</f>
        <v>CARPINTERIA</v>
      </c>
      <c r="C9" s="885"/>
      <c r="D9" s="885"/>
      <c r="E9" s="851" t="s">
        <v>74</v>
      </c>
      <c r="F9" s="917" t="str">
        <f>'PRESUPUESTO OFICIAL (Entidad)'!D128</f>
        <v>UND</v>
      </c>
    </row>
    <row r="10" spans="1:6" ht="51" customHeight="1" x14ac:dyDescent="0.3">
      <c r="A10" s="915" t="s">
        <v>75</v>
      </c>
      <c r="B10" s="922" t="str">
        <f>'PRESUPUESTO OFICIAL (Entidad)'!C128</f>
        <v>Suministro e instalación de Marco y Puerta en lamina Galvanizada C.18 de 0,70 x 1,60m. Incluye anticorrosivo y pintura.</v>
      </c>
      <c r="C10" s="922"/>
      <c r="D10" s="922"/>
      <c r="E10" s="851"/>
      <c r="F10" s="917"/>
    </row>
    <row r="11" spans="1:6" ht="15.6" x14ac:dyDescent="0.3">
      <c r="A11" s="915"/>
      <c r="B11" s="210" t="s">
        <v>234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25">
      <c r="A13" s="888" t="s">
        <v>76</v>
      </c>
      <c r="B13" s="889"/>
      <c r="C13" s="889"/>
      <c r="D13" s="889"/>
      <c r="E13" s="889"/>
      <c r="F13" s="890"/>
    </row>
    <row r="14" spans="1:6" s="151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6.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F46</f>
        <v>157735.19999999998</v>
      </c>
      <c r="F15" s="268">
        <f t="shared" ref="F15:F19" si="0">D15*E15</f>
        <v>7886.7599999999993</v>
      </c>
    </row>
    <row r="16" spans="1:6" ht="15.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ht="15.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ht="15.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7886.7599999999993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ht="15.6" x14ac:dyDescent="0.3">
      <c r="A22" s="895" t="s">
        <v>81</v>
      </c>
      <c r="B22" s="896"/>
      <c r="C22" s="896"/>
      <c r="D22" s="896"/>
      <c r="E22" s="896"/>
      <c r="F22" s="897"/>
    </row>
    <row r="23" spans="1:6" s="151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ht="16.5" customHeight="1" x14ac:dyDescent="0.3">
      <c r="A24" s="1006" t="s">
        <v>791</v>
      </c>
      <c r="B24" s="1007"/>
      <c r="C24" s="316" t="s">
        <v>21</v>
      </c>
      <c r="D24" s="156">
        <v>3</v>
      </c>
      <c r="E24" s="256">
        <f>MAT!E48</f>
        <v>3250</v>
      </c>
      <c r="F24" s="271">
        <f>D24*E24</f>
        <v>9750</v>
      </c>
    </row>
    <row r="25" spans="1:6" ht="16.5" customHeight="1" x14ac:dyDescent="0.3">
      <c r="A25" s="1008" t="s">
        <v>792</v>
      </c>
      <c r="B25" s="1009"/>
      <c r="C25" s="316" t="s">
        <v>21</v>
      </c>
      <c r="D25" s="165">
        <v>2</v>
      </c>
      <c r="E25" s="256">
        <f>MAT!E87</f>
        <v>92450</v>
      </c>
      <c r="F25" s="271">
        <f t="shared" ref="F25:F31" si="1">D25*E25</f>
        <v>184900</v>
      </c>
    </row>
    <row r="26" spans="1:6" ht="16.5" customHeight="1" x14ac:dyDescent="0.3">
      <c r="A26" s="1008" t="s">
        <v>793</v>
      </c>
      <c r="B26" s="1009"/>
      <c r="C26" s="316" t="s">
        <v>19</v>
      </c>
      <c r="D26" s="165">
        <v>6.1</v>
      </c>
      <c r="E26" s="256">
        <f>MAT!E104</f>
        <v>6158.3333333333339</v>
      </c>
      <c r="F26" s="271">
        <f t="shared" si="1"/>
        <v>37565.833333333336</v>
      </c>
    </row>
    <row r="27" spans="1:6" ht="16.5" customHeight="1" x14ac:dyDescent="0.3">
      <c r="A27" s="980" t="s">
        <v>766</v>
      </c>
      <c r="B27" s="981"/>
      <c r="C27" s="156" t="s">
        <v>111</v>
      </c>
      <c r="D27" s="165">
        <v>0.13</v>
      </c>
      <c r="E27" s="256">
        <f>MAT!E116</f>
        <v>21666.666666666668</v>
      </c>
      <c r="F27" s="271">
        <f t="shared" si="1"/>
        <v>2816.666666666667</v>
      </c>
    </row>
    <row r="28" spans="1:6" ht="15.6" x14ac:dyDescent="0.3">
      <c r="A28" s="1006" t="s">
        <v>571</v>
      </c>
      <c r="B28" s="1007"/>
      <c r="C28" s="316" t="s">
        <v>422</v>
      </c>
      <c r="D28" s="165">
        <v>0.15</v>
      </c>
      <c r="E28" s="256">
        <f>MAT!E47</f>
        <v>55913.166666666664</v>
      </c>
      <c r="F28" s="271">
        <f t="shared" si="1"/>
        <v>8386.9749999999985</v>
      </c>
    </row>
    <row r="29" spans="1:6" ht="15.6" x14ac:dyDescent="0.3">
      <c r="A29" s="1004" t="s">
        <v>794</v>
      </c>
      <c r="B29" s="1005"/>
      <c r="C29" s="317" t="s">
        <v>21</v>
      </c>
      <c r="D29" s="165">
        <v>1</v>
      </c>
      <c r="E29" s="256">
        <f>MAT!E100</f>
        <v>8000</v>
      </c>
      <c r="F29" s="271">
        <f t="shared" si="1"/>
        <v>8000</v>
      </c>
    </row>
    <row r="30" spans="1:6" ht="15.6" x14ac:dyDescent="0.3">
      <c r="A30" s="1006" t="s">
        <v>605</v>
      </c>
      <c r="B30" s="1007"/>
      <c r="C30" s="88" t="s">
        <v>422</v>
      </c>
      <c r="D30" s="165">
        <v>0.15</v>
      </c>
      <c r="E30" s="256">
        <f>MAT!E78</f>
        <v>71500</v>
      </c>
      <c r="F30" s="271">
        <f t="shared" si="1"/>
        <v>10725</v>
      </c>
    </row>
    <row r="31" spans="1:6" ht="16.2" thickBot="1" x14ac:dyDescent="0.35">
      <c r="A31" s="1010" t="s">
        <v>795</v>
      </c>
      <c r="B31" s="1011"/>
      <c r="C31" s="318" t="s">
        <v>422</v>
      </c>
      <c r="D31" s="178">
        <v>0.4</v>
      </c>
      <c r="E31" s="321">
        <f>MAT!E77</f>
        <v>27605.040000000001</v>
      </c>
      <c r="F31" s="274">
        <f t="shared" si="1"/>
        <v>11042.016000000001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273186.49099999998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268">
        <v>10000</v>
      </c>
    </row>
    <row r="37" spans="1:6" ht="16.2" thickBot="1" x14ac:dyDescent="0.35">
      <c r="A37" s="171"/>
      <c r="B37" s="197"/>
      <c r="C37" s="163"/>
      <c r="D37" s="163"/>
      <c r="E37" s="163"/>
      <c r="F37" s="277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64">
        <f>SUM(F36:F37)</f>
        <v>10000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6.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25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4.0999999999999996</v>
      </c>
      <c r="F42" s="167">
        <f>D42*E42</f>
        <v>157735.19999999998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157735.19999999998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448808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856" t="s">
        <v>120</v>
      </c>
      <c r="B52" s="856"/>
      <c r="C52" s="1"/>
      <c r="D52" s="856" t="s">
        <v>122</v>
      </c>
      <c r="E52" s="856"/>
      <c r="F52" s="856"/>
      <c r="G52" s="247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</row>
  </sheetData>
  <mergeCells count="41">
    <mergeCell ref="A52:B52"/>
    <mergeCell ref="D52:F52"/>
    <mergeCell ref="A48:E48"/>
    <mergeCell ref="A34:F34"/>
    <mergeCell ref="A28:B28"/>
    <mergeCell ref="A29:B29"/>
    <mergeCell ref="A30:B30"/>
    <mergeCell ref="A31:B31"/>
    <mergeCell ref="A32:E32"/>
    <mergeCell ref="A38:E38"/>
    <mergeCell ref="A40:F40"/>
    <mergeCell ref="A46:E46"/>
    <mergeCell ref="A41:B41"/>
    <mergeCell ref="A42:B42"/>
    <mergeCell ref="A43:B43"/>
    <mergeCell ref="A44:B44"/>
    <mergeCell ref="A45:B45"/>
    <mergeCell ref="A19:B19"/>
    <mergeCell ref="A20:E20"/>
    <mergeCell ref="A22:F22"/>
    <mergeCell ref="A23:B23"/>
    <mergeCell ref="A24:B24"/>
    <mergeCell ref="A25:B25"/>
    <mergeCell ref="A26:B26"/>
    <mergeCell ref="A27:B27"/>
    <mergeCell ref="A1:F5"/>
    <mergeCell ref="A53:B53"/>
    <mergeCell ref="D53:F53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1" orientation="portrait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72">
    <tabColor rgb="FFFFFF00"/>
  </sheetPr>
  <dimension ref="A1:I53"/>
  <sheetViews>
    <sheetView view="pageBreakPreview" topLeftCell="A25" zoomScale="70" zoomScaleNormal="9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'PRESUPUESTO OFICIAL (Entidad)'!C127</f>
        <v>CARPINTERIA</v>
      </c>
      <c r="C9" s="885"/>
      <c r="D9" s="885"/>
      <c r="E9" s="851" t="s">
        <v>74</v>
      </c>
      <c r="F9" s="917" t="str">
        <f>'PRESUPUESTO OFICIAL (Entidad)'!D129</f>
        <v>M2</v>
      </c>
    </row>
    <row r="10" spans="1:6" ht="26.25" customHeight="1" x14ac:dyDescent="0.3">
      <c r="A10" s="915" t="s">
        <v>75</v>
      </c>
      <c r="B10" s="922" t="str">
        <f>'PRESUPUESTO OFICIAL (Entidad)'!C129</f>
        <v>Suministro e instalacion divisiones para sanitario en lamina galvanizada cal. 18.</v>
      </c>
      <c r="C10" s="922"/>
      <c r="D10" s="922"/>
      <c r="E10" s="851"/>
      <c r="F10" s="917"/>
    </row>
    <row r="11" spans="1:6" x14ac:dyDescent="0.3">
      <c r="A11" s="915"/>
      <c r="B11" s="210" t="s">
        <v>235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59">
        <f>F46</f>
        <v>100027.2</v>
      </c>
      <c r="F15" s="160">
        <f t="shared" ref="F15:F19" si="0">D15*E15</f>
        <v>5001.3600000000006</v>
      </c>
    </row>
    <row r="16" spans="1:6" x14ac:dyDescent="0.3">
      <c r="A16" s="893"/>
      <c r="B16" s="894"/>
      <c r="C16" s="158"/>
      <c r="D16" s="158"/>
      <c r="E16" s="159"/>
      <c r="F16" s="186">
        <f t="shared" si="0"/>
        <v>0</v>
      </c>
    </row>
    <row r="17" spans="1:9" x14ac:dyDescent="0.3">
      <c r="A17" s="883"/>
      <c r="B17" s="884"/>
      <c r="C17" s="158"/>
      <c r="D17" s="158"/>
      <c r="E17" s="158"/>
      <c r="F17" s="186">
        <f t="shared" si="0"/>
        <v>0</v>
      </c>
    </row>
    <row r="18" spans="1:9" x14ac:dyDescent="0.3">
      <c r="A18" s="883"/>
      <c r="B18" s="884"/>
      <c r="C18" s="158"/>
      <c r="D18" s="158"/>
      <c r="E18" s="158"/>
      <c r="F18" s="186">
        <f t="shared" si="0"/>
        <v>0</v>
      </c>
    </row>
    <row r="19" spans="1:9" ht="16.2" thickBot="1" x14ac:dyDescent="0.35">
      <c r="A19" s="898"/>
      <c r="B19" s="899"/>
      <c r="C19" s="163"/>
      <c r="D19" s="163"/>
      <c r="E19" s="163"/>
      <c r="F19" s="186">
        <f t="shared" si="0"/>
        <v>0</v>
      </c>
    </row>
    <row r="20" spans="1:9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5001.3600000000006</v>
      </c>
    </row>
    <row r="21" spans="1:9" ht="16.8" thickTop="1" thickBot="1" x14ac:dyDescent="0.35">
      <c r="A21" s="103"/>
      <c r="B21" s="103"/>
      <c r="C21" s="103"/>
      <c r="D21" s="103"/>
      <c r="E21" s="103"/>
      <c r="F21" s="153"/>
    </row>
    <row r="22" spans="1:9" x14ac:dyDescent="0.3">
      <c r="A22" s="895" t="s">
        <v>81</v>
      </c>
      <c r="B22" s="896"/>
      <c r="C22" s="896"/>
      <c r="D22" s="896"/>
      <c r="E22" s="896"/>
      <c r="F22" s="897"/>
    </row>
    <row r="23" spans="1:9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9" ht="15" customHeight="1" x14ac:dyDescent="0.3">
      <c r="A24" s="903" t="s">
        <v>791</v>
      </c>
      <c r="B24" s="904"/>
      <c r="C24" s="156" t="s">
        <v>21</v>
      </c>
      <c r="D24" s="156">
        <v>2</v>
      </c>
      <c r="E24" s="166">
        <f>MAT!E48</f>
        <v>3250</v>
      </c>
      <c r="F24" s="157">
        <f>D24*E24</f>
        <v>6500</v>
      </c>
    </row>
    <row r="25" spans="1:9" ht="15" customHeight="1" x14ac:dyDescent="0.3">
      <c r="A25" s="1008" t="s">
        <v>792</v>
      </c>
      <c r="B25" s="1009"/>
      <c r="C25" s="316" t="s">
        <v>21</v>
      </c>
      <c r="D25" s="156">
        <v>0.9</v>
      </c>
      <c r="E25" s="166">
        <f>MAT!E87</f>
        <v>92450</v>
      </c>
      <c r="F25" s="157">
        <f t="shared" ref="F25:F31" si="1">D25*E25</f>
        <v>83205</v>
      </c>
      <c r="I25" s="214"/>
    </row>
    <row r="26" spans="1:9" ht="15.75" customHeight="1" x14ac:dyDescent="0.3">
      <c r="A26" s="980" t="s">
        <v>766</v>
      </c>
      <c r="B26" s="981"/>
      <c r="C26" s="156" t="s">
        <v>111</v>
      </c>
      <c r="D26" s="156">
        <v>0.1</v>
      </c>
      <c r="E26" s="166">
        <f>MAT!E116</f>
        <v>21666.666666666668</v>
      </c>
      <c r="F26" s="157">
        <f t="shared" si="1"/>
        <v>2166.666666666667</v>
      </c>
    </row>
    <row r="27" spans="1:9" ht="15" customHeight="1" x14ac:dyDescent="0.3">
      <c r="A27" s="1006" t="s">
        <v>571</v>
      </c>
      <c r="B27" s="1007"/>
      <c r="C27" s="316" t="s">
        <v>422</v>
      </c>
      <c r="D27" s="165">
        <v>0.15</v>
      </c>
      <c r="E27" s="166">
        <f>MAT!E47</f>
        <v>55913.166666666664</v>
      </c>
      <c r="F27" s="157">
        <f t="shared" si="1"/>
        <v>8386.9749999999985</v>
      </c>
    </row>
    <row r="28" spans="1:9" x14ac:dyDescent="0.3">
      <c r="A28" s="1006" t="s">
        <v>605</v>
      </c>
      <c r="B28" s="1007"/>
      <c r="C28" s="88" t="s">
        <v>422</v>
      </c>
      <c r="D28" s="165">
        <v>0.15</v>
      </c>
      <c r="E28" s="166">
        <f>MAT!E78</f>
        <v>71500</v>
      </c>
      <c r="F28" s="157">
        <f t="shared" si="1"/>
        <v>10725</v>
      </c>
    </row>
    <row r="29" spans="1:9" x14ac:dyDescent="0.3">
      <c r="A29" s="1006" t="s">
        <v>795</v>
      </c>
      <c r="B29" s="1007"/>
      <c r="C29" s="88" t="s">
        <v>422</v>
      </c>
      <c r="D29" s="156">
        <v>0.4</v>
      </c>
      <c r="E29" s="166">
        <f>MAT!E77</f>
        <v>27605.040000000001</v>
      </c>
      <c r="F29" s="157">
        <f t="shared" si="1"/>
        <v>11042.016000000001</v>
      </c>
    </row>
    <row r="30" spans="1:9" x14ac:dyDescent="0.3">
      <c r="A30" s="990"/>
      <c r="B30" s="991"/>
      <c r="C30" s="315"/>
      <c r="D30" s="315"/>
      <c r="E30" s="156"/>
      <c r="F30" s="167">
        <f t="shared" si="1"/>
        <v>0</v>
      </c>
    </row>
    <row r="31" spans="1:9" ht="16.2" thickBot="1" x14ac:dyDescent="0.35">
      <c r="A31" s="905"/>
      <c r="B31" s="906"/>
      <c r="C31" s="178"/>
      <c r="D31" s="178"/>
      <c r="E31" s="178"/>
      <c r="F31" s="179">
        <f t="shared" si="1"/>
        <v>0</v>
      </c>
    </row>
    <row r="32" spans="1:9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122025.65766666667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60">
        <v>10000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64">
        <f>SUM(F36:F37)</f>
        <v>10000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2.6</v>
      </c>
      <c r="F42" s="167">
        <f>D42*E42</f>
        <v>100027.2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100027.2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237054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2:B52"/>
    <mergeCell ref="D52:F52"/>
    <mergeCell ref="A48:E48"/>
    <mergeCell ref="A34:F34"/>
    <mergeCell ref="A28:B28"/>
    <mergeCell ref="A29:B29"/>
    <mergeCell ref="A30:B30"/>
    <mergeCell ref="A31:B31"/>
    <mergeCell ref="A32:E32"/>
    <mergeCell ref="A38:E38"/>
    <mergeCell ref="A40:F40"/>
    <mergeCell ref="A46:E46"/>
    <mergeCell ref="A41:B41"/>
    <mergeCell ref="A42:B42"/>
    <mergeCell ref="A43:B43"/>
    <mergeCell ref="A44:B44"/>
    <mergeCell ref="A45:B45"/>
    <mergeCell ref="A19:B19"/>
    <mergeCell ref="A20:E20"/>
    <mergeCell ref="A22:F22"/>
    <mergeCell ref="A23:B23"/>
    <mergeCell ref="A24:B24"/>
    <mergeCell ref="A25:B25"/>
    <mergeCell ref="A26:B26"/>
    <mergeCell ref="A27:B27"/>
    <mergeCell ref="A1:F5"/>
    <mergeCell ref="A53:B53"/>
    <mergeCell ref="D53:F53"/>
    <mergeCell ref="A14:B14"/>
    <mergeCell ref="A6:F6"/>
    <mergeCell ref="A7:F7"/>
    <mergeCell ref="B9:D9"/>
    <mergeCell ref="E9:E10"/>
    <mergeCell ref="F9:F10"/>
    <mergeCell ref="B10:D10"/>
    <mergeCell ref="A13:F13"/>
    <mergeCell ref="A10:A11"/>
    <mergeCell ref="A15:B15"/>
    <mergeCell ref="A16:B16"/>
    <mergeCell ref="A17:B17"/>
    <mergeCell ref="A18:B18"/>
  </mergeCells>
  <pageMargins left="0.7" right="0.7" top="0.75" bottom="0.75" header="0.3" footer="0.3"/>
  <pageSetup paperSize="9" scale="83" orientation="portrait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58C6-6E8B-4307-B3B2-46116B925277}">
  <sheetPr codeName="Hoja92">
    <tabColor rgb="FFFFFF00"/>
  </sheetPr>
  <dimension ref="A1:G53"/>
  <sheetViews>
    <sheetView view="pageBreakPreview" topLeftCell="A25" zoomScale="70" zoomScaleNormal="100" zoomScaleSheetLayoutView="70" workbookViewId="0">
      <selection activeCell="A52" sqref="A52:B5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5.4414062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210" t="s">
        <v>73</v>
      </c>
      <c r="B9" s="885" t="str">
        <f>'PRESUPUESTO OFICIAL (Entidad)'!C132</f>
        <v>POZO SÉPTICO</v>
      </c>
      <c r="C9" s="885"/>
      <c r="D9" s="885"/>
      <c r="E9" s="851" t="s">
        <v>74</v>
      </c>
      <c r="F9" s="917" t="str">
        <f>'PRESUPUESTO OFICIAL (Entidad)'!D133</f>
        <v>UND</v>
      </c>
    </row>
    <row r="10" spans="1:6" ht="29.25" customHeight="1" x14ac:dyDescent="0.3">
      <c r="A10" s="915" t="s">
        <v>75</v>
      </c>
      <c r="B10" s="922" t="str">
        <f>'PRESUPUESTO OFICIAL (Entidad)'!C133</f>
        <v>Construir a todo costo Pozo séptico y filtro anaeróbico de 3,30 x 1,30 x 1,00 mts.</v>
      </c>
      <c r="C10" s="922"/>
      <c r="D10" s="922"/>
      <c r="E10" s="851"/>
      <c r="F10" s="917"/>
    </row>
    <row r="11" spans="1:6" ht="13.5" customHeight="1" x14ac:dyDescent="0.3">
      <c r="A11" s="915"/>
      <c r="B11" s="210" t="s">
        <v>680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F47</f>
        <v>192360</v>
      </c>
      <c r="F15" s="268">
        <f t="shared" ref="F15:F19" si="0">D15*E15</f>
        <v>9618</v>
      </c>
    </row>
    <row r="16" spans="1:6" x14ac:dyDescent="0.3">
      <c r="A16" s="893"/>
      <c r="B16" s="894"/>
      <c r="C16" s="158"/>
      <c r="D16" s="158"/>
      <c r="E16" s="267"/>
      <c r="F16" s="268">
        <f t="shared" si="0"/>
        <v>0</v>
      </c>
    </row>
    <row r="17" spans="1:6" x14ac:dyDescent="0.3">
      <c r="A17" s="883"/>
      <c r="B17" s="884"/>
      <c r="C17" s="158"/>
      <c r="D17" s="158"/>
      <c r="E17" s="269"/>
      <c r="F17" s="268">
        <f t="shared" si="0"/>
        <v>0</v>
      </c>
    </row>
    <row r="18" spans="1:6" x14ac:dyDescent="0.3">
      <c r="A18" s="883"/>
      <c r="B18" s="884"/>
      <c r="C18" s="158"/>
      <c r="D18" s="158"/>
      <c r="E18" s="269"/>
      <c r="F18" s="268">
        <f t="shared" si="0"/>
        <v>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9618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195</v>
      </c>
      <c r="B24" s="904"/>
      <c r="C24" s="281" t="s">
        <v>9</v>
      </c>
      <c r="D24" s="283">
        <v>6</v>
      </c>
      <c r="E24" s="256">
        <f>'A2,1-B2,1-C2,1-E2,2-F3,1'!F48</f>
        <v>58887</v>
      </c>
      <c r="F24" s="271">
        <f>D24*E24</f>
        <v>353322</v>
      </c>
    </row>
    <row r="25" spans="1:6" x14ac:dyDescent="0.3">
      <c r="A25" s="903" t="s">
        <v>196</v>
      </c>
      <c r="B25" s="904"/>
      <c r="C25" s="282" t="s">
        <v>8</v>
      </c>
      <c r="D25" s="284">
        <v>9</v>
      </c>
      <c r="E25" s="256">
        <v>49002</v>
      </c>
      <c r="F25" s="271">
        <f t="shared" ref="F25:F32" si="1">D25*E25</f>
        <v>441018</v>
      </c>
    </row>
    <row r="26" spans="1:6" x14ac:dyDescent="0.3">
      <c r="A26" s="903" t="s">
        <v>197</v>
      </c>
      <c r="B26" s="904"/>
      <c r="C26" s="282" t="s">
        <v>8</v>
      </c>
      <c r="D26" s="285">
        <v>3.96</v>
      </c>
      <c r="E26" s="256">
        <f>'A10,2-B10,2-C9,1'!F48</f>
        <v>70907</v>
      </c>
      <c r="F26" s="271">
        <f t="shared" si="1"/>
        <v>280791.71999999997</v>
      </c>
    </row>
    <row r="27" spans="1:6" x14ac:dyDescent="0.3">
      <c r="A27" s="903" t="s">
        <v>198</v>
      </c>
      <c r="B27" s="904"/>
      <c r="C27" s="281" t="s">
        <v>8</v>
      </c>
      <c r="D27" s="283">
        <v>3.96</v>
      </c>
      <c r="E27" s="272">
        <f>('A5,5-B5,4'!F48)-153363</f>
        <v>180095</v>
      </c>
      <c r="F27" s="271">
        <f t="shared" si="1"/>
        <v>713176.2</v>
      </c>
    </row>
    <row r="28" spans="1:6" x14ac:dyDescent="0.3">
      <c r="A28" s="903" t="s">
        <v>199</v>
      </c>
      <c r="B28" s="904"/>
      <c r="C28" s="282" t="s">
        <v>111</v>
      </c>
      <c r="D28" s="283">
        <v>59</v>
      </c>
      <c r="E28" s="272">
        <f>'A3,6'!F48</f>
        <v>9301</v>
      </c>
      <c r="F28" s="271">
        <f t="shared" si="1"/>
        <v>548759</v>
      </c>
    </row>
    <row r="29" spans="1:6" ht="36" customHeight="1" x14ac:dyDescent="0.3">
      <c r="A29" s="911" t="s">
        <v>200</v>
      </c>
      <c r="B29" s="912"/>
      <c r="C29" s="281" t="s">
        <v>9</v>
      </c>
      <c r="D29" s="283">
        <v>0.6</v>
      </c>
      <c r="E29" s="272">
        <f>MAT!E17</f>
        <v>131000</v>
      </c>
      <c r="F29" s="271">
        <f t="shared" si="1"/>
        <v>78600</v>
      </c>
    </row>
    <row r="30" spans="1:6" x14ac:dyDescent="0.3">
      <c r="A30" s="903" t="s">
        <v>201</v>
      </c>
      <c r="B30" s="904"/>
      <c r="C30" s="282" t="s">
        <v>19</v>
      </c>
      <c r="D30" s="285">
        <v>5</v>
      </c>
      <c r="E30" s="272">
        <f>MAT!E134</f>
        <v>12450</v>
      </c>
      <c r="F30" s="271">
        <f t="shared" si="1"/>
        <v>62250</v>
      </c>
    </row>
    <row r="31" spans="1:6" x14ac:dyDescent="0.3">
      <c r="A31" s="903" t="s">
        <v>202</v>
      </c>
      <c r="B31" s="904"/>
      <c r="C31" s="282" t="s">
        <v>194</v>
      </c>
      <c r="D31" s="285">
        <v>1</v>
      </c>
      <c r="E31" s="272">
        <f>MAT!E71</f>
        <v>8500</v>
      </c>
      <c r="F31" s="271">
        <f t="shared" si="1"/>
        <v>8500</v>
      </c>
    </row>
    <row r="32" spans="1:6" ht="16.2" thickBot="1" x14ac:dyDescent="0.35">
      <c r="A32" s="905" t="s">
        <v>203</v>
      </c>
      <c r="B32" s="906"/>
      <c r="C32" s="286" t="s">
        <v>194</v>
      </c>
      <c r="D32" s="287">
        <v>2</v>
      </c>
      <c r="E32" s="273">
        <f>MAT!E123</f>
        <v>9400</v>
      </c>
      <c r="F32" s="274">
        <f t="shared" si="1"/>
        <v>18800</v>
      </c>
    </row>
    <row r="33" spans="1:6" ht="16.2" thickBot="1" x14ac:dyDescent="0.35">
      <c r="A33" s="900" t="s">
        <v>84</v>
      </c>
      <c r="B33" s="900"/>
      <c r="C33" s="900"/>
      <c r="D33" s="900"/>
      <c r="E33" s="900"/>
      <c r="F33" s="168">
        <f>SUM(F24:F32)</f>
        <v>2505216.92</v>
      </c>
    </row>
    <row r="34" spans="1:6" ht="16.8" thickTop="1" thickBot="1" x14ac:dyDescent="0.35">
      <c r="A34" s="103"/>
      <c r="B34" s="103"/>
      <c r="C34" s="103"/>
      <c r="D34" s="103"/>
      <c r="E34" s="103"/>
      <c r="F34" s="153"/>
    </row>
    <row r="35" spans="1:6" x14ac:dyDescent="0.3">
      <c r="A35" s="895" t="s">
        <v>85</v>
      </c>
      <c r="B35" s="896"/>
      <c r="C35" s="896"/>
      <c r="D35" s="896"/>
      <c r="E35" s="896"/>
      <c r="F35" s="897"/>
    </row>
    <row r="36" spans="1:6" x14ac:dyDescent="0.3">
      <c r="A36" s="169" t="s">
        <v>86</v>
      </c>
      <c r="B36" s="156" t="s">
        <v>94</v>
      </c>
      <c r="C36" s="158" t="s">
        <v>96</v>
      </c>
      <c r="D36" s="158" t="s">
        <v>97</v>
      </c>
      <c r="E36" s="158" t="s">
        <v>95</v>
      </c>
      <c r="F36" s="160" t="s">
        <v>82</v>
      </c>
    </row>
    <row r="37" spans="1:6" x14ac:dyDescent="0.3">
      <c r="A37" s="169"/>
      <c r="B37" s="111"/>
      <c r="C37" s="158"/>
      <c r="D37" s="158"/>
      <c r="E37" s="158"/>
      <c r="F37" s="186">
        <f>C37*D37*E37</f>
        <v>0</v>
      </c>
    </row>
    <row r="38" spans="1:6" ht="16.2" thickBot="1" x14ac:dyDescent="0.35">
      <c r="A38" s="171"/>
      <c r="B38" s="197"/>
      <c r="C38" s="163"/>
      <c r="D38" s="163"/>
      <c r="E38" s="163"/>
      <c r="F38" s="190">
        <f>C38*D38*E38</f>
        <v>0</v>
      </c>
    </row>
    <row r="39" spans="1:6" ht="15.75" customHeight="1" thickBot="1" x14ac:dyDescent="0.35">
      <c r="A39" s="907" t="s">
        <v>90</v>
      </c>
      <c r="B39" s="907"/>
      <c r="C39" s="907"/>
      <c r="D39" s="907"/>
      <c r="E39" s="907"/>
      <c r="F39" s="198">
        <f>SUM(F37:F38)</f>
        <v>0</v>
      </c>
    </row>
    <row r="40" spans="1:6" ht="16.8" thickTop="1" thickBot="1" x14ac:dyDescent="0.35">
      <c r="A40" s="103"/>
      <c r="B40" s="103"/>
      <c r="C40" s="103"/>
      <c r="D40" s="103"/>
      <c r="E40" s="103"/>
      <c r="F40" s="153"/>
    </row>
    <row r="41" spans="1:6" x14ac:dyDescent="0.3">
      <c r="A41" s="895" t="s">
        <v>91</v>
      </c>
      <c r="B41" s="896"/>
      <c r="C41" s="896"/>
      <c r="D41" s="896"/>
      <c r="E41" s="896"/>
      <c r="F41" s="897"/>
    </row>
    <row r="42" spans="1:6" ht="24.75" customHeight="1" x14ac:dyDescent="0.3">
      <c r="A42" s="891" t="s">
        <v>48</v>
      </c>
      <c r="B42" s="892"/>
      <c r="C42" s="156" t="s">
        <v>23</v>
      </c>
      <c r="D42" s="156" t="s">
        <v>378</v>
      </c>
      <c r="E42" s="156" t="s">
        <v>98</v>
      </c>
      <c r="F42" s="157" t="s">
        <v>79</v>
      </c>
    </row>
    <row r="43" spans="1:6" x14ac:dyDescent="0.3">
      <c r="A43" s="893" t="str">
        <f>M.O!B63</f>
        <v>MANO DE OBRA A (1 OF Y 1 AYUD)</v>
      </c>
      <c r="B43" s="894"/>
      <c r="C43" s="176" t="s">
        <v>43</v>
      </c>
      <c r="D43" s="177">
        <f>M.O!F70</f>
        <v>38472</v>
      </c>
      <c r="E43" s="156">
        <v>5</v>
      </c>
      <c r="F43" s="167">
        <f>D43*E43</f>
        <v>192360</v>
      </c>
    </row>
    <row r="44" spans="1:6" x14ac:dyDescent="0.3">
      <c r="A44" s="883"/>
      <c r="B44" s="884"/>
      <c r="C44" s="176"/>
      <c r="D44" s="156"/>
      <c r="E44" s="156"/>
      <c r="F44" s="167">
        <f t="shared" ref="F44:F46" si="2">D44*E44</f>
        <v>0</v>
      </c>
    </row>
    <row r="45" spans="1:6" x14ac:dyDescent="0.3">
      <c r="A45" s="883"/>
      <c r="B45" s="884"/>
      <c r="C45" s="156"/>
      <c r="D45" s="156"/>
      <c r="E45" s="156"/>
      <c r="F45" s="167">
        <f t="shared" si="2"/>
        <v>0</v>
      </c>
    </row>
    <row r="46" spans="1:6" ht="16.2" thickBot="1" x14ac:dyDescent="0.35">
      <c r="A46" s="898"/>
      <c r="B46" s="899"/>
      <c r="C46" s="178"/>
      <c r="D46" s="178"/>
      <c r="E46" s="178"/>
      <c r="F46" s="179">
        <f t="shared" si="2"/>
        <v>0</v>
      </c>
    </row>
    <row r="47" spans="1:6" ht="15.75" customHeight="1" thickBot="1" x14ac:dyDescent="0.35">
      <c r="A47" s="907" t="s">
        <v>92</v>
      </c>
      <c r="B47" s="907"/>
      <c r="C47" s="907"/>
      <c r="D47" s="907"/>
      <c r="E47" s="907"/>
      <c r="F47" s="175">
        <f>SUM(F43:F46)</f>
        <v>192360</v>
      </c>
    </row>
    <row r="48" spans="1:6" ht="16.2" thickTop="1" x14ac:dyDescent="0.3">
      <c r="A48" s="103"/>
      <c r="B48" s="103"/>
      <c r="C48" s="103"/>
      <c r="D48" s="103"/>
      <c r="E48" s="103"/>
      <c r="F48" s="153"/>
    </row>
    <row r="49" spans="1:7" ht="15.75" customHeight="1" thickBot="1" x14ac:dyDescent="0.35">
      <c r="A49" s="907" t="s">
        <v>93</v>
      </c>
      <c r="B49" s="907"/>
      <c r="C49" s="907"/>
      <c r="D49" s="907"/>
      <c r="E49" s="907"/>
      <c r="F49" s="180">
        <f>ROUND(SUM(F33+F47+F20+F39),0)</f>
        <v>2707195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2">
    <mergeCell ref="A42:B42"/>
    <mergeCell ref="A43:B43"/>
    <mergeCell ref="A44:B44"/>
    <mergeCell ref="A45:B45"/>
    <mergeCell ref="A46:B46"/>
    <mergeCell ref="A1:F5"/>
    <mergeCell ref="A27:B27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25:B25"/>
    <mergeCell ref="A26:B26"/>
    <mergeCell ref="A14:B14"/>
    <mergeCell ref="A6:F6"/>
    <mergeCell ref="A7:F7"/>
    <mergeCell ref="A10:A11"/>
    <mergeCell ref="B9:D9"/>
    <mergeCell ref="E9:E10"/>
    <mergeCell ref="F9:F10"/>
    <mergeCell ref="B10:D10"/>
    <mergeCell ref="A13:F13"/>
    <mergeCell ref="A52:B52"/>
    <mergeCell ref="D52:F52"/>
    <mergeCell ref="A53:B53"/>
    <mergeCell ref="D53:F53"/>
    <mergeCell ref="A49:E49"/>
    <mergeCell ref="A28:B28"/>
    <mergeCell ref="A30:B30"/>
    <mergeCell ref="A31:B31"/>
    <mergeCell ref="A32:B32"/>
    <mergeCell ref="A33:E33"/>
    <mergeCell ref="A35:F35"/>
    <mergeCell ref="A29:B29"/>
    <mergeCell ref="A39:E39"/>
    <mergeCell ref="A41:F41"/>
    <mergeCell ref="A47:E47"/>
  </mergeCells>
  <pageMargins left="0.7" right="0.7" top="0.75" bottom="0.75" header="0.3" footer="0.3"/>
  <pageSetup paperSize="9" scale="82" orientation="portrait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C47E-FD6A-4FE8-8CF4-B82B1FD039CD}">
  <sheetPr>
    <tabColor rgb="FFFFFF00"/>
  </sheetPr>
  <dimension ref="A1:O53"/>
  <sheetViews>
    <sheetView view="pageBreakPreview" topLeftCell="A22" zoomScale="70" zoomScaleNormal="100" zoomScaleSheetLayoutView="70" workbookViewId="0">
      <selection activeCell="D42" sqref="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'!C18</f>
        <v>CIMIENTOS</v>
      </c>
      <c r="C9" s="885"/>
      <c r="D9" s="885"/>
      <c r="E9" s="851" t="s">
        <v>74</v>
      </c>
      <c r="F9" s="917" t="str">
        <f>'[11]PRES '!D20</f>
        <v>M3</v>
      </c>
    </row>
    <row r="10" spans="1:6" ht="30.75" customHeight="1" x14ac:dyDescent="0.3">
      <c r="A10" s="915" t="s">
        <v>75</v>
      </c>
      <c r="B10" s="922" t="str">
        <f>'[11]PRES '!C20</f>
        <v>Cimentación tipo zapatas en concreto de 3000 P.S.I (1,00*1,00*0,40 m).</v>
      </c>
      <c r="C10" s="922"/>
      <c r="D10" s="922"/>
      <c r="E10" s="851"/>
      <c r="F10" s="917"/>
    </row>
    <row r="11" spans="1:6" ht="15.6" x14ac:dyDescent="0.3">
      <c r="A11" s="915"/>
      <c r="B11" s="210" t="s">
        <v>619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173124</v>
      </c>
      <c r="F15" s="186">
        <f t="shared" ref="F15:F19" si="0">D15*E15</f>
        <v>8656.2000000000007</v>
      </c>
    </row>
    <row r="16" spans="1:6" ht="15" customHeight="1" x14ac:dyDescent="0.3">
      <c r="A16" s="893" t="s">
        <v>399</v>
      </c>
      <c r="B16" s="894"/>
      <c r="C16" s="158" t="s">
        <v>69</v>
      </c>
      <c r="D16" s="158">
        <v>7.0000000000000007E-2</v>
      </c>
      <c r="E16" s="185">
        <f>[11]EQ!F21</f>
        <v>50000</v>
      </c>
      <c r="F16" s="186">
        <f t="shared" si="0"/>
        <v>3500.0000000000005</v>
      </c>
    </row>
    <row r="17" spans="1:15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12156.2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156">
        <v>1.03</v>
      </c>
      <c r="E24" s="211">
        <f>[11]MAT!E25</f>
        <v>678482</v>
      </c>
      <c r="F24" s="167">
        <f>D24*E24</f>
        <v>698836.46</v>
      </c>
    </row>
    <row r="25" spans="1:15" ht="15" customHeight="1" x14ac:dyDescent="0.3">
      <c r="A25" s="903"/>
      <c r="B25" s="904"/>
      <c r="C25" s="156"/>
      <c r="D25" s="165"/>
      <c r="E25" s="213"/>
      <c r="F25" s="167">
        <f>D25*E25</f>
        <v>0</v>
      </c>
      <c r="I25" s="486"/>
      <c r="M25" s="486"/>
      <c r="N25" s="486"/>
      <c r="O25" s="486"/>
    </row>
    <row r="26" spans="1:15" ht="15" customHeight="1" x14ac:dyDescent="0.3">
      <c r="A26" s="934"/>
      <c r="B26" s="914"/>
      <c r="C26" s="156"/>
      <c r="D26" s="156"/>
      <c r="E26" s="213"/>
      <c r="F26" s="167">
        <f>D26*E26</f>
        <v>0</v>
      </c>
    </row>
    <row r="27" spans="1:15" ht="15.6" x14ac:dyDescent="0.3">
      <c r="A27" s="911"/>
      <c r="B27" s="912"/>
      <c r="C27" s="156"/>
      <c r="D27" s="165"/>
      <c r="E27" s="213"/>
      <c r="F27" s="167">
        <f t="shared" ref="F27:F29" si="1">D27*E27</f>
        <v>0</v>
      </c>
    </row>
    <row r="28" spans="1:15" ht="15" customHeight="1" x14ac:dyDescent="0.3">
      <c r="A28" s="903"/>
      <c r="B28" s="904"/>
      <c r="C28" s="156"/>
      <c r="D28" s="165"/>
      <c r="E28" s="216"/>
      <c r="F28" s="167">
        <f t="shared" si="1"/>
        <v>0</v>
      </c>
      <c r="I28" s="486"/>
      <c r="K28" s="394"/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>D30*E30</f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2"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698836.46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6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4.5</v>
      </c>
      <c r="F42" s="167">
        <f>D42*E42</f>
        <v>173124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3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3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3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173124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884117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colBreaks count="1" manualBreakCount="1">
    <brk id="6" max="1048575" man="1"/>
  </colBreaks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B1BA-27CF-4F7B-8B8D-99513FC16122}">
  <sheetPr>
    <tabColor rgb="FFFFFF00"/>
  </sheetPr>
  <dimension ref="A1:O53"/>
  <sheetViews>
    <sheetView view="pageBreakPreview" topLeftCell="A31" zoomScale="70" zoomScaleNormal="100" zoomScaleSheetLayoutView="70" workbookViewId="0">
      <selection activeCell="D42" sqref="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  <col min="13" max="13" width="21.886718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'!C18</f>
        <v>CIMIENTOS</v>
      </c>
      <c r="C9" s="885"/>
      <c r="D9" s="885"/>
      <c r="E9" s="851" t="s">
        <v>74</v>
      </c>
      <c r="F9" s="917" t="str">
        <f>'[11]PRES '!D21</f>
        <v>ML</v>
      </c>
    </row>
    <row r="10" spans="1:6" ht="48.75" customHeight="1" x14ac:dyDescent="0.3">
      <c r="A10" s="915" t="s">
        <v>75</v>
      </c>
      <c r="B10" s="922" t="str">
        <f>'[11]PRES '!C21</f>
        <v>Viga de cimentacion en concreto de 3000 P.S.I.(0,30*0,30m), incluye acero de refuerzo de 60000 P.S.I (4Ø5/8" refuerzo y E=Ø3/8" c/d. 0,10 m).</v>
      </c>
      <c r="C10" s="922"/>
      <c r="D10" s="922"/>
      <c r="E10" s="851"/>
      <c r="F10" s="917"/>
    </row>
    <row r="11" spans="1:6" ht="15.6" x14ac:dyDescent="0.3">
      <c r="A11" s="915"/>
      <c r="B11" s="210" t="s">
        <v>901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30777.600000000002</v>
      </c>
      <c r="F15" s="186">
        <f t="shared" ref="F15:F19" si="0">D15*E15</f>
        <v>1538.88</v>
      </c>
    </row>
    <row r="16" spans="1:6" ht="15" customHeight="1" x14ac:dyDescent="0.3">
      <c r="A16" s="893" t="s">
        <v>399</v>
      </c>
      <c r="B16" s="894"/>
      <c r="C16" s="158" t="s">
        <v>69</v>
      </c>
      <c r="D16" s="158">
        <v>0.02</v>
      </c>
      <c r="E16" s="185">
        <f>[11]EQ!F21</f>
        <v>50000</v>
      </c>
      <c r="F16" s="186">
        <f t="shared" si="0"/>
        <v>1000</v>
      </c>
    </row>
    <row r="17" spans="1:15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2538.88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0.3*0.3</f>
        <v>0.09</v>
      </c>
      <c r="E24" s="211">
        <f>[11]MAT!E25</f>
        <v>678482</v>
      </c>
      <c r="F24" s="167">
        <f>D24*E24</f>
        <v>61063.38</v>
      </c>
      <c r="I24" s="490"/>
      <c r="J24" s="491"/>
      <c r="K24" s="491"/>
      <c r="L24" s="491"/>
      <c r="M24" s="490"/>
      <c r="N24" s="486"/>
      <c r="O24" s="486"/>
    </row>
    <row r="25" spans="1:15" ht="15.6" x14ac:dyDescent="0.3">
      <c r="A25" s="903" t="s">
        <v>508</v>
      </c>
      <c r="B25" s="904"/>
      <c r="C25" s="156" t="s">
        <v>8</v>
      </c>
      <c r="D25" s="165">
        <v>0.08</v>
      </c>
      <c r="E25" s="213">
        <f>[11]MAT!E64</f>
        <v>56238</v>
      </c>
      <c r="F25" s="167">
        <f t="shared" ref="F25:F31" si="1">D25*E25</f>
        <v>4499.04</v>
      </c>
      <c r="H25" s="491"/>
      <c r="J25" s="394" t="s">
        <v>18</v>
      </c>
      <c r="K25" s="394" t="s">
        <v>12</v>
      </c>
      <c r="L25" s="394" t="s">
        <v>112</v>
      </c>
      <c r="M25" s="394" t="s">
        <v>111</v>
      </c>
      <c r="N25" s="394" t="s">
        <v>113</v>
      </c>
    </row>
    <row r="26" spans="1:15" ht="15.6" x14ac:dyDescent="0.3">
      <c r="A26" s="903" t="s">
        <v>695</v>
      </c>
      <c r="B26" s="904"/>
      <c r="C26" s="156" t="s">
        <v>111</v>
      </c>
      <c r="D26" s="165">
        <f>N26</f>
        <v>6.6115200000000005</v>
      </c>
      <c r="E26" s="213">
        <f>[11]MAT!E91</f>
        <v>6950</v>
      </c>
      <c r="F26" s="167">
        <f t="shared" si="1"/>
        <v>45950.064000000006</v>
      </c>
      <c r="H26" s="491"/>
      <c r="I26" s="491" t="s">
        <v>510</v>
      </c>
      <c r="J26" s="490">
        <v>1</v>
      </c>
      <c r="K26" s="491">
        <v>4</v>
      </c>
      <c r="L26" s="491">
        <v>1.552</v>
      </c>
      <c r="M26" s="491">
        <f>J26*K26*L26</f>
        <v>6.2080000000000002</v>
      </c>
      <c r="N26" s="490">
        <f>(M26*0.065)+M26</f>
        <v>6.6115200000000005</v>
      </c>
      <c r="O26" s="486"/>
    </row>
    <row r="27" spans="1:15" ht="15.6" x14ac:dyDescent="0.3">
      <c r="A27" s="903" t="s">
        <v>696</v>
      </c>
      <c r="B27" s="904"/>
      <c r="C27" s="156" t="s">
        <v>111</v>
      </c>
      <c r="D27" s="165">
        <f>M27</f>
        <v>6.2720000000000011</v>
      </c>
      <c r="E27" s="213">
        <f>[11]MAT!E90</f>
        <v>2708.333333333333</v>
      </c>
      <c r="F27" s="167">
        <f t="shared" si="1"/>
        <v>16986.666666666668</v>
      </c>
      <c r="I27" s="491" t="s">
        <v>109</v>
      </c>
      <c r="J27" s="491">
        <v>1.1200000000000001</v>
      </c>
      <c r="K27" s="491">
        <f>1/0.1</f>
        <v>10</v>
      </c>
      <c r="L27" s="491">
        <v>0.56000000000000005</v>
      </c>
      <c r="M27" s="491">
        <f>J27*K27*L27</f>
        <v>6.2720000000000011</v>
      </c>
      <c r="N27" s="491"/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8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128499.15066666667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6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0.8</v>
      </c>
      <c r="F42" s="167">
        <f>D42*E42</f>
        <v>30777.600000000002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30777.600000000002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161816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9C0AE-5FEE-473A-B41B-D3661E1142D6}">
  <sheetPr>
    <tabColor rgb="FFFFFF00"/>
  </sheetPr>
  <dimension ref="A1:O53"/>
  <sheetViews>
    <sheetView view="pageBreakPreview" topLeftCell="A22" zoomScale="70" zoomScaleNormal="100" zoomScaleSheetLayoutView="70" workbookViewId="0">
      <selection activeCell="D42" sqref="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'!C18</f>
        <v>CIMIENTOS</v>
      </c>
      <c r="C9" s="885"/>
      <c r="D9" s="885"/>
      <c r="E9" s="851" t="s">
        <v>74</v>
      </c>
      <c r="F9" s="917" t="str">
        <f>'[11]PRES '!D22</f>
        <v>KG</v>
      </c>
    </row>
    <row r="10" spans="1:6" ht="36" customHeight="1" x14ac:dyDescent="0.3">
      <c r="A10" s="915" t="s">
        <v>75</v>
      </c>
      <c r="B10" s="922" t="str">
        <f>'[11]PRES '!C22</f>
        <v>Acero de refuerzo de 60000 PSI,  para zapatas y nudos en arranque de coumnas (incluye refuezo figurado y armado).</v>
      </c>
      <c r="C10" s="922"/>
      <c r="D10" s="922"/>
      <c r="E10" s="851"/>
      <c r="F10" s="917"/>
    </row>
    <row r="11" spans="1:6" ht="15.6" x14ac:dyDescent="0.3">
      <c r="A11" s="915"/>
      <c r="B11" s="210" t="s">
        <v>902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1154.1599999999999</v>
      </c>
      <c r="F15" s="186">
        <f t="shared" ref="F15:F19" si="0">D15*E15</f>
        <v>57.707999999999998</v>
      </c>
    </row>
    <row r="16" spans="1:6" ht="15.6" x14ac:dyDescent="0.3">
      <c r="A16" s="893" t="s">
        <v>397</v>
      </c>
      <c r="B16" s="894"/>
      <c r="C16" s="158" t="s">
        <v>69</v>
      </c>
      <c r="D16" s="158">
        <v>0.01</v>
      </c>
      <c r="E16" s="185">
        <f>[11]EQ!F19</f>
        <v>35000</v>
      </c>
      <c r="F16" s="186">
        <f t="shared" si="0"/>
        <v>350</v>
      </c>
    </row>
    <row r="17" spans="1:15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407.70799999999997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6" x14ac:dyDescent="0.3">
      <c r="A24" s="903" t="s">
        <v>509</v>
      </c>
      <c r="B24" s="904"/>
      <c r="C24" s="156" t="s">
        <v>111</v>
      </c>
      <c r="D24" s="165">
        <v>0.02</v>
      </c>
      <c r="E24" s="211">
        <f>[11]MAT!E38</f>
        <v>8500</v>
      </c>
      <c r="F24" s="167">
        <f>D24*E24</f>
        <v>170</v>
      </c>
    </row>
    <row r="25" spans="1:15" ht="15.6" x14ac:dyDescent="0.3">
      <c r="A25" s="903" t="s">
        <v>695</v>
      </c>
      <c r="B25" s="904"/>
      <c r="C25" s="156" t="s">
        <v>111</v>
      </c>
      <c r="D25" s="165">
        <v>1.05</v>
      </c>
      <c r="E25" s="211">
        <f>[11]MAT!E91</f>
        <v>6950</v>
      </c>
      <c r="F25" s="167">
        <f t="shared" ref="F25:F31" si="1">D25*E25</f>
        <v>7297.5</v>
      </c>
      <c r="I25" s="394"/>
      <c r="J25" s="394"/>
      <c r="K25" s="394"/>
      <c r="L25" s="394"/>
      <c r="M25" s="394"/>
      <c r="O25" s="486"/>
    </row>
    <row r="26" spans="1:15" ht="15.6" x14ac:dyDescent="0.3">
      <c r="A26" s="903"/>
      <c r="B26" s="904"/>
      <c r="C26" s="156"/>
      <c r="D26" s="165"/>
      <c r="E26" s="211"/>
      <c r="F26" s="167">
        <f t="shared" si="1"/>
        <v>0</v>
      </c>
      <c r="H26" s="491"/>
      <c r="I26" s="490"/>
      <c r="J26" s="491"/>
      <c r="K26" s="491"/>
      <c r="L26" s="491"/>
      <c r="M26" s="490"/>
      <c r="N26" s="486"/>
    </row>
    <row r="27" spans="1:15" ht="15.6" x14ac:dyDescent="0.3">
      <c r="A27" s="911"/>
      <c r="B27" s="912"/>
      <c r="C27" s="156"/>
      <c r="D27" s="165"/>
      <c r="E27" s="211"/>
      <c r="F27" s="167">
        <f t="shared" si="1"/>
        <v>0</v>
      </c>
      <c r="H27" s="491"/>
      <c r="I27" s="491"/>
      <c r="J27" s="491"/>
      <c r="K27" s="491"/>
      <c r="L27" s="491"/>
      <c r="M27" s="491"/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486"/>
      <c r="K28" s="394"/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7467.5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 t="s">
        <v>85</v>
      </c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6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0.03</v>
      </c>
      <c r="F42" s="167">
        <f>D42*E42</f>
        <v>1154.1599999999999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1154.1599999999999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9029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6FF6-2619-442C-9D81-4D033AF03374}">
  <sheetPr>
    <tabColor rgb="FFFFFF00"/>
  </sheetPr>
  <dimension ref="A1:O53"/>
  <sheetViews>
    <sheetView view="pageBreakPreview" topLeftCell="A28" zoomScale="70" zoomScaleNormal="100" zoomScaleSheetLayoutView="70" workbookViewId="0">
      <selection activeCell="B11" sqref="B11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'!C24</f>
        <v>ESTRUCTURA</v>
      </c>
      <c r="C9" s="885"/>
      <c r="D9" s="885"/>
      <c r="E9" s="851" t="s">
        <v>74</v>
      </c>
      <c r="F9" s="917" t="str">
        <f>'[11]PRES '!D26</f>
        <v>ML</v>
      </c>
    </row>
    <row r="10" spans="1:6" ht="45.75" customHeight="1" x14ac:dyDescent="0.3">
      <c r="A10" s="915" t="s">
        <v>75</v>
      </c>
      <c r="B10" s="922" t="str">
        <f>'[11]PRES '!C26</f>
        <v>Columna en concreto de 3000 PSI (0.30x0.30m),  incluye acero de refuerzo de 60000 P.S.I (4Ø5/8" refuerzo y E=Ø3/8" c/d. 0,10 m).</v>
      </c>
      <c r="C10" s="922"/>
      <c r="D10" s="922"/>
      <c r="E10" s="851"/>
      <c r="F10" s="917"/>
    </row>
    <row r="11" spans="1:6" ht="15.6" x14ac:dyDescent="0.3">
      <c r="A11" s="915"/>
      <c r="B11" s="210" t="s">
        <v>906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ht="15.6" x14ac:dyDescent="0.3">
      <c r="A16" s="893" t="s">
        <v>399</v>
      </c>
      <c r="B16" s="894"/>
      <c r="C16" s="158" t="s">
        <v>69</v>
      </c>
      <c r="D16" s="158">
        <v>0.02</v>
      </c>
      <c r="E16" s="185">
        <f>[11]EQ!F21</f>
        <v>50000</v>
      </c>
      <c r="F16" s="186">
        <f t="shared" si="0"/>
        <v>1000</v>
      </c>
    </row>
    <row r="17" spans="1:15" ht="15.6" x14ac:dyDescent="0.3">
      <c r="A17" s="893" t="s">
        <v>515</v>
      </c>
      <c r="B17" s="894"/>
      <c r="C17" s="158" t="s">
        <v>69</v>
      </c>
      <c r="D17" s="158">
        <v>1.4</v>
      </c>
      <c r="E17" s="185">
        <f>[11]EQ!F14</f>
        <v>3000</v>
      </c>
      <c r="F17" s="186">
        <f t="shared" si="0"/>
        <v>4200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7508.32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0.3*0.3</f>
        <v>0.09</v>
      </c>
      <c r="E24" s="213">
        <f>[11]MAT!E25</f>
        <v>678482</v>
      </c>
      <c r="F24" s="167">
        <f>D24*E24</f>
        <v>61063.38</v>
      </c>
      <c r="I24" s="394"/>
      <c r="J24" s="394"/>
      <c r="K24" s="394"/>
      <c r="L24" s="394"/>
      <c r="M24" s="394"/>
    </row>
    <row r="25" spans="1:15" ht="15.6" x14ac:dyDescent="0.3">
      <c r="A25" s="903" t="s">
        <v>508</v>
      </c>
      <c r="B25" s="904"/>
      <c r="C25" s="156" t="s">
        <v>8</v>
      </c>
      <c r="D25" s="165">
        <v>0.18</v>
      </c>
      <c r="E25" s="213">
        <f>[11]MAT!E64</f>
        <v>56238</v>
      </c>
      <c r="F25" s="167">
        <f>D25*E25</f>
        <v>10122.84</v>
      </c>
      <c r="I25" s="394" t="s">
        <v>18</v>
      </c>
      <c r="J25" s="394" t="s">
        <v>12</v>
      </c>
      <c r="K25" s="394" t="s">
        <v>112</v>
      </c>
      <c r="L25" s="394" t="s">
        <v>111</v>
      </c>
      <c r="M25" s="394" t="s">
        <v>113</v>
      </c>
      <c r="O25" s="486"/>
    </row>
    <row r="26" spans="1:15" ht="15" customHeight="1" x14ac:dyDescent="0.3">
      <c r="A26" s="903" t="s">
        <v>695</v>
      </c>
      <c r="B26" s="904"/>
      <c r="C26" s="156" t="s">
        <v>111</v>
      </c>
      <c r="D26" s="165">
        <f>M26</f>
        <v>6.6115200000000005</v>
      </c>
      <c r="E26" s="213">
        <f>[11]MAT!E91</f>
        <v>6950</v>
      </c>
      <c r="F26" s="167">
        <f t="shared" ref="F26:F31" si="1">D26*E26</f>
        <v>45950.064000000006</v>
      </c>
      <c r="H26" s="491" t="s">
        <v>510</v>
      </c>
      <c r="I26" s="490">
        <v>1</v>
      </c>
      <c r="J26" s="491">
        <v>4</v>
      </c>
      <c r="K26" s="491">
        <v>1.552</v>
      </c>
      <c r="L26" s="491">
        <f>I26*J26*K26</f>
        <v>6.2080000000000002</v>
      </c>
      <c r="M26" s="490">
        <f>(L26*0.065)+L26</f>
        <v>6.6115200000000005</v>
      </c>
      <c r="N26" s="486"/>
    </row>
    <row r="27" spans="1:15" ht="15.6" x14ac:dyDescent="0.3">
      <c r="A27" s="903" t="s">
        <v>696</v>
      </c>
      <c r="B27" s="904"/>
      <c r="C27" s="156" t="s">
        <v>111</v>
      </c>
      <c r="D27" s="165">
        <f>L27</f>
        <v>6.2720000000000011</v>
      </c>
      <c r="E27" s="213">
        <f>[11]MAT!E90</f>
        <v>2708.333333333333</v>
      </c>
      <c r="F27" s="167">
        <f t="shared" si="1"/>
        <v>16986.666666666668</v>
      </c>
      <c r="H27" s="491" t="s">
        <v>109</v>
      </c>
      <c r="I27" s="491">
        <v>1.1200000000000001</v>
      </c>
      <c r="J27" s="491">
        <f>1/0.1</f>
        <v>10</v>
      </c>
      <c r="K27" s="491">
        <v>0.56000000000000005</v>
      </c>
      <c r="L27" s="491">
        <f>I27*J27*K27</f>
        <v>6.2720000000000011</v>
      </c>
      <c r="M27" s="491"/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486"/>
      <c r="K28" s="394"/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134122.95066666667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187798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AC11-E802-4E39-AD40-201D9F119FF8}">
  <sheetPr>
    <tabColor rgb="FFFFFF00"/>
  </sheetPr>
  <dimension ref="A1:O53"/>
  <sheetViews>
    <sheetView view="pageBreakPreview" topLeftCell="A19" zoomScale="70" zoomScaleNormal="100" zoomScaleSheetLayoutView="70" workbookViewId="0">
      <selection activeCell="B11" sqref="B11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'!C24</f>
        <v>ESTRUCTURA</v>
      </c>
      <c r="C9" s="885"/>
      <c r="D9" s="885"/>
      <c r="E9" s="851" t="s">
        <v>74</v>
      </c>
      <c r="F9" s="917" t="str">
        <f>'[11]PRES '!D27</f>
        <v>ML</v>
      </c>
    </row>
    <row r="10" spans="1:6" ht="45.75" customHeight="1" x14ac:dyDescent="0.3">
      <c r="A10" s="915" t="s">
        <v>75</v>
      </c>
      <c r="B10" s="922" t="str">
        <f>'[11]PRES '!C27</f>
        <v>Columna en concreto de 3000 PSI (0.30x0.30 m),  incluye acero de refuerzo de 60000 P.S.I (4Ø5/8" y 2Ø1/2" refuerzo y E=Ø3/8" c/d. 0,10 m).</v>
      </c>
      <c r="C10" s="922"/>
      <c r="D10" s="922"/>
      <c r="E10" s="851"/>
      <c r="F10" s="917"/>
    </row>
    <row r="11" spans="1:6" ht="15.6" x14ac:dyDescent="0.3">
      <c r="A11" s="915"/>
      <c r="B11" s="210" t="s">
        <v>907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ht="15.6" x14ac:dyDescent="0.3">
      <c r="A16" s="893" t="s">
        <v>399</v>
      </c>
      <c r="B16" s="894"/>
      <c r="C16" s="158" t="s">
        <v>69</v>
      </c>
      <c r="D16" s="158">
        <v>0.02</v>
      </c>
      <c r="E16" s="185">
        <f>[11]EQ!F21</f>
        <v>50000</v>
      </c>
      <c r="F16" s="186">
        <f t="shared" si="0"/>
        <v>1000</v>
      </c>
    </row>
    <row r="17" spans="1:15" ht="15.6" x14ac:dyDescent="0.3">
      <c r="A17" s="893" t="s">
        <v>515</v>
      </c>
      <c r="B17" s="894"/>
      <c r="C17" s="158" t="s">
        <v>69</v>
      </c>
      <c r="D17" s="158">
        <v>1.4</v>
      </c>
      <c r="E17" s="185">
        <f>[11]EQ!F14</f>
        <v>3000</v>
      </c>
      <c r="F17" s="186">
        <f t="shared" si="0"/>
        <v>4200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7508.32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0.3*0.3</f>
        <v>0.09</v>
      </c>
      <c r="E24" s="213">
        <f>[11]MAT!E25</f>
        <v>678482</v>
      </c>
      <c r="F24" s="167">
        <f>D24*E24</f>
        <v>61063.38</v>
      </c>
      <c r="I24" s="394"/>
      <c r="J24" s="394"/>
      <c r="K24" s="394"/>
      <c r="L24" s="394"/>
      <c r="M24" s="394"/>
    </row>
    <row r="25" spans="1:15" ht="15.6" x14ac:dyDescent="0.3">
      <c r="A25" s="903" t="s">
        <v>508</v>
      </c>
      <c r="B25" s="904"/>
      <c r="C25" s="156" t="s">
        <v>8</v>
      </c>
      <c r="D25" s="165">
        <v>0.18</v>
      </c>
      <c r="E25" s="213">
        <f>[11]MAT!E64</f>
        <v>56238</v>
      </c>
      <c r="F25" s="167">
        <f>D25*E25</f>
        <v>10122.84</v>
      </c>
      <c r="I25" s="394" t="s">
        <v>18</v>
      </c>
      <c r="J25" s="394" t="s">
        <v>12</v>
      </c>
      <c r="K25" s="394" t="s">
        <v>112</v>
      </c>
      <c r="L25" s="394" t="s">
        <v>111</v>
      </c>
      <c r="M25" s="394" t="s">
        <v>113</v>
      </c>
      <c r="O25" s="486"/>
    </row>
    <row r="26" spans="1:15" ht="15" customHeight="1" x14ac:dyDescent="0.3">
      <c r="A26" s="903" t="s">
        <v>695</v>
      </c>
      <c r="B26" s="904"/>
      <c r="C26" s="156" t="s">
        <v>111</v>
      </c>
      <c r="D26" s="165">
        <f>M26</f>
        <v>6.6115200000000005</v>
      </c>
      <c r="E26" s="213">
        <f>[11]MAT!E91</f>
        <v>6950</v>
      </c>
      <c r="F26" s="167">
        <f t="shared" ref="F26:F31" si="1">D26*E26</f>
        <v>45950.064000000006</v>
      </c>
      <c r="H26" s="491" t="s">
        <v>510</v>
      </c>
      <c r="I26" s="490">
        <v>1</v>
      </c>
      <c r="J26" s="491">
        <v>4</v>
      </c>
      <c r="K26" s="491">
        <v>1.552</v>
      </c>
      <c r="L26" s="491">
        <f>I26*J26*K26</f>
        <v>6.2080000000000002</v>
      </c>
      <c r="M26" s="490">
        <f>(L26*0.065)+L26</f>
        <v>6.6115200000000005</v>
      </c>
      <c r="N26" s="486"/>
    </row>
    <row r="27" spans="1:15" ht="15.6" x14ac:dyDescent="0.3">
      <c r="A27" s="903" t="s">
        <v>721</v>
      </c>
      <c r="B27" s="904"/>
      <c r="C27" s="156" t="s">
        <v>111</v>
      </c>
      <c r="D27" s="165">
        <f>M27</f>
        <v>2.0874000000000001</v>
      </c>
      <c r="E27" s="213">
        <f>[11]MAT!E88</f>
        <v>4535.416666666667</v>
      </c>
      <c r="F27" s="167">
        <f t="shared" si="1"/>
        <v>9467.228750000002</v>
      </c>
      <c r="H27" s="491" t="s">
        <v>518</v>
      </c>
      <c r="I27" s="490">
        <v>1</v>
      </c>
      <c r="J27" s="491">
        <v>2</v>
      </c>
      <c r="K27" s="491">
        <v>0.99399999999999999</v>
      </c>
      <c r="L27" s="491">
        <f>I27*J27*K27</f>
        <v>1.988</v>
      </c>
      <c r="M27" s="490">
        <f>(L27*0.05)+L27</f>
        <v>2.0874000000000001</v>
      </c>
    </row>
    <row r="28" spans="1:15" ht="15" customHeight="1" x14ac:dyDescent="0.3">
      <c r="A28" s="903" t="s">
        <v>696</v>
      </c>
      <c r="B28" s="904"/>
      <c r="C28" s="156" t="s">
        <v>111</v>
      </c>
      <c r="D28" s="165">
        <f>L28</f>
        <v>6.2720000000000011</v>
      </c>
      <c r="E28" s="213">
        <f>[11]MAT!E90</f>
        <v>2708.333333333333</v>
      </c>
      <c r="F28" s="167">
        <f t="shared" si="1"/>
        <v>16986.666666666668</v>
      </c>
      <c r="H28" s="491" t="s">
        <v>109</v>
      </c>
      <c r="I28" s="491">
        <v>1.1200000000000001</v>
      </c>
      <c r="J28" s="491">
        <f>1/0.1</f>
        <v>10</v>
      </c>
      <c r="K28" s="491">
        <v>0.56000000000000005</v>
      </c>
      <c r="L28" s="491">
        <f>I28*J28*K28</f>
        <v>6.2720000000000011</v>
      </c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143590.17941666668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197265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9ED68-6FF0-4386-8755-5C482B05E9A1}">
  <sheetPr>
    <tabColor rgb="FFFFFF00"/>
  </sheetPr>
  <dimension ref="A1:O53"/>
  <sheetViews>
    <sheetView view="pageBreakPreview" topLeftCell="A28" zoomScale="70" zoomScaleNormal="100" zoomScaleSheetLayoutView="70" workbookViewId="0">
      <selection activeCell="D42" sqref="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'!C24</f>
        <v>ESTRUCTURA</v>
      </c>
      <c r="C9" s="885"/>
      <c r="D9" s="885"/>
      <c r="E9" s="851" t="s">
        <v>74</v>
      </c>
      <c r="F9" s="917" t="str">
        <f>'[11]PRES '!D28</f>
        <v>ML</v>
      </c>
    </row>
    <row r="10" spans="1:6" ht="31.5" customHeight="1" x14ac:dyDescent="0.3">
      <c r="A10" s="915" t="s">
        <v>75</v>
      </c>
      <c r="B10" s="922" t="str">
        <f>'[11]PRES '!C28</f>
        <v>Viga culata 0.20x0.10 m, incl. Acero (2- 3/8, E-1/4" c/d. 0,10 m).</v>
      </c>
      <c r="C10" s="922"/>
      <c r="D10" s="922"/>
      <c r="E10" s="851"/>
      <c r="F10" s="917"/>
    </row>
    <row r="11" spans="1:6" ht="15.6" x14ac:dyDescent="0.3">
      <c r="A11" s="915"/>
      <c r="B11" s="210" t="s">
        <v>908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ht="15.6" x14ac:dyDescent="0.3">
      <c r="A16" s="893" t="s">
        <v>515</v>
      </c>
      <c r="B16" s="894"/>
      <c r="C16" s="158" t="s">
        <v>69</v>
      </c>
      <c r="D16" s="158">
        <v>0.35</v>
      </c>
      <c r="E16" s="185">
        <f>[11]EQ!F14</f>
        <v>3000</v>
      </c>
      <c r="F16" s="186">
        <f t="shared" si="0"/>
        <v>1050</v>
      </c>
    </row>
    <row r="17" spans="1:15" ht="15.6" x14ac:dyDescent="0.3">
      <c r="A17" s="893"/>
      <c r="B17" s="894"/>
      <c r="C17" s="158"/>
      <c r="D17" s="158"/>
      <c r="E17" s="185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2973.6000000000004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0.1*0.2</f>
        <v>2.0000000000000004E-2</v>
      </c>
      <c r="E24" s="213">
        <f>[11]MAT!E25</f>
        <v>678482</v>
      </c>
      <c r="F24" s="167">
        <f>D24*E24</f>
        <v>13569.640000000003</v>
      </c>
      <c r="I24" s="394" t="s">
        <v>18</v>
      </c>
      <c r="J24" s="394" t="s">
        <v>12</v>
      </c>
      <c r="K24" s="394" t="s">
        <v>112</v>
      </c>
      <c r="L24" s="394" t="s">
        <v>111</v>
      </c>
      <c r="M24" s="394" t="s">
        <v>113</v>
      </c>
    </row>
    <row r="25" spans="1:15" ht="15.6" x14ac:dyDescent="0.3">
      <c r="A25" s="903" t="s">
        <v>696</v>
      </c>
      <c r="B25" s="904"/>
      <c r="C25" s="156" t="s">
        <v>111</v>
      </c>
      <c r="D25" s="253">
        <f>M25</f>
        <v>1.1648000000000001</v>
      </c>
      <c r="E25" s="213">
        <f>[11]MAT!E90</f>
        <v>2708.333333333333</v>
      </c>
      <c r="F25" s="167">
        <f t="shared" ref="F25:F31" si="1">D25*E25</f>
        <v>3154.6666666666665</v>
      </c>
      <c r="H25" s="491" t="s">
        <v>109</v>
      </c>
      <c r="I25" s="490">
        <v>1</v>
      </c>
      <c r="J25" s="491">
        <v>2</v>
      </c>
      <c r="K25" s="491">
        <v>0.56000000000000005</v>
      </c>
      <c r="L25" s="491">
        <f>I25*J25*K25</f>
        <v>1.1200000000000001</v>
      </c>
      <c r="M25" s="490">
        <f>(L25*0.04)+L25</f>
        <v>1.1648000000000001</v>
      </c>
      <c r="N25" s="486"/>
      <c r="O25" s="486"/>
    </row>
    <row r="26" spans="1:15" ht="15" customHeight="1" x14ac:dyDescent="0.3">
      <c r="A26" s="903" t="s">
        <v>719</v>
      </c>
      <c r="B26" s="904"/>
      <c r="C26" s="156" t="s">
        <v>111</v>
      </c>
      <c r="D26" s="253">
        <f>L26</f>
        <v>0.875</v>
      </c>
      <c r="E26" s="213">
        <f>[11]MAT!E89</f>
        <v>1500</v>
      </c>
      <c r="F26" s="167">
        <f>D26*E26</f>
        <v>1312.5</v>
      </c>
      <c r="H26" s="491" t="s">
        <v>110</v>
      </c>
      <c r="I26" s="491">
        <v>0.35</v>
      </c>
      <c r="J26" s="491">
        <v>10</v>
      </c>
      <c r="K26" s="491">
        <v>0.25</v>
      </c>
      <c r="L26" s="491">
        <f>I26*J26*K26</f>
        <v>0.875</v>
      </c>
      <c r="M26" s="491"/>
    </row>
    <row r="27" spans="1:15" ht="15.75" customHeight="1" x14ac:dyDescent="0.3">
      <c r="A27" s="903" t="s">
        <v>508</v>
      </c>
      <c r="B27" s="904"/>
      <c r="C27" s="156" t="s">
        <v>8</v>
      </c>
      <c r="D27" s="165">
        <v>0.1</v>
      </c>
      <c r="E27" s="213">
        <f>[11]MAT!E64</f>
        <v>56238</v>
      </c>
      <c r="F27" s="167">
        <f>D27*E27</f>
        <v>5623.8</v>
      </c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486"/>
      <c r="K28" s="394"/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23660.60666666667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65106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922D0-89DD-4553-BAE6-9035DFE2D90C}">
  <sheetPr>
    <tabColor rgb="FFFFFF00"/>
  </sheetPr>
  <dimension ref="A1:O53"/>
  <sheetViews>
    <sheetView view="pageBreakPreview" topLeftCell="A22" zoomScale="70" zoomScaleNormal="100" zoomScaleSheetLayoutView="70" workbookViewId="0">
      <selection activeCell="A42" sqref="A42: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'!C24</f>
        <v>ESTRUCTURA</v>
      </c>
      <c r="C9" s="885"/>
      <c r="D9" s="885"/>
      <c r="E9" s="851" t="s">
        <v>74</v>
      </c>
      <c r="F9" s="917" t="str">
        <f>'[11]PRES '!D29</f>
        <v>ML</v>
      </c>
    </row>
    <row r="10" spans="1:6" ht="45.75" customHeight="1" x14ac:dyDescent="0.3">
      <c r="A10" s="915" t="s">
        <v>75</v>
      </c>
      <c r="B10" s="922" t="str">
        <f>'[11]PRES '!C29</f>
        <v>Columneta 0,20x0,20 m, en concreto de 3000 psi,  incluye acero de refuerzo de 60000 P.S.I (4Ø1/2" y 2Ø3/8" refuerzo y E=Ø3/8" c/d. 0,10 m).</v>
      </c>
      <c r="C10" s="922"/>
      <c r="D10" s="922"/>
      <c r="E10" s="851"/>
      <c r="F10" s="917"/>
    </row>
    <row r="11" spans="1:6" ht="15.6" x14ac:dyDescent="0.3">
      <c r="A11" s="915"/>
      <c r="B11" s="210" t="s">
        <v>909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ht="15.6" x14ac:dyDescent="0.3">
      <c r="A16" s="893" t="s">
        <v>399</v>
      </c>
      <c r="B16" s="894"/>
      <c r="C16" s="158" t="s">
        <v>69</v>
      </c>
      <c r="D16" s="158">
        <v>0.02</v>
      </c>
      <c r="E16" s="185">
        <f>[11]EQ!F21</f>
        <v>50000</v>
      </c>
      <c r="F16" s="186">
        <f t="shared" si="0"/>
        <v>1000</v>
      </c>
    </row>
    <row r="17" spans="1:15" ht="15.6" x14ac:dyDescent="0.3">
      <c r="A17" s="893" t="s">
        <v>515</v>
      </c>
      <c r="B17" s="894"/>
      <c r="C17" s="158" t="s">
        <v>69</v>
      </c>
      <c r="D17" s="158">
        <v>0.5</v>
      </c>
      <c r="E17" s="185">
        <f>[11]EQ!F14</f>
        <v>3000</v>
      </c>
      <c r="F17" s="186">
        <f t="shared" si="0"/>
        <v>1500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4423.6000000000004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0.2*0.2</f>
        <v>4.0000000000000008E-2</v>
      </c>
      <c r="E24" s="213">
        <f>[11]MAT!E25</f>
        <v>678482</v>
      </c>
      <c r="F24" s="167">
        <f>D24*E24</f>
        <v>27139.280000000006</v>
      </c>
      <c r="I24" s="394"/>
      <c r="J24" s="394"/>
      <c r="K24" s="394"/>
      <c r="L24" s="394"/>
      <c r="M24" s="394"/>
    </row>
    <row r="25" spans="1:15" ht="15.6" x14ac:dyDescent="0.3">
      <c r="A25" s="903" t="s">
        <v>508</v>
      </c>
      <c r="B25" s="904"/>
      <c r="C25" s="156" t="s">
        <v>8</v>
      </c>
      <c r="D25" s="165">
        <v>0.14000000000000001</v>
      </c>
      <c r="E25" s="213">
        <f>[11]MAT!E64</f>
        <v>56238</v>
      </c>
      <c r="F25" s="167">
        <f>D25*E25</f>
        <v>7873.3200000000006</v>
      </c>
      <c r="I25" s="394" t="s">
        <v>18</v>
      </c>
      <c r="J25" s="394" t="s">
        <v>12</v>
      </c>
      <c r="K25" s="394" t="s">
        <v>112</v>
      </c>
      <c r="L25" s="394" t="s">
        <v>111</v>
      </c>
      <c r="M25" s="394" t="s">
        <v>113</v>
      </c>
      <c r="O25" s="486"/>
    </row>
    <row r="26" spans="1:15" ht="15" customHeight="1" x14ac:dyDescent="0.3">
      <c r="A26" s="903" t="s">
        <v>721</v>
      </c>
      <c r="B26" s="904"/>
      <c r="C26" s="156" t="s">
        <v>111</v>
      </c>
      <c r="D26" s="165">
        <f>M26</f>
        <v>4.1748000000000003</v>
      </c>
      <c r="E26" s="213">
        <f>[11]MAT!E88</f>
        <v>4535.416666666667</v>
      </c>
      <c r="F26" s="167">
        <f t="shared" ref="F26:F31" si="1">D26*E26</f>
        <v>18934.457500000004</v>
      </c>
      <c r="H26" s="491" t="s">
        <v>518</v>
      </c>
      <c r="I26" s="490">
        <v>1</v>
      </c>
      <c r="J26" s="491">
        <v>4</v>
      </c>
      <c r="K26" s="491">
        <v>0.99399999999999999</v>
      </c>
      <c r="L26" s="491">
        <f>I26*J26*K26</f>
        <v>3.976</v>
      </c>
      <c r="M26" s="490">
        <f>(L26*0.05)+L26</f>
        <v>4.1748000000000003</v>
      </c>
      <c r="N26" s="486"/>
    </row>
    <row r="27" spans="1:15" ht="15.6" x14ac:dyDescent="0.3">
      <c r="A27" s="903" t="s">
        <v>696</v>
      </c>
      <c r="B27" s="904"/>
      <c r="C27" s="156" t="s">
        <v>111</v>
      </c>
      <c r="D27" s="165">
        <f>M27</f>
        <v>1.1648000000000001</v>
      </c>
      <c r="E27" s="213">
        <f>[11]MAT!E90</f>
        <v>2708.333333333333</v>
      </c>
      <c r="F27" s="167">
        <f t="shared" si="1"/>
        <v>3154.6666666666665</v>
      </c>
      <c r="H27" s="491" t="s">
        <v>109</v>
      </c>
      <c r="I27" s="490">
        <v>1</v>
      </c>
      <c r="J27" s="491">
        <v>2</v>
      </c>
      <c r="K27" s="491">
        <v>0.56000000000000005</v>
      </c>
      <c r="L27" s="491">
        <f>I27*J27*K27</f>
        <v>1.1200000000000001</v>
      </c>
      <c r="M27" s="490">
        <f>(L27*0.04)+L27</f>
        <v>1.1648000000000001</v>
      </c>
    </row>
    <row r="28" spans="1:15" ht="15" customHeight="1" x14ac:dyDescent="0.3">
      <c r="A28" s="903" t="s">
        <v>696</v>
      </c>
      <c r="B28" s="904"/>
      <c r="C28" s="156" t="s">
        <v>111</v>
      </c>
      <c r="D28" s="165">
        <f>L28</f>
        <v>2.1</v>
      </c>
      <c r="E28" s="213">
        <f>[11]MAT!E90</f>
        <v>2708.333333333333</v>
      </c>
      <c r="F28" s="167">
        <f t="shared" si="1"/>
        <v>5687.5</v>
      </c>
      <c r="H28" s="491" t="s">
        <v>109</v>
      </c>
      <c r="I28" s="491">
        <v>0.84</v>
      </c>
      <c r="J28" s="491">
        <v>10</v>
      </c>
      <c r="K28" s="491">
        <v>0.25</v>
      </c>
      <c r="L28" s="491">
        <f>I28*J28*K28</f>
        <v>2.1</v>
      </c>
    </row>
    <row r="29" spans="1:15" ht="15.6" x14ac:dyDescent="0.3">
      <c r="A29" s="903"/>
      <c r="B29" s="904"/>
      <c r="C29" s="156"/>
      <c r="D29" s="165"/>
      <c r="E29" s="216"/>
      <c r="F29" s="167">
        <f t="shared" si="1"/>
        <v>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62789.224166666674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105685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75" customHeight="1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22E9-8599-4312-BC6A-34FE8C63E615}">
  <sheetPr>
    <tabColor rgb="FF7030A0"/>
  </sheetPr>
  <dimension ref="A1:O53"/>
  <sheetViews>
    <sheetView view="pageBreakPreview" topLeftCell="A22" zoomScale="70" zoomScaleNormal="100" zoomScaleSheetLayoutView="70" workbookViewId="0">
      <selection activeCell="J42" sqref="J4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7.33203125" style="1" customWidth="1"/>
    <col min="9" max="9" width="14.88671875" style="1" customWidth="1"/>
    <col min="10" max="10" width="13" style="1" customWidth="1"/>
    <col min="11" max="11" width="13.109375" style="1" customWidth="1"/>
    <col min="12" max="16384" width="11.44140625" style="1"/>
  </cols>
  <sheetData>
    <row r="1" spans="1:12" x14ac:dyDescent="0.3">
      <c r="A1" s="831"/>
      <c r="B1" s="831"/>
      <c r="C1" s="831"/>
      <c r="D1" s="831"/>
      <c r="E1" s="831"/>
      <c r="F1" s="831"/>
    </row>
    <row r="2" spans="1:12" x14ac:dyDescent="0.3">
      <c r="A2" s="831"/>
      <c r="B2" s="831"/>
      <c r="C2" s="831"/>
      <c r="D2" s="831"/>
      <c r="E2" s="831"/>
      <c r="F2" s="831"/>
    </row>
    <row r="3" spans="1:12" x14ac:dyDescent="0.3">
      <c r="A3" s="831"/>
      <c r="B3" s="831"/>
      <c r="C3" s="831"/>
      <c r="D3" s="831"/>
      <c r="E3" s="831"/>
      <c r="F3" s="831"/>
    </row>
    <row r="4" spans="1:12" x14ac:dyDescent="0.3">
      <c r="A4" s="831"/>
      <c r="B4" s="831"/>
      <c r="C4" s="831"/>
      <c r="D4" s="831"/>
      <c r="E4" s="831"/>
      <c r="F4" s="831"/>
    </row>
    <row r="5" spans="1:12" x14ac:dyDescent="0.3">
      <c r="A5" s="831"/>
      <c r="B5" s="831"/>
      <c r="C5" s="831"/>
      <c r="D5" s="831"/>
      <c r="E5" s="831"/>
      <c r="F5" s="831"/>
    </row>
    <row r="6" spans="1:12" x14ac:dyDescent="0.3">
      <c r="A6" s="831"/>
      <c r="B6" s="831"/>
      <c r="C6" s="831"/>
      <c r="D6" s="831"/>
      <c r="E6" s="831"/>
      <c r="F6" s="831"/>
    </row>
    <row r="7" spans="1:12" x14ac:dyDescent="0.3">
      <c r="A7" s="754" t="s">
        <v>72</v>
      </c>
      <c r="B7" s="754"/>
      <c r="C7" s="754"/>
      <c r="D7" s="754"/>
      <c r="E7" s="754"/>
      <c r="F7" s="754"/>
    </row>
    <row r="8" spans="1:12" x14ac:dyDescent="0.3">
      <c r="A8" s="103"/>
      <c r="B8" s="103"/>
      <c r="C8" s="103"/>
      <c r="D8" s="103"/>
      <c r="E8" s="103"/>
      <c r="F8" s="153"/>
    </row>
    <row r="9" spans="1:12" ht="16.2" thickBot="1" x14ac:dyDescent="0.35">
      <c r="A9" s="14" t="s">
        <v>73</v>
      </c>
      <c r="B9" s="885" t="str">
        <f>'[11]PRES '!C44</f>
        <v>CUBIERTA  Y   ESTRUCTURA DE CUBIERTA</v>
      </c>
      <c r="C9" s="885"/>
      <c r="D9" s="885"/>
      <c r="E9" s="851" t="s">
        <v>74</v>
      </c>
      <c r="F9" s="917" t="str">
        <f>'[11]PRES '!D46</f>
        <v>ML</v>
      </c>
    </row>
    <row r="10" spans="1:12" ht="35.25" customHeight="1" thickBot="1" x14ac:dyDescent="0.35">
      <c r="A10" s="915" t="s">
        <v>75</v>
      </c>
      <c r="B10" s="922" t="str">
        <f>'[11]PRES '!C46</f>
        <v>Suministro e instalación de Caballete termoacustic, incluye tornillos autoperforantes.</v>
      </c>
      <c r="C10" s="922"/>
      <c r="D10" s="922"/>
      <c r="E10" s="851"/>
      <c r="F10" s="917"/>
      <c r="H10" s="481">
        <f>'[7]PRES '!E18</f>
        <v>33.44</v>
      </c>
      <c r="I10" s="103"/>
      <c r="J10" s="103"/>
      <c r="K10" s="103"/>
    </row>
    <row r="11" spans="1:12" x14ac:dyDescent="0.3">
      <c r="A11" s="915"/>
      <c r="B11" s="210" t="s">
        <v>1000</v>
      </c>
      <c r="C11" s="210" t="s">
        <v>961</v>
      </c>
      <c r="D11" s="210"/>
      <c r="E11" s="210"/>
      <c r="F11" s="210"/>
      <c r="H11" s="103"/>
      <c r="I11" s="103"/>
      <c r="J11" s="103"/>
      <c r="K11" s="103"/>
    </row>
    <row r="12" spans="1:12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  <c r="K12" s="103"/>
    </row>
    <row r="13" spans="1:12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  <c r="K13" s="103"/>
    </row>
    <row r="14" spans="1:12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  <c r="K14" s="28"/>
    </row>
    <row r="15" spans="1:12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13465.199999999999</v>
      </c>
      <c r="F15" s="186">
        <f t="shared" ref="F15:F19" si="0">D15*E15</f>
        <v>673.26</v>
      </c>
      <c r="H15" s="56">
        <f t="shared" ref="H15:J16" si="1">$H$10*D15</f>
        <v>1.6719999999999999</v>
      </c>
      <c r="I15" s="362">
        <f t="shared" si="1"/>
        <v>450276.28799999994</v>
      </c>
      <c r="J15" s="362">
        <f t="shared" si="1"/>
        <v>22513.814399999999</v>
      </c>
      <c r="K15" s="103"/>
    </row>
    <row r="16" spans="1:12" ht="15" customHeight="1" x14ac:dyDescent="0.3">
      <c r="A16" s="893" t="s">
        <v>515</v>
      </c>
      <c r="B16" s="894"/>
      <c r="C16" s="158" t="s">
        <v>69</v>
      </c>
      <c r="D16" s="158">
        <v>0.2</v>
      </c>
      <c r="E16" s="185">
        <f>[7]EQ!F14</f>
        <v>3000</v>
      </c>
      <c r="F16" s="186">
        <f t="shared" si="0"/>
        <v>600</v>
      </c>
      <c r="H16" s="56">
        <f t="shared" si="1"/>
        <v>6.6879999999999997</v>
      </c>
      <c r="I16" s="362">
        <f t="shared" si="1"/>
        <v>100320</v>
      </c>
      <c r="J16" s="362">
        <f t="shared" si="1"/>
        <v>20064</v>
      </c>
      <c r="K16" s="103"/>
      <c r="L16" s="1">
        <f>7*3</f>
        <v>21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  <c r="H17" s="103"/>
      <c r="I17" s="103"/>
      <c r="J17" s="103"/>
      <c r="K17" s="103"/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103"/>
      <c r="I18" s="103"/>
      <c r="J18" s="103"/>
      <c r="K18" s="103"/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  <c r="K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1273.26</v>
      </c>
      <c r="H20" s="482">
        <f>F20*$H$10</f>
        <v>42577.814399999996</v>
      </c>
      <c r="I20" s="103"/>
      <c r="J20" s="103"/>
      <c r="K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  <c r="K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  <c r="K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  <c r="K23" s="28"/>
    </row>
    <row r="24" spans="1:15" ht="15" customHeight="1" x14ac:dyDescent="0.3">
      <c r="A24" s="1003" t="s">
        <v>797</v>
      </c>
      <c r="B24" s="999"/>
      <c r="C24" s="156" t="s">
        <v>21</v>
      </c>
      <c r="D24" s="156">
        <v>0.5</v>
      </c>
      <c r="E24" s="211">
        <f>[7]MAT!E53</f>
        <v>52000</v>
      </c>
      <c r="F24" s="167">
        <f>D24*E24</f>
        <v>26000</v>
      </c>
      <c r="H24" s="56">
        <f t="shared" ref="H24:J25" si="2">$H$10*D24</f>
        <v>16.72</v>
      </c>
      <c r="I24" s="362">
        <f t="shared" si="2"/>
        <v>1738879.9999999998</v>
      </c>
      <c r="J24" s="362">
        <f t="shared" si="2"/>
        <v>869439.99999999988</v>
      </c>
      <c r="K24" s="103"/>
    </row>
    <row r="25" spans="1:15" ht="15" customHeight="1" x14ac:dyDescent="0.3">
      <c r="A25" s="996" t="s">
        <v>570</v>
      </c>
      <c r="B25" s="997"/>
      <c r="C25" s="156" t="s">
        <v>21</v>
      </c>
      <c r="D25" s="165">
        <v>6</v>
      </c>
      <c r="E25" s="211">
        <f>+'[7]A2,1'!E25</f>
        <v>1150</v>
      </c>
      <c r="F25" s="167">
        <f>D25*E25</f>
        <v>6900</v>
      </c>
      <c r="H25" s="56">
        <f t="shared" si="2"/>
        <v>200.64</v>
      </c>
      <c r="I25" s="362">
        <f t="shared" si="2"/>
        <v>38456</v>
      </c>
      <c r="J25" s="362">
        <f t="shared" si="2"/>
        <v>230735.99999999997</v>
      </c>
      <c r="K25" s="103"/>
      <c r="M25" s="214"/>
      <c r="N25" s="214"/>
      <c r="O25" s="214"/>
    </row>
    <row r="26" spans="1:15" ht="15" customHeight="1" x14ac:dyDescent="0.3">
      <c r="A26" s="934"/>
      <c r="B26" s="914"/>
      <c r="C26" s="156"/>
      <c r="D26" s="156"/>
      <c r="E26" s="213"/>
      <c r="F26" s="167">
        <f>D26*E26</f>
        <v>0</v>
      </c>
      <c r="H26" s="103"/>
      <c r="I26" s="103"/>
      <c r="J26" s="103"/>
      <c r="K26" s="103"/>
    </row>
    <row r="27" spans="1:15" x14ac:dyDescent="0.3">
      <c r="A27" s="911"/>
      <c r="B27" s="912"/>
      <c r="C27" s="156"/>
      <c r="D27" s="165"/>
      <c r="E27" s="213"/>
      <c r="F27" s="167">
        <f t="shared" ref="F27:F29" si="3">D27*E27</f>
        <v>0</v>
      </c>
      <c r="H27" s="103"/>
      <c r="I27" s="103"/>
      <c r="J27" s="103"/>
      <c r="K27" s="103"/>
    </row>
    <row r="28" spans="1:15" ht="15" customHeight="1" x14ac:dyDescent="0.3">
      <c r="A28" s="903"/>
      <c r="B28" s="904"/>
      <c r="C28" s="156"/>
      <c r="D28" s="165"/>
      <c r="E28" s="216"/>
      <c r="F28" s="167">
        <f t="shared" si="3"/>
        <v>0</v>
      </c>
      <c r="H28" s="103"/>
      <c r="I28" s="252"/>
      <c r="J28" s="103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3"/>
        <v>0</v>
      </c>
      <c r="H29" s="103"/>
      <c r="I29" s="103"/>
      <c r="J29" s="103"/>
      <c r="K29" s="201"/>
    </row>
    <row r="30" spans="1:15" x14ac:dyDescent="0.3">
      <c r="A30" s="903"/>
      <c r="B30" s="904"/>
      <c r="C30" s="156"/>
      <c r="D30" s="165"/>
      <c r="E30" s="216"/>
      <c r="F30" s="167">
        <f>D30*E30</f>
        <v>0</v>
      </c>
      <c r="H30" s="103"/>
      <c r="I30" s="103"/>
      <c r="J30" s="103"/>
      <c r="K30" s="483"/>
    </row>
    <row r="31" spans="1:15" ht="16.2" thickBot="1" x14ac:dyDescent="0.35">
      <c r="A31" s="905"/>
      <c r="B31" s="906"/>
      <c r="C31" s="178"/>
      <c r="D31" s="178"/>
      <c r="E31" s="218"/>
      <c r="F31" s="179">
        <f t="shared" ref="F31" si="4">D31*E31</f>
        <v>0</v>
      </c>
      <c r="H31" s="103"/>
      <c r="I31" s="103"/>
      <c r="J31" s="103"/>
      <c r="K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32900</v>
      </c>
      <c r="H32" s="482">
        <f>F32*$H$10</f>
        <v>1100176</v>
      </c>
      <c r="I32" s="103"/>
      <c r="J32" s="103"/>
      <c r="K32" s="103"/>
    </row>
    <row r="33" spans="1:11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  <c r="K33" s="103"/>
    </row>
    <row r="34" spans="1:11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  <c r="K34" s="103"/>
    </row>
    <row r="35" spans="1:11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  <c r="K35" s="103"/>
    </row>
    <row r="36" spans="1:11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  <c r="K36" s="103"/>
    </row>
    <row r="37" spans="1:11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  <c r="K37" s="103"/>
    </row>
    <row r="38" spans="1:11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  <c r="K38" s="103"/>
    </row>
    <row r="39" spans="1:11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  <c r="K39" s="103"/>
    </row>
    <row r="40" spans="1:11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  <c r="K40" s="103"/>
    </row>
    <row r="41" spans="1:11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  <c r="K41" s="103"/>
    </row>
    <row r="42" spans="1:11" ht="15.75" customHeight="1" x14ac:dyDescent="0.3">
      <c r="A42" s="893" t="str">
        <f>[7]M.O!B63</f>
        <v>MANO DE OBRA A (1 OF Y 1 AYUD)</v>
      </c>
      <c r="B42" s="894"/>
      <c r="C42" s="176" t="s">
        <v>43</v>
      </c>
      <c r="D42" s="177">
        <f>M.O!F70</f>
        <v>38472</v>
      </c>
      <c r="E42" s="156">
        <v>0.35</v>
      </c>
      <c r="F42" s="167">
        <f>D42*E42</f>
        <v>13465.199999999999</v>
      </c>
      <c r="H42" s="56">
        <f>E42*$H$10</f>
        <v>11.703999999999999</v>
      </c>
      <c r="I42" s="362">
        <f>F42*$H$10</f>
        <v>450276.28799999994</v>
      </c>
      <c r="J42" s="103"/>
      <c r="K42" s="103"/>
    </row>
    <row r="43" spans="1:11" x14ac:dyDescent="0.3">
      <c r="A43" s="883"/>
      <c r="B43" s="884"/>
      <c r="C43" s="176"/>
      <c r="D43" s="156"/>
      <c r="E43" s="156"/>
      <c r="F43" s="167">
        <f t="shared" ref="F43:F45" si="5">D43*E43</f>
        <v>0</v>
      </c>
      <c r="H43" s="103"/>
      <c r="I43" s="103"/>
      <c r="J43" s="103"/>
      <c r="K43" s="103"/>
    </row>
    <row r="44" spans="1:11" x14ac:dyDescent="0.3">
      <c r="A44" s="883"/>
      <c r="B44" s="884"/>
      <c r="C44" s="156"/>
      <c r="D44" s="156"/>
      <c r="E44" s="156"/>
      <c r="F44" s="167">
        <f t="shared" si="5"/>
        <v>0</v>
      </c>
      <c r="H44" s="103"/>
      <c r="I44" s="103"/>
      <c r="J44" s="103"/>
      <c r="K44" s="103"/>
    </row>
    <row r="45" spans="1:11" ht="16.2" thickBot="1" x14ac:dyDescent="0.35">
      <c r="A45" s="898"/>
      <c r="B45" s="899"/>
      <c r="C45" s="178"/>
      <c r="D45" s="178"/>
      <c r="E45" s="178"/>
      <c r="F45" s="179">
        <f t="shared" si="5"/>
        <v>0</v>
      </c>
      <c r="H45" s="103"/>
      <c r="I45" s="103"/>
      <c r="J45" s="103"/>
      <c r="K45" s="103"/>
    </row>
    <row r="46" spans="1:11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13465.199999999999</v>
      </c>
      <c r="H46" s="103"/>
      <c r="I46" s="103"/>
      <c r="J46" s="103"/>
      <c r="K46" s="103"/>
    </row>
    <row r="47" spans="1:11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  <c r="K47" s="103"/>
    </row>
    <row r="48" spans="1:11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47638</v>
      </c>
      <c r="H48" s="482">
        <f>F48*$H$10</f>
        <v>1593014.72</v>
      </c>
      <c r="I48" s="103"/>
      <c r="J48" s="103"/>
      <c r="K48" s="103"/>
    </row>
    <row r="49" spans="1:11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  <c r="K49" s="103"/>
    </row>
    <row r="50" spans="1:11" x14ac:dyDescent="0.3">
      <c r="A50" s="103"/>
      <c r="B50" s="103"/>
      <c r="C50" s="103"/>
      <c r="D50" s="103"/>
      <c r="E50" s="103"/>
      <c r="F50" s="153"/>
    </row>
    <row r="52" spans="1:11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11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E66FF-3F07-466D-9D60-B6748374D73C}">
  <sheetPr>
    <tabColor rgb="FFFFFF00"/>
  </sheetPr>
  <dimension ref="A1:O53"/>
  <sheetViews>
    <sheetView view="pageBreakPreview" topLeftCell="A22" zoomScale="70" zoomScaleNormal="100" zoomScaleSheetLayoutView="70" workbookViewId="0">
      <selection activeCell="K41" sqref="K41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'!C44</f>
        <v>CUBIERTA  Y   ESTRUCTURA DE CUBIERTA</v>
      </c>
      <c r="C9" s="885"/>
      <c r="D9" s="885"/>
      <c r="E9" s="851" t="s">
        <v>74</v>
      </c>
      <c r="F9" s="917" t="str">
        <f>'[11]PRES '!D47</f>
        <v>ML</v>
      </c>
    </row>
    <row r="10" spans="1:6" ht="51.75" customHeight="1" x14ac:dyDescent="0.3">
      <c r="A10" s="915" t="s">
        <v>75</v>
      </c>
      <c r="B10" s="922" t="str">
        <f>'[11]PRES '!C47</f>
        <v xml:space="preserve">Suministro e instalación de Cercha Metalica 2&gt;2"x1/8" superior y 2&gt;1 1/2x3/16 inferior, celosia en &lt;1 1/4X1/8" y varilla 1/2". </v>
      </c>
      <c r="C10" s="922"/>
      <c r="D10" s="922"/>
      <c r="E10" s="851"/>
      <c r="F10" s="917"/>
    </row>
    <row r="11" spans="1:6" ht="15.6" x14ac:dyDescent="0.3">
      <c r="A11" s="915"/>
      <c r="B11" s="210" t="s">
        <v>1001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110798.39999999999</v>
      </c>
      <c r="F15" s="186">
        <f t="shared" ref="F15:F19" si="0">D15*E15</f>
        <v>5539.92</v>
      </c>
    </row>
    <row r="16" spans="1:6" ht="15.6" x14ac:dyDescent="0.3">
      <c r="A16" s="974" t="s">
        <v>1017</v>
      </c>
      <c r="B16" s="974"/>
      <c r="C16" s="158" t="s">
        <v>69</v>
      </c>
      <c r="D16" s="158">
        <v>0.09</v>
      </c>
      <c r="E16" s="187">
        <f>[11]EQ!F20</f>
        <v>50000</v>
      </c>
      <c r="F16" s="186">
        <f t="shared" si="0"/>
        <v>4500</v>
      </c>
    </row>
    <row r="17" spans="1:15" ht="15.6" x14ac:dyDescent="0.3">
      <c r="A17" s="974" t="s">
        <v>1018</v>
      </c>
      <c r="B17" s="974"/>
      <c r="C17" s="158" t="s">
        <v>69</v>
      </c>
      <c r="D17" s="158">
        <v>0.08</v>
      </c>
      <c r="E17" s="187">
        <f>[11]EQ!F19</f>
        <v>35000</v>
      </c>
      <c r="F17" s="186">
        <f t="shared" si="0"/>
        <v>2800</v>
      </c>
    </row>
    <row r="18" spans="1:15" ht="15.6" x14ac:dyDescent="0.3">
      <c r="A18" s="974"/>
      <c r="B18" s="97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12839.92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1003" t="s">
        <v>1019</v>
      </c>
      <c r="B24" s="999"/>
      <c r="C24" s="156" t="s">
        <v>19</v>
      </c>
      <c r="D24" s="156">
        <v>2.14</v>
      </c>
      <c r="E24" s="211">
        <f>[11]MAT!E41</f>
        <v>16231.166666666666</v>
      </c>
      <c r="F24" s="167">
        <f t="shared" ref="F24:F31" si="1">D24*E24</f>
        <v>34734.69666666667</v>
      </c>
    </row>
    <row r="25" spans="1:15" ht="15.6" x14ac:dyDescent="0.3">
      <c r="A25" s="996" t="s">
        <v>1020</v>
      </c>
      <c r="B25" s="997"/>
      <c r="C25" s="156" t="s">
        <v>19</v>
      </c>
      <c r="D25" s="165">
        <v>2.12</v>
      </c>
      <c r="E25" s="211">
        <f>[11]MAT!E40</f>
        <v>19330</v>
      </c>
      <c r="F25" s="167">
        <f t="shared" si="1"/>
        <v>40979.599999999999</v>
      </c>
      <c r="I25" s="486"/>
      <c r="M25" s="486"/>
      <c r="N25" s="486"/>
      <c r="O25" s="486"/>
    </row>
    <row r="26" spans="1:15" ht="15" customHeight="1" x14ac:dyDescent="0.3">
      <c r="A26" s="996" t="s">
        <v>1021</v>
      </c>
      <c r="B26" s="997"/>
      <c r="C26" s="156" t="s">
        <v>19</v>
      </c>
      <c r="D26" s="165">
        <v>2.06</v>
      </c>
      <c r="E26" s="211">
        <f>[11]MAT!E39</f>
        <v>6242.2222222222217</v>
      </c>
      <c r="F26" s="167">
        <f t="shared" si="1"/>
        <v>12858.977777777776</v>
      </c>
    </row>
    <row r="27" spans="1:15" ht="15.6" x14ac:dyDescent="0.3">
      <c r="A27" s="903" t="s">
        <v>511</v>
      </c>
      <c r="B27" s="904"/>
      <c r="C27" s="156" t="s">
        <v>111</v>
      </c>
      <c r="D27" s="165">
        <v>4.2</v>
      </c>
      <c r="E27" s="211">
        <f>[11]MAT!E33</f>
        <v>5000</v>
      </c>
      <c r="F27" s="167">
        <f t="shared" si="1"/>
        <v>21000</v>
      </c>
    </row>
    <row r="28" spans="1:15" ht="15" customHeight="1" x14ac:dyDescent="0.3">
      <c r="A28" s="911" t="s">
        <v>762</v>
      </c>
      <c r="B28" s="912"/>
      <c r="C28" s="156" t="s">
        <v>111</v>
      </c>
      <c r="D28" s="165">
        <v>0.8</v>
      </c>
      <c r="E28" s="211">
        <f>[11]MAT!E77</f>
        <v>23000</v>
      </c>
      <c r="F28" s="167">
        <f t="shared" si="1"/>
        <v>18400</v>
      </c>
      <c r="I28" s="486"/>
      <c r="K28" s="394"/>
    </row>
    <row r="29" spans="1:15" ht="15.6" x14ac:dyDescent="0.3">
      <c r="A29" s="903" t="s">
        <v>571</v>
      </c>
      <c r="B29" s="904"/>
      <c r="C29" s="156" t="s">
        <v>422</v>
      </c>
      <c r="D29" s="165">
        <v>0.3</v>
      </c>
      <c r="E29" s="211">
        <f>[11]MAT!E42</f>
        <v>64700</v>
      </c>
      <c r="F29" s="167">
        <f t="shared" si="1"/>
        <v>19410</v>
      </c>
      <c r="K29" s="487"/>
    </row>
    <row r="30" spans="1:15" ht="15.6" x14ac:dyDescent="0.3">
      <c r="A30" s="903"/>
      <c r="B30" s="904"/>
      <c r="C30" s="156"/>
      <c r="D30" s="165"/>
      <c r="E30" s="216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147383.27444444445</v>
      </c>
    </row>
    <row r="33" spans="1:10" ht="16.8" thickTop="1" thickBot="1" x14ac:dyDescent="0.35">
      <c r="A33" s="103"/>
      <c r="B33" s="103"/>
      <c r="C33" s="103"/>
      <c r="D33" s="103"/>
      <c r="E33" s="103"/>
      <c r="F33" s="153"/>
    </row>
    <row r="34" spans="1:10" ht="15.6" x14ac:dyDescent="0.3">
      <c r="A34" s="895" t="s">
        <v>85</v>
      </c>
      <c r="B34" s="896"/>
      <c r="C34" s="896"/>
      <c r="D34" s="896"/>
      <c r="E34" s="896"/>
      <c r="F34" s="897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10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10" ht="16.8" thickTop="1" thickBot="1" x14ac:dyDescent="0.35">
      <c r="A39" s="103"/>
      <c r="B39" s="103"/>
      <c r="C39" s="103"/>
      <c r="D39" s="103"/>
      <c r="E39" s="103"/>
      <c r="F39" s="153"/>
    </row>
    <row r="40" spans="1:10" ht="15.6" x14ac:dyDescent="0.3">
      <c r="A40" s="895" t="s">
        <v>91</v>
      </c>
      <c r="B40" s="896"/>
      <c r="C40" s="896"/>
      <c r="D40" s="896"/>
      <c r="E40" s="896"/>
      <c r="F40" s="897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10" ht="15" customHeight="1" x14ac:dyDescent="0.3">
      <c r="A42" s="893" t="str">
        <f>[11]M.O!B81</f>
        <v>MANO DE OBRA CARPINTERIA</v>
      </c>
      <c r="B42" s="894"/>
      <c r="C42" s="176" t="s">
        <v>43</v>
      </c>
      <c r="D42" s="177">
        <f>M.O!F88</f>
        <v>46166</v>
      </c>
      <c r="E42" s="156">
        <v>2.4</v>
      </c>
      <c r="F42" s="167">
        <f>D42*E42</f>
        <v>110798.39999999999</v>
      </c>
    </row>
    <row r="43" spans="1:10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10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10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110798.39999999999</v>
      </c>
    </row>
    <row r="47" spans="1:10" ht="16.2" thickTop="1" x14ac:dyDescent="0.3">
      <c r="A47" s="103"/>
      <c r="B47" s="103"/>
      <c r="C47" s="103"/>
      <c r="D47" s="103"/>
      <c r="E47" s="103"/>
      <c r="F47" s="153"/>
      <c r="J47" t="s">
        <v>654</v>
      </c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271022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93140-FD32-4738-8E8C-EFBFCC93C5C9}">
  <sheetPr>
    <tabColor rgb="FFFFFF00"/>
  </sheetPr>
  <dimension ref="A1:O53"/>
  <sheetViews>
    <sheetView view="pageBreakPreview" topLeftCell="A25" zoomScale="70" zoomScaleNormal="100" zoomScaleSheetLayoutView="70" workbookViewId="0">
      <selection activeCell="A42" sqref="A42:D42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'!C54</f>
        <v>CARPINTERÍA METÁLICA</v>
      </c>
      <c r="C9" s="885"/>
      <c r="D9" s="885"/>
      <c r="E9" s="851" t="s">
        <v>74</v>
      </c>
      <c r="F9" s="917" t="str">
        <f>'[11]PRES '!D55</f>
        <v>M2</v>
      </c>
    </row>
    <row r="10" spans="1:6" ht="49.5" customHeight="1" x14ac:dyDescent="0.3">
      <c r="A10" s="915" t="s">
        <v>75</v>
      </c>
      <c r="B10" s="922" t="str">
        <f>'[11]PRES '!C55</f>
        <v xml:space="preserve">Suministro e instalación ventana en tubo cuadrado de 1" cal. 20, incluye anticorrosivo + pintura y todo lo necesario para su correcto funcionamiento. </v>
      </c>
      <c r="C10" s="922"/>
      <c r="D10" s="922"/>
      <c r="E10" s="851"/>
      <c r="F10" s="917"/>
    </row>
    <row r="11" spans="1:6" ht="15.6" x14ac:dyDescent="0.3">
      <c r="A11" s="915"/>
      <c r="B11" s="210" t="s">
        <v>931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83098.8</v>
      </c>
      <c r="F15" s="186">
        <f t="shared" ref="F15:F19" si="0">D15*E15</f>
        <v>4154.9400000000005</v>
      </c>
    </row>
    <row r="16" spans="1:6" ht="15.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4154.9400000000005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6" x14ac:dyDescent="0.3">
      <c r="A24" s="980" t="s">
        <v>765</v>
      </c>
      <c r="B24" s="981"/>
      <c r="C24" s="156" t="s">
        <v>19</v>
      </c>
      <c r="D24" s="156">
        <v>6.4</v>
      </c>
      <c r="E24" s="211">
        <f>[11]MAT!E86</f>
        <v>5562.2222222222226</v>
      </c>
      <c r="F24" s="167">
        <f>D24*E24</f>
        <v>35598.222222222226</v>
      </c>
    </row>
    <row r="25" spans="1:15" ht="15.6" x14ac:dyDescent="0.3">
      <c r="A25" s="980" t="s">
        <v>1022</v>
      </c>
      <c r="B25" s="981"/>
      <c r="C25" s="156" t="s">
        <v>8</v>
      </c>
      <c r="D25" s="165">
        <v>0.35</v>
      </c>
      <c r="E25" s="211">
        <f>[11]MAT!E67</f>
        <v>109982.66666666667</v>
      </c>
      <c r="F25" s="167">
        <f t="shared" ref="F25:F30" si="1">D25*E25</f>
        <v>38493.933333333334</v>
      </c>
      <c r="I25" s="486"/>
      <c r="M25" s="486"/>
      <c r="N25" s="486"/>
      <c r="O25" s="486"/>
    </row>
    <row r="26" spans="1:15" ht="15.6" x14ac:dyDescent="0.3">
      <c r="A26" s="980" t="s">
        <v>766</v>
      </c>
      <c r="B26" s="981"/>
      <c r="C26" s="156" t="s">
        <v>111</v>
      </c>
      <c r="D26" s="165">
        <v>0.25</v>
      </c>
      <c r="E26" s="211">
        <f>[11]MAT!E78</f>
        <v>22250</v>
      </c>
      <c r="F26" s="167">
        <f t="shared" si="1"/>
        <v>5562.5</v>
      </c>
    </row>
    <row r="27" spans="1:15" ht="15.6" x14ac:dyDescent="0.3">
      <c r="A27" s="980" t="s">
        <v>571</v>
      </c>
      <c r="B27" s="981"/>
      <c r="C27" s="156" t="s">
        <v>422</v>
      </c>
      <c r="D27" s="165">
        <v>0.18</v>
      </c>
      <c r="E27" s="211">
        <f>[11]MAT!E42</f>
        <v>64700</v>
      </c>
      <c r="F27" s="167">
        <f t="shared" si="1"/>
        <v>11646</v>
      </c>
    </row>
    <row r="28" spans="1:15" ht="15" customHeight="1" x14ac:dyDescent="0.3">
      <c r="A28" s="1000" t="s">
        <v>763</v>
      </c>
      <c r="B28" s="981"/>
      <c r="C28" s="156" t="s">
        <v>422</v>
      </c>
      <c r="D28" s="165">
        <v>0.4</v>
      </c>
      <c r="E28" s="211">
        <f>[11]MAT!E61</f>
        <v>33416.666666666664</v>
      </c>
      <c r="F28" s="167">
        <f t="shared" si="1"/>
        <v>13366.666666666666</v>
      </c>
      <c r="I28" s="486"/>
      <c r="K28" s="394"/>
    </row>
    <row r="29" spans="1:15" ht="15.6" x14ac:dyDescent="0.3">
      <c r="A29" s="1000" t="s">
        <v>605</v>
      </c>
      <c r="B29" s="981"/>
      <c r="C29" s="156" t="s">
        <v>422</v>
      </c>
      <c r="D29" s="165">
        <v>0.18</v>
      </c>
      <c r="E29" s="211">
        <f>[11]MAT!E62</f>
        <v>85000</v>
      </c>
      <c r="F29" s="167">
        <f t="shared" si="1"/>
        <v>15300</v>
      </c>
      <c r="K29" s="487"/>
    </row>
    <row r="30" spans="1:15" ht="15.6" x14ac:dyDescent="0.3">
      <c r="A30" s="980"/>
      <c r="B30" s="981"/>
      <c r="C30" s="156"/>
      <c r="D30" s="165"/>
      <c r="E30" s="211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119967.32222222224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 t="s">
        <v>86</v>
      </c>
      <c r="B36" s="111">
        <v>1</v>
      </c>
      <c r="C36" s="158">
        <v>10</v>
      </c>
      <c r="D36" s="158">
        <v>1</v>
      </c>
      <c r="E36" s="158">
        <v>50</v>
      </c>
      <c r="F36" s="186">
        <f>C36*D36*E36</f>
        <v>500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500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[11]M.O!B81</f>
        <v>MANO DE OBRA CARPINTERIA</v>
      </c>
      <c r="B42" s="894"/>
      <c r="C42" s="176" t="s">
        <v>43</v>
      </c>
      <c r="D42" s="177">
        <f>M.O!F88</f>
        <v>46166</v>
      </c>
      <c r="E42" s="156">
        <v>1.8</v>
      </c>
      <c r="F42" s="167">
        <f>D42*E42</f>
        <v>83098.8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83098.8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207721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5E432-BBFD-4736-B2C8-323CBC690BBA}">
  <sheetPr>
    <tabColor rgb="FFFFFF00"/>
  </sheetPr>
  <dimension ref="A1:O53"/>
  <sheetViews>
    <sheetView view="pageBreakPreview" topLeftCell="A31" zoomScale="70" zoomScaleNormal="100" zoomScaleSheetLayoutView="70" workbookViewId="0">
      <selection activeCell="B11" sqref="B11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  <col min="11" max="11" width="13.109375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'!C54</f>
        <v>CARPINTERÍA METÁLICA</v>
      </c>
      <c r="C9" s="885"/>
      <c r="D9" s="885"/>
      <c r="E9" s="851" t="s">
        <v>74</v>
      </c>
      <c r="F9" s="917" t="str">
        <f>'[11]PRES '!D56</f>
        <v>M2</v>
      </c>
    </row>
    <row r="10" spans="1:6" ht="32.25" customHeight="1" x14ac:dyDescent="0.3">
      <c r="A10" s="915" t="s">
        <v>75</v>
      </c>
      <c r="B10" s="922" t="str">
        <f>'[11]PRES '!C56</f>
        <v>Suministro e instalación de Luceta en lamina C. R. cal. 20 y tubo cuadrado de 1" cal. 20. Incluye anticorrosivo y pintura.</v>
      </c>
      <c r="C10" s="922"/>
      <c r="D10" s="922"/>
      <c r="E10" s="851"/>
      <c r="F10" s="917"/>
    </row>
    <row r="11" spans="1:6" ht="15.6" x14ac:dyDescent="0.3">
      <c r="A11" s="915"/>
      <c r="B11" s="210" t="s">
        <v>932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92332</v>
      </c>
      <c r="F15" s="186">
        <f t="shared" ref="F15:F19" si="0">D15*E15</f>
        <v>4616.6000000000004</v>
      </c>
    </row>
    <row r="16" spans="1:6" ht="15.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4616.6000000000004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ht="15.6" x14ac:dyDescent="0.3">
      <c r="A22" s="895" t="s">
        <v>81</v>
      </c>
      <c r="B22" s="896"/>
      <c r="C22" s="896"/>
      <c r="D22" s="896"/>
      <c r="E22" s="896"/>
      <c r="F22" s="897"/>
    </row>
    <row r="23" spans="1:15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.6" x14ac:dyDescent="0.3">
      <c r="A24" s="980" t="s">
        <v>765</v>
      </c>
      <c r="B24" s="981"/>
      <c r="C24" s="156" t="s">
        <v>19</v>
      </c>
      <c r="D24" s="156">
        <v>7</v>
      </c>
      <c r="E24" s="211">
        <f>[11]MAT!E86</f>
        <v>5562.2222222222226</v>
      </c>
      <c r="F24" s="167">
        <f>D24*E24</f>
        <v>38935.555555555562</v>
      </c>
    </row>
    <row r="25" spans="1:15" ht="15.6" x14ac:dyDescent="0.3">
      <c r="A25" s="980" t="s">
        <v>1023</v>
      </c>
      <c r="B25" s="981"/>
      <c r="C25" s="156" t="s">
        <v>8</v>
      </c>
      <c r="D25" s="165">
        <v>0.4</v>
      </c>
      <c r="E25" s="211">
        <f>[11]MAT!E67</f>
        <v>109982.66666666667</v>
      </c>
      <c r="F25" s="167">
        <f t="shared" ref="F25:F30" si="1">D25*E25</f>
        <v>43993.066666666673</v>
      </c>
      <c r="I25" s="486"/>
      <c r="M25" s="486"/>
      <c r="N25" s="486"/>
      <c r="O25" s="486"/>
    </row>
    <row r="26" spans="1:15" ht="15.6" x14ac:dyDescent="0.3">
      <c r="A26" s="980" t="s">
        <v>766</v>
      </c>
      <c r="B26" s="981"/>
      <c r="C26" s="156" t="s">
        <v>111</v>
      </c>
      <c r="D26" s="165">
        <v>0.08</v>
      </c>
      <c r="E26" s="211">
        <f>[11]MAT!E78</f>
        <v>22250</v>
      </c>
      <c r="F26" s="167">
        <f t="shared" si="1"/>
        <v>1780</v>
      </c>
    </row>
    <row r="27" spans="1:15" ht="15.6" x14ac:dyDescent="0.3">
      <c r="A27" s="980" t="s">
        <v>571</v>
      </c>
      <c r="B27" s="981"/>
      <c r="C27" s="156" t="s">
        <v>422</v>
      </c>
      <c r="D27" s="165">
        <v>0.05</v>
      </c>
      <c r="E27" s="211">
        <f>[11]MAT!E42</f>
        <v>64700</v>
      </c>
      <c r="F27" s="167">
        <f t="shared" si="1"/>
        <v>3235</v>
      </c>
    </row>
    <row r="28" spans="1:15" ht="15" customHeight="1" x14ac:dyDescent="0.3">
      <c r="A28" s="1000" t="s">
        <v>763</v>
      </c>
      <c r="B28" s="981"/>
      <c r="C28" s="156" t="s">
        <v>422</v>
      </c>
      <c r="D28" s="165">
        <v>0.12</v>
      </c>
      <c r="E28" s="211">
        <f>[11]MAT!E61</f>
        <v>33416.666666666664</v>
      </c>
      <c r="F28" s="167">
        <f t="shared" si="1"/>
        <v>4009.9999999999995</v>
      </c>
      <c r="I28" s="486"/>
      <c r="K28" s="394"/>
    </row>
    <row r="29" spans="1:15" ht="15.6" x14ac:dyDescent="0.3">
      <c r="A29" s="1000" t="s">
        <v>605</v>
      </c>
      <c r="B29" s="981"/>
      <c r="C29" s="156" t="s">
        <v>422</v>
      </c>
      <c r="D29" s="165">
        <v>0.05</v>
      </c>
      <c r="E29" s="211">
        <f>[11]MAT!E62</f>
        <v>85000</v>
      </c>
      <c r="F29" s="167">
        <f t="shared" si="1"/>
        <v>4250</v>
      </c>
      <c r="K29" s="487"/>
    </row>
    <row r="30" spans="1:15" ht="15.6" x14ac:dyDescent="0.3">
      <c r="A30" s="980"/>
      <c r="B30" s="981"/>
      <c r="C30" s="156"/>
      <c r="D30" s="165"/>
      <c r="E30" s="211"/>
      <c r="F30" s="167">
        <f t="shared" si="1"/>
        <v>0</v>
      </c>
      <c r="K30" s="488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96203.622222222242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 t="s">
        <v>86</v>
      </c>
      <c r="B36" s="111">
        <v>1</v>
      </c>
      <c r="C36" s="158">
        <v>10</v>
      </c>
      <c r="D36" s="158">
        <v>1</v>
      </c>
      <c r="E36" s="158">
        <v>50</v>
      </c>
      <c r="F36" s="186">
        <f>C36*D36*E36</f>
        <v>500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500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[11]M.O!B81</f>
        <v>MANO DE OBRA CARPINTERIA</v>
      </c>
      <c r="B42" s="894"/>
      <c r="C42" s="176" t="s">
        <v>43</v>
      </c>
      <c r="D42" s="177">
        <f>M.O!F88</f>
        <v>46166</v>
      </c>
      <c r="E42" s="156">
        <v>2</v>
      </c>
      <c r="F42" s="167">
        <f>D42*E42</f>
        <v>92332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92332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193652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colBreaks count="1" manualBreakCount="1">
    <brk id="6" max="1048575" man="1"/>
  </colBreaks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B8F2D-1D74-4CE1-A62A-48D777C5FF16}">
  <sheetPr>
    <tabColor rgb="FFFFFF00"/>
  </sheetPr>
  <dimension ref="A1:K53"/>
  <sheetViews>
    <sheetView view="pageBreakPreview" topLeftCell="A25" zoomScale="70" zoomScaleNormal="100" zoomScaleSheetLayoutView="70" workbookViewId="0">
      <selection activeCell="B11" sqref="B11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'!C54</f>
        <v>CARPINTERÍA METÁLICA</v>
      </c>
      <c r="C9" s="885"/>
      <c r="D9" s="885"/>
      <c r="E9" s="851" t="s">
        <v>74</v>
      </c>
      <c r="F9" s="917" t="str">
        <f>'[11]PRES '!D57</f>
        <v>UND</v>
      </c>
    </row>
    <row r="10" spans="1:6" ht="46.5" customHeight="1" x14ac:dyDescent="0.3">
      <c r="A10" s="915" t="s">
        <v>75</v>
      </c>
      <c r="B10" s="922" t="str">
        <f>'[11]PRES '!C57</f>
        <v>Suministro e instalación de Marco y puerta metálicos lamina C. R. cal. 20, de 1,00x2.00 m. Incluye anticorrosivo y pintura.</v>
      </c>
      <c r="C10" s="922"/>
      <c r="D10" s="922"/>
      <c r="E10" s="851"/>
      <c r="F10" s="917"/>
    </row>
    <row r="11" spans="1:6" ht="15.6" x14ac:dyDescent="0.3">
      <c r="A11" s="915"/>
      <c r="B11" s="210" t="s">
        <v>933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226213.40000000002</v>
      </c>
      <c r="F15" s="186">
        <f t="shared" ref="F15:F19" si="0">D15*E15</f>
        <v>11310.670000000002</v>
      </c>
    </row>
    <row r="16" spans="1:6" ht="15.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1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1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1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1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11310.670000000002</v>
      </c>
    </row>
    <row r="21" spans="1:11" ht="16.8" thickTop="1" thickBot="1" x14ac:dyDescent="0.35">
      <c r="A21" s="103"/>
      <c r="B21" s="103"/>
      <c r="C21" s="103"/>
      <c r="D21" s="103"/>
      <c r="E21" s="103"/>
      <c r="F21" s="153"/>
    </row>
    <row r="22" spans="1:11" ht="15.6" x14ac:dyDescent="0.3">
      <c r="A22" s="895" t="s">
        <v>81</v>
      </c>
      <c r="B22" s="896"/>
      <c r="C22" s="896"/>
      <c r="D22" s="896"/>
      <c r="E22" s="896"/>
      <c r="F22" s="897"/>
    </row>
    <row r="23" spans="1:11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1" ht="15.6" x14ac:dyDescent="0.3">
      <c r="A24" s="1006" t="s">
        <v>625</v>
      </c>
      <c r="B24" s="1007"/>
      <c r="C24" s="316" t="s">
        <v>21</v>
      </c>
      <c r="D24" s="156">
        <v>3</v>
      </c>
      <c r="E24" s="211">
        <f>[11]MAT!E43</f>
        <v>2600</v>
      </c>
      <c r="F24" s="167">
        <f>D24*E24</f>
        <v>7800</v>
      </c>
    </row>
    <row r="25" spans="1:11" ht="15.6" x14ac:dyDescent="0.3">
      <c r="A25" s="1008" t="s">
        <v>572</v>
      </c>
      <c r="B25" s="1009"/>
      <c r="C25" s="316" t="s">
        <v>21</v>
      </c>
      <c r="D25" s="165">
        <v>2.2999999999999998</v>
      </c>
      <c r="E25" s="211">
        <f>[11]MAT!E67</f>
        <v>109982.66666666667</v>
      </c>
      <c r="F25" s="167">
        <f t="shared" ref="F25:F31" si="1">D25*E25</f>
        <v>252960.13333333333</v>
      </c>
      <c r="I25" s="486"/>
      <c r="J25" s="486"/>
      <c r="K25" s="486"/>
    </row>
    <row r="26" spans="1:11" ht="15.6" x14ac:dyDescent="0.3">
      <c r="A26" s="1008" t="s">
        <v>765</v>
      </c>
      <c r="B26" s="1009"/>
      <c r="C26" s="316" t="s">
        <v>19</v>
      </c>
      <c r="D26" s="165">
        <v>6.1</v>
      </c>
      <c r="E26" s="211">
        <f>[11]MAT!E86</f>
        <v>5562.2222222222226</v>
      </c>
      <c r="F26" s="167">
        <f t="shared" si="1"/>
        <v>33929.555555555555</v>
      </c>
    </row>
    <row r="27" spans="1:11" ht="15.6" x14ac:dyDescent="0.3">
      <c r="A27" s="980" t="s">
        <v>766</v>
      </c>
      <c r="B27" s="981"/>
      <c r="C27" s="156" t="s">
        <v>111</v>
      </c>
      <c r="D27" s="165">
        <v>0.15</v>
      </c>
      <c r="E27" s="211">
        <f>[11]MAT!E78</f>
        <v>22250</v>
      </c>
      <c r="F27" s="167">
        <f t="shared" si="1"/>
        <v>3337.5</v>
      </c>
    </row>
    <row r="28" spans="1:11" ht="15" customHeight="1" x14ac:dyDescent="0.3">
      <c r="A28" s="1006" t="s">
        <v>571</v>
      </c>
      <c r="B28" s="1007"/>
      <c r="C28" s="316" t="s">
        <v>422</v>
      </c>
      <c r="D28" s="165">
        <v>0.18</v>
      </c>
      <c r="E28" s="211">
        <f>[11]MAT!E42</f>
        <v>64700</v>
      </c>
      <c r="F28" s="167">
        <f t="shared" si="1"/>
        <v>11646</v>
      </c>
      <c r="I28" s="486"/>
    </row>
    <row r="29" spans="1:11" ht="15.6" x14ac:dyDescent="0.3">
      <c r="A29" s="1004" t="s">
        <v>1024</v>
      </c>
      <c r="B29" s="1005"/>
      <c r="C29" s="317" t="s">
        <v>21</v>
      </c>
      <c r="D29" s="165">
        <v>1</v>
      </c>
      <c r="E29" s="211">
        <f>[11]MAT!E56</f>
        <v>40200</v>
      </c>
      <c r="F29" s="167">
        <f t="shared" si="1"/>
        <v>40200</v>
      </c>
    </row>
    <row r="30" spans="1:11" ht="15.6" x14ac:dyDescent="0.3">
      <c r="A30" s="1006" t="s">
        <v>605</v>
      </c>
      <c r="B30" s="1007"/>
      <c r="C30" s="88" t="s">
        <v>422</v>
      </c>
      <c r="D30" s="165">
        <v>0.18</v>
      </c>
      <c r="E30" s="211">
        <f>[11]MAT!E62</f>
        <v>85000</v>
      </c>
      <c r="F30" s="167">
        <f t="shared" si="1"/>
        <v>15300</v>
      </c>
    </row>
    <row r="31" spans="1:11" ht="16.2" thickBot="1" x14ac:dyDescent="0.35">
      <c r="A31" s="1010" t="s">
        <v>763</v>
      </c>
      <c r="B31" s="1011"/>
      <c r="C31" s="318" t="s">
        <v>422</v>
      </c>
      <c r="D31" s="178">
        <v>0.4</v>
      </c>
      <c r="E31" s="259">
        <f>[11]MAT!E61</f>
        <v>33416.666666666664</v>
      </c>
      <c r="F31" s="179">
        <f t="shared" si="1"/>
        <v>13366.666666666666</v>
      </c>
    </row>
    <row r="32" spans="1:11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378539.85555555555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 t="s">
        <v>86</v>
      </c>
      <c r="B36" s="111">
        <v>1</v>
      </c>
      <c r="C36" s="158">
        <v>10</v>
      </c>
      <c r="D36" s="158">
        <v>1</v>
      </c>
      <c r="E36" s="158">
        <v>1200</v>
      </c>
      <c r="F36" s="186">
        <f>C36*D36*E36</f>
        <v>12000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12000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[11]M.O!B81</f>
        <v>MANO DE OBRA CARPINTERIA</v>
      </c>
      <c r="B42" s="894"/>
      <c r="C42" s="176" t="s">
        <v>43</v>
      </c>
      <c r="D42" s="177">
        <f>M.O!F88</f>
        <v>46166</v>
      </c>
      <c r="E42" s="156">
        <v>4.9000000000000004</v>
      </c>
      <c r="F42" s="167">
        <f>D42*E42</f>
        <v>226213.40000000002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226213.40000000002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628064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6" orientation="portrait" r:id="rId1"/>
  <colBreaks count="1" manualBreakCount="1">
    <brk id="6" max="1048575" man="1"/>
  </colBreaks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34E1-7311-4BCA-A6D2-06F2E93C9FD4}">
  <dimension ref="A1:I54"/>
  <sheetViews>
    <sheetView view="pageBreakPreview" zoomScale="70" zoomScaleNormal="100" zoomScaleSheetLayoutView="70" workbookViewId="0">
      <selection activeCell="N30" sqref="N30"/>
    </sheetView>
  </sheetViews>
  <sheetFormatPr baseColWidth="10" defaultRowHeight="14.4" x14ac:dyDescent="0.3"/>
  <cols>
    <col min="1" max="1" width="14" customWidth="1"/>
    <col min="2" max="2" width="23" customWidth="1"/>
    <col min="3" max="3" width="14.33203125" customWidth="1"/>
    <col min="4" max="4" width="14.6640625" customWidth="1"/>
    <col min="5" max="5" width="14.5546875" customWidth="1"/>
    <col min="6" max="6" width="13.88671875" style="489" customWidth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ht="15.6" x14ac:dyDescent="0.3">
      <c r="A7" s="754" t="s">
        <v>72</v>
      </c>
      <c r="B7" s="754"/>
      <c r="C7" s="754"/>
      <c r="D7" s="754"/>
      <c r="E7" s="754"/>
      <c r="F7" s="754"/>
    </row>
    <row r="8" spans="1:6" ht="15.6" x14ac:dyDescent="0.3">
      <c r="A8" s="103"/>
      <c r="B8" s="103"/>
      <c r="C8" s="103"/>
      <c r="D8" s="103"/>
      <c r="E8" s="103"/>
      <c r="F8" s="153"/>
    </row>
    <row r="9" spans="1:6" ht="15.6" x14ac:dyDescent="0.3">
      <c r="A9" s="14" t="s">
        <v>73</v>
      </c>
      <c r="B9" s="885" t="str">
        <f>'[11]PRES '!C61</f>
        <v>ESTERIORES</v>
      </c>
      <c r="C9" s="885"/>
      <c r="D9" s="885"/>
      <c r="E9" s="851" t="s">
        <v>74</v>
      </c>
      <c r="F9" s="917" t="str">
        <f>'[11]PRES '!D64</f>
        <v>ML</v>
      </c>
    </row>
    <row r="10" spans="1:6" ht="21.75" customHeight="1" x14ac:dyDescent="0.3">
      <c r="A10" s="915" t="s">
        <v>75</v>
      </c>
      <c r="B10" s="922" t="str">
        <f>'[11]PRES '!C64</f>
        <v>Cuneta a.ll. en concreto de 3.000 PSI, Tipo V, a=0.50 m.</v>
      </c>
      <c r="C10" s="922"/>
      <c r="D10" s="922"/>
      <c r="E10" s="851"/>
      <c r="F10" s="917"/>
    </row>
    <row r="11" spans="1:6" ht="15.6" x14ac:dyDescent="0.3">
      <c r="A11" s="915"/>
      <c r="B11" s="210" t="s">
        <v>940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ht="15.6" x14ac:dyDescent="0.3">
      <c r="A13" s="888" t="s">
        <v>76</v>
      </c>
      <c r="B13" s="889"/>
      <c r="C13" s="889"/>
      <c r="D13" s="889"/>
      <c r="E13" s="889"/>
      <c r="F13" s="890"/>
    </row>
    <row r="14" spans="1:6" s="485" customFormat="1" ht="15.6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ht="15.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9" ht="15.6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9" ht="15.6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9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9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2308.3200000000002</v>
      </c>
    </row>
    <row r="21" spans="1:9" ht="16.8" thickTop="1" thickBot="1" x14ac:dyDescent="0.35">
      <c r="A21" s="103"/>
      <c r="B21" s="103"/>
      <c r="C21" s="103"/>
      <c r="D21" s="103"/>
      <c r="E21" s="103"/>
      <c r="F21" s="153"/>
    </row>
    <row r="22" spans="1:9" ht="15.6" x14ac:dyDescent="0.3">
      <c r="A22" s="895" t="s">
        <v>81</v>
      </c>
      <c r="B22" s="896"/>
      <c r="C22" s="896"/>
      <c r="D22" s="896"/>
      <c r="E22" s="896"/>
      <c r="F22" s="897"/>
    </row>
    <row r="23" spans="1:9" s="485" customFormat="1" ht="15.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9" ht="15.6" x14ac:dyDescent="0.3">
      <c r="A24" s="903" t="s">
        <v>416</v>
      </c>
      <c r="B24" s="904"/>
      <c r="C24" s="156" t="s">
        <v>9</v>
      </c>
      <c r="D24" s="156">
        <v>5.3999999999999999E-2</v>
      </c>
      <c r="E24" s="211">
        <f>[11]MAT!E25</f>
        <v>678482</v>
      </c>
      <c r="F24" s="167">
        <f>D24*E24</f>
        <v>36638.027999999998</v>
      </c>
    </row>
    <row r="25" spans="1:9" ht="15.6" x14ac:dyDescent="0.3">
      <c r="A25" s="903" t="s">
        <v>770</v>
      </c>
      <c r="B25" s="904"/>
      <c r="C25" s="156" t="s">
        <v>111</v>
      </c>
      <c r="D25" s="165">
        <v>1</v>
      </c>
      <c r="E25" s="213">
        <f>[11]MAT!E16</f>
        <v>726.66666666666663</v>
      </c>
      <c r="F25" s="167">
        <f t="shared" ref="F25:F31" si="1">D25*E25</f>
        <v>726.66666666666663</v>
      </c>
      <c r="I25" s="486"/>
    </row>
    <row r="26" spans="1:9" ht="15.6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9" ht="15.6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9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486"/>
    </row>
    <row r="29" spans="1:9" ht="15.6" x14ac:dyDescent="0.3">
      <c r="A29" s="903"/>
      <c r="B29" s="904"/>
      <c r="C29" s="156"/>
      <c r="D29" s="165"/>
      <c r="E29" s="216"/>
      <c r="F29" s="167"/>
    </row>
    <row r="30" spans="1:9" ht="15.6" x14ac:dyDescent="0.3">
      <c r="A30" s="903"/>
      <c r="B30" s="904"/>
      <c r="C30" s="156"/>
      <c r="D30" s="165"/>
      <c r="E30" s="216"/>
      <c r="F30" s="167"/>
    </row>
    <row r="31" spans="1:9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9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37364.694666666663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ht="15.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ht="15.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ht="15.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ht="15.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85839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ht="15.6" x14ac:dyDescent="0.3">
      <c r="A50" s="103"/>
      <c r="B50" s="103"/>
      <c r="C50" s="103"/>
      <c r="D50" s="103"/>
      <c r="E50" s="103"/>
      <c r="F50" s="153"/>
    </row>
    <row r="51" spans="1:7" ht="15.6" x14ac:dyDescent="0.3">
      <c r="A51" s="1"/>
      <c r="B51" s="1"/>
      <c r="C51" s="1"/>
      <c r="D51" s="1"/>
      <c r="E51" s="1"/>
      <c r="F51" s="181"/>
    </row>
    <row r="52" spans="1:7" ht="15.6" x14ac:dyDescent="0.3">
      <c r="A52" s="1014" t="s">
        <v>120</v>
      </c>
      <c r="B52" s="1014"/>
      <c r="C52" s="1"/>
      <c r="D52" s="856" t="s">
        <v>122</v>
      </c>
      <c r="E52" s="856"/>
      <c r="F52" s="856"/>
      <c r="G52" s="9"/>
    </row>
    <row r="53" spans="1:7" ht="15.6" x14ac:dyDescent="0.3">
      <c r="A53" s="741" t="s">
        <v>121</v>
      </c>
      <c r="B53" s="741"/>
      <c r="C53" s="1"/>
      <c r="D53" s="741" t="s">
        <v>123</v>
      </c>
      <c r="E53" s="741"/>
      <c r="F53" s="741"/>
      <c r="G53" s="1"/>
    </row>
    <row r="54" spans="1:7" x14ac:dyDescent="0.3">
      <c r="A54" s="2"/>
      <c r="B54" s="2"/>
      <c r="C54" s="2"/>
      <c r="D54" s="2"/>
      <c r="E54" s="2"/>
      <c r="F54" s="152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5" orientation="portrait" r:id="rId1"/>
  <colBreaks count="1" manualBreakCount="1">
    <brk id="6" max="1048575" man="1"/>
  </colBreaks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01B6-895D-4331-9BD9-1DE13261781A}">
  <sheetPr>
    <tabColor rgb="FF7030A0"/>
  </sheetPr>
  <dimension ref="A1:O53"/>
  <sheetViews>
    <sheetView view="pageBreakPreview" topLeftCell="A25" zoomScale="70" zoomScaleNormal="100" zoomScaleSheetLayoutView="70" workbookViewId="0">
      <selection activeCell="I24" sqref="I2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5.33203125" style="103" bestFit="1" customWidth="1"/>
    <col min="9" max="9" width="14" style="103" bestFit="1" customWidth="1"/>
    <col min="10" max="10" width="12.44140625" style="103" bestFit="1" customWidth="1"/>
    <col min="11" max="11" width="13.109375" style="103" customWidth="1"/>
    <col min="12" max="16384" width="11.44140625" style="1"/>
  </cols>
  <sheetData>
    <row r="1" spans="1:12" x14ac:dyDescent="0.3">
      <c r="A1" s="831"/>
      <c r="B1" s="831"/>
      <c r="C1" s="831"/>
      <c r="D1" s="831"/>
      <c r="E1" s="831"/>
      <c r="F1" s="831"/>
    </row>
    <row r="2" spans="1:12" x14ac:dyDescent="0.3">
      <c r="A2" s="831"/>
      <c r="B2" s="831"/>
      <c r="C2" s="831"/>
      <c r="D2" s="831"/>
      <c r="E2" s="831"/>
      <c r="F2" s="831"/>
    </row>
    <row r="3" spans="1:12" x14ac:dyDescent="0.3">
      <c r="A3" s="831"/>
      <c r="B3" s="831"/>
      <c r="C3" s="831"/>
      <c r="D3" s="831"/>
      <c r="E3" s="831"/>
      <c r="F3" s="831"/>
    </row>
    <row r="4" spans="1:12" x14ac:dyDescent="0.3">
      <c r="A4" s="831"/>
      <c r="B4" s="831"/>
      <c r="C4" s="831"/>
      <c r="D4" s="831"/>
      <c r="E4" s="831"/>
      <c r="F4" s="831"/>
    </row>
    <row r="5" spans="1:12" x14ac:dyDescent="0.3">
      <c r="A5" s="831"/>
      <c r="B5" s="831"/>
      <c r="C5" s="831"/>
      <c r="D5" s="831"/>
      <c r="E5" s="831"/>
      <c r="F5" s="831"/>
    </row>
    <row r="6" spans="1:12" x14ac:dyDescent="0.3">
      <c r="A6" s="831"/>
      <c r="B6" s="831"/>
      <c r="C6" s="831"/>
      <c r="D6" s="831"/>
      <c r="E6" s="831"/>
      <c r="F6" s="831"/>
    </row>
    <row r="7" spans="1:12" x14ac:dyDescent="0.3">
      <c r="A7" s="754" t="s">
        <v>72</v>
      </c>
      <c r="B7" s="754"/>
      <c r="C7" s="754"/>
      <c r="D7" s="754"/>
      <c r="E7" s="754"/>
      <c r="F7" s="754"/>
    </row>
    <row r="8" spans="1:12" x14ac:dyDescent="0.3">
      <c r="A8" s="103"/>
      <c r="B8" s="103"/>
      <c r="C8" s="103"/>
      <c r="D8" s="103"/>
      <c r="E8" s="103"/>
      <c r="F8" s="153"/>
    </row>
    <row r="9" spans="1:12" ht="16.2" thickBot="1" x14ac:dyDescent="0.35">
      <c r="A9" s="14" t="s">
        <v>73</v>
      </c>
      <c r="B9" s="885" t="str">
        <f>'[7]PRES '!C14</f>
        <v>DEMOLICIONES Y DESMONTE DE ELEMENTOS</v>
      </c>
      <c r="C9" s="885"/>
      <c r="D9" s="885"/>
      <c r="E9" s="851" t="s">
        <v>74</v>
      </c>
      <c r="F9" s="917" t="str">
        <f>'[7]PRES '!D15</f>
        <v>M2</v>
      </c>
    </row>
    <row r="10" spans="1:12" ht="34.5" customHeight="1" thickBot="1" x14ac:dyDescent="0.35">
      <c r="A10" s="915" t="s">
        <v>75</v>
      </c>
      <c r="B10" s="922" t="str">
        <f>'[7]PRES '!C15</f>
        <v xml:space="preserve">Desmonte de cubiertas (asbesto cemento) </v>
      </c>
      <c r="C10" s="922"/>
      <c r="D10" s="922"/>
      <c r="E10" s="851"/>
      <c r="F10" s="917"/>
      <c r="H10" s="481">
        <f>'[7]PRES '!E15</f>
        <v>306.31</v>
      </c>
    </row>
    <row r="11" spans="1:12" x14ac:dyDescent="0.3">
      <c r="A11" s="915"/>
      <c r="B11" s="210" t="s">
        <v>958</v>
      </c>
      <c r="C11" s="210"/>
      <c r="D11" s="210"/>
      <c r="E11" s="210"/>
      <c r="F11" s="210"/>
    </row>
    <row r="12" spans="1:12" ht="16.2" thickBot="1" x14ac:dyDescent="0.35">
      <c r="A12" s="103"/>
      <c r="B12" s="103"/>
      <c r="C12" s="103"/>
      <c r="D12" s="103"/>
      <c r="E12" s="103"/>
      <c r="F12" s="153"/>
    </row>
    <row r="13" spans="1:12" x14ac:dyDescent="0.3">
      <c r="A13" s="888" t="s">
        <v>76</v>
      </c>
      <c r="B13" s="889"/>
      <c r="C13" s="889"/>
      <c r="D13" s="889"/>
      <c r="E13" s="889"/>
      <c r="F13" s="890"/>
    </row>
    <row r="14" spans="1:12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  <c r="K14" s="28"/>
    </row>
    <row r="15" spans="1:12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9618</v>
      </c>
      <c r="F15" s="186">
        <f t="shared" ref="F15:F19" si="0">D15*E15</f>
        <v>480.90000000000003</v>
      </c>
      <c r="H15" s="56">
        <f>H10*D15</f>
        <v>15.3155</v>
      </c>
      <c r="I15" s="362">
        <f>H10*E15</f>
        <v>2946089.58</v>
      </c>
      <c r="J15" s="362">
        <f>H10*F15</f>
        <v>147304.47900000002</v>
      </c>
    </row>
    <row r="16" spans="1:12" ht="15" customHeight="1" x14ac:dyDescent="0.3">
      <c r="A16" s="893" t="s">
        <v>515</v>
      </c>
      <c r="B16" s="894"/>
      <c r="C16" s="158" t="s">
        <v>69</v>
      </c>
      <c r="D16" s="158">
        <v>0.05</v>
      </c>
      <c r="E16" s="185">
        <f>[7]EQ!F14</f>
        <v>3000</v>
      </c>
      <c r="F16" s="186">
        <f t="shared" si="0"/>
        <v>150</v>
      </c>
      <c r="H16" s="56">
        <f>H10*D16</f>
        <v>15.3155</v>
      </c>
      <c r="I16" s="362">
        <f>H10*E16</f>
        <v>918930</v>
      </c>
      <c r="J16" s="362">
        <f>H10*F16</f>
        <v>45946.5</v>
      </c>
      <c r="L16" s="10"/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630.90000000000009</v>
      </c>
      <c r="H20" s="482">
        <f>F20*H10</f>
        <v>193250.97900000002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  <c r="K23" s="28"/>
    </row>
    <row r="24" spans="1:15" ht="15" customHeight="1" x14ac:dyDescent="0.3">
      <c r="A24" s="911"/>
      <c r="B24" s="912"/>
      <c r="C24" s="156"/>
      <c r="D24" s="156"/>
      <c r="E24" s="211"/>
      <c r="F24" s="167">
        <f>D24*E24</f>
        <v>0</v>
      </c>
    </row>
    <row r="25" spans="1:15" ht="15" customHeight="1" x14ac:dyDescent="0.3">
      <c r="A25" s="903"/>
      <c r="B25" s="904"/>
      <c r="C25" s="156"/>
      <c r="D25" s="165"/>
      <c r="E25" s="213"/>
      <c r="F25" s="167">
        <f t="shared" ref="F25:F31" si="1">D25*E25</f>
        <v>0</v>
      </c>
      <c r="I25" s="252"/>
      <c r="M25" s="214"/>
      <c r="N25" s="214"/>
      <c r="O25" s="214"/>
    </row>
    <row r="26" spans="1:15" x14ac:dyDescent="0.3">
      <c r="A26" s="934"/>
      <c r="B26" s="914"/>
      <c r="C26" s="156"/>
      <c r="D26" s="156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52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201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483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0</v>
      </c>
      <c r="H32" s="482">
        <f>F32*H10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/>
      <c r="B36" s="111"/>
      <c r="C36" s="158"/>
      <c r="D36" s="158"/>
      <c r="E36" s="158"/>
      <c r="F36" s="186">
        <f>C36*D36*E36</f>
        <v>0</v>
      </c>
    </row>
    <row r="37" spans="1:9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219">
        <f>SUM(F36:F37)</f>
        <v>0</v>
      </c>
      <c r="H38" s="484">
        <f>F38*H10</f>
        <v>0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ht="16.2" thickBot="1" x14ac:dyDescent="0.35">
      <c r="A40" s="935" t="s">
        <v>91</v>
      </c>
      <c r="B40" s="936"/>
      <c r="C40" s="936"/>
      <c r="D40" s="936"/>
      <c r="E40" s="936"/>
      <c r="F40" s="937"/>
    </row>
    <row r="41" spans="1:9" ht="24.75" customHeight="1" x14ac:dyDescent="0.3">
      <c r="A41" s="938" t="s">
        <v>48</v>
      </c>
      <c r="B41" s="939"/>
      <c r="C41" s="220" t="s">
        <v>23</v>
      </c>
      <c r="D41" s="220" t="s">
        <v>378</v>
      </c>
      <c r="E41" s="220" t="s">
        <v>98</v>
      </c>
      <c r="F41" s="221" t="s">
        <v>79</v>
      </c>
    </row>
    <row r="42" spans="1:9" x14ac:dyDescent="0.3">
      <c r="A42" s="893" t="str">
        <f>[7]M.O!B63</f>
        <v>MANO DE OBRA A (1 OF Y 1 AYUD)</v>
      </c>
      <c r="B42" s="894"/>
      <c r="C42" s="176" t="s">
        <v>43</v>
      </c>
      <c r="D42" s="177">
        <f>M.O!F70</f>
        <v>38472</v>
      </c>
      <c r="E42" s="156">
        <v>0.25</v>
      </c>
      <c r="F42" s="167">
        <f>D42*E42</f>
        <v>9618</v>
      </c>
      <c r="H42" s="56">
        <f>E42*H10</f>
        <v>76.577500000000001</v>
      </c>
      <c r="I42" s="362">
        <f>F42*H10</f>
        <v>2946089.58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9618</v>
      </c>
    </row>
    <row r="47" spans="1:9" ht="16.8" thickTop="1" thickBot="1" x14ac:dyDescent="0.35">
      <c r="A47" s="103"/>
      <c r="B47" s="103"/>
      <c r="C47" s="103"/>
      <c r="D47" s="103"/>
      <c r="E47" s="103"/>
      <c r="F47" s="153"/>
    </row>
    <row r="48" spans="1:9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10249</v>
      </c>
      <c r="H48" s="482">
        <f>F48*H10</f>
        <v>3139371.19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9013F-D11B-420F-B43D-5A15504DA4DF}">
  <sheetPr>
    <tabColor rgb="FF7030A0"/>
  </sheetPr>
  <dimension ref="A1:O53"/>
  <sheetViews>
    <sheetView view="pageBreakPreview" topLeftCell="A4" zoomScale="70" zoomScaleNormal="100" zoomScaleSheetLayoutView="70" workbookViewId="0">
      <selection activeCell="B11" sqref="B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0" width="15.109375" style="1" customWidth="1"/>
    <col min="11" max="11" width="13.109375" style="1" customWidth="1"/>
    <col min="12" max="12" width="13.5546875" style="1" bestFit="1" customWidth="1"/>
    <col min="13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'!D20</f>
        <v>ML</v>
      </c>
    </row>
    <row r="10" spans="1:10" ht="48" customHeight="1" thickBot="1" x14ac:dyDescent="0.35">
      <c r="A10" s="915" t="s">
        <v>75</v>
      </c>
      <c r="B10" s="922" t="str">
        <f>'[7]PRES '!C20</f>
        <v>Suministro y aplicación de pintura de Correa en perfil metálica .04x.08 mts Cal. 18. Existente (Incluye lijada de perfil)</v>
      </c>
      <c r="C10" s="922"/>
      <c r="D10" s="922"/>
      <c r="E10" s="851"/>
      <c r="F10" s="917"/>
      <c r="H10" s="481">
        <f>'[7]PRES '!E20</f>
        <v>257.04000000000002</v>
      </c>
      <c r="I10" s="103"/>
      <c r="J10" s="103"/>
    </row>
    <row r="11" spans="1:10" x14ac:dyDescent="0.3">
      <c r="A11" s="915"/>
      <c r="B11" s="210" t="s">
        <v>963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781.3236254635417</v>
      </c>
      <c r="F15" s="186">
        <f t="shared" ref="F15:F19" si="0">D15*E15</f>
        <v>39.066181273177087</v>
      </c>
      <c r="H15" s="56">
        <f t="shared" ref="H15:J18" si="1">$H$10*D15</f>
        <v>12.852000000000002</v>
      </c>
      <c r="I15" s="362">
        <f t="shared" si="1"/>
        <v>200831.42468914879</v>
      </c>
      <c r="J15" s="362">
        <f t="shared" si="1"/>
        <v>10041.571234457439</v>
      </c>
    </row>
    <row r="16" spans="1:10" x14ac:dyDescent="0.3">
      <c r="A16" s="893" t="s">
        <v>515</v>
      </c>
      <c r="B16" s="894"/>
      <c r="C16" s="158" t="s">
        <v>69</v>
      </c>
      <c r="D16" s="158">
        <v>0.01</v>
      </c>
      <c r="E16" s="185">
        <f>[7]EQ!F14</f>
        <v>3000</v>
      </c>
      <c r="F16" s="186">
        <f t="shared" si="0"/>
        <v>30</v>
      </c>
      <c r="H16" s="56">
        <f t="shared" si="1"/>
        <v>2.5704000000000002</v>
      </c>
      <c r="I16" s="362">
        <f t="shared" si="1"/>
        <v>771120.00000000012</v>
      </c>
      <c r="J16" s="362">
        <f t="shared" si="1"/>
        <v>7711.2000000000007</v>
      </c>
    </row>
    <row r="17" spans="1:15" x14ac:dyDescent="0.3">
      <c r="A17" s="989" t="s">
        <v>1025</v>
      </c>
      <c r="B17" s="918"/>
      <c r="C17" s="158" t="s">
        <v>69</v>
      </c>
      <c r="D17" s="161">
        <v>0.01</v>
      </c>
      <c r="E17" s="187">
        <f>[7]EQ!F23</f>
        <v>80000</v>
      </c>
      <c r="F17" s="186">
        <f t="shared" si="0"/>
        <v>800</v>
      </c>
      <c r="H17" s="56">
        <f t="shared" si="1"/>
        <v>2.5704000000000002</v>
      </c>
      <c r="I17" s="362">
        <f t="shared" si="1"/>
        <v>20563200</v>
      </c>
      <c r="J17" s="362">
        <f t="shared" si="1"/>
        <v>205632.00000000003</v>
      </c>
    </row>
    <row r="18" spans="1:15" x14ac:dyDescent="0.3">
      <c r="A18" s="974" t="s">
        <v>1018</v>
      </c>
      <c r="B18" s="974"/>
      <c r="C18" s="158" t="s">
        <v>69</v>
      </c>
      <c r="D18" s="158">
        <v>0.01</v>
      </c>
      <c r="E18" s="187">
        <f>[7]EQ!F19</f>
        <v>35000</v>
      </c>
      <c r="F18" s="186">
        <f t="shared" si="0"/>
        <v>350</v>
      </c>
      <c r="H18" s="56">
        <f t="shared" si="1"/>
        <v>2.5704000000000002</v>
      </c>
      <c r="I18" s="362">
        <f t="shared" si="1"/>
        <v>8996400</v>
      </c>
      <c r="J18" s="362">
        <f t="shared" si="1"/>
        <v>89964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1219.0661812731771</v>
      </c>
      <c r="H20" s="482">
        <f>F20*$H$10</f>
        <v>313348.7712344575</v>
      </c>
      <c r="I20" s="103"/>
      <c r="J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5" ht="15" customHeight="1" x14ac:dyDescent="0.3">
      <c r="A24" s="1000" t="s">
        <v>1026</v>
      </c>
      <c r="B24" s="981"/>
      <c r="C24" s="156" t="s">
        <v>422</v>
      </c>
      <c r="D24" s="165">
        <v>5.0000000000000001E-3</v>
      </c>
      <c r="E24" s="211">
        <f>[7]MAT!E76</f>
        <v>26750</v>
      </c>
      <c r="F24" s="167">
        <f>D24*E24</f>
        <v>133.75</v>
      </c>
      <c r="H24" s="56">
        <f>$H$10*D24</f>
        <v>1.2852000000000001</v>
      </c>
      <c r="I24" s="362">
        <f>$H$10*E24</f>
        <v>6875820.0000000009</v>
      </c>
      <c r="J24" s="362">
        <f t="shared" ref="H24:J29" si="2">$H$10*F24</f>
        <v>34379.100000000006</v>
      </c>
      <c r="K24" s="103"/>
      <c r="L24" s="103"/>
      <c r="M24" s="103"/>
      <c r="N24" s="103"/>
    </row>
    <row r="25" spans="1:15" ht="15.75" customHeight="1" x14ac:dyDescent="0.3">
      <c r="A25" s="996" t="s">
        <v>571</v>
      </c>
      <c r="B25" s="997"/>
      <c r="C25" s="156" t="s">
        <v>422</v>
      </c>
      <c r="D25" s="165">
        <v>0.01</v>
      </c>
      <c r="E25" s="211">
        <f>[7]MAT!E46</f>
        <v>65250</v>
      </c>
      <c r="F25" s="167">
        <f>D25*E25</f>
        <v>652.5</v>
      </c>
      <c r="H25" s="56">
        <f t="shared" si="2"/>
        <v>2.5704000000000002</v>
      </c>
      <c r="I25" s="362">
        <f t="shared" si="2"/>
        <v>16771860.000000002</v>
      </c>
      <c r="J25" s="362">
        <f t="shared" si="2"/>
        <v>167718.6</v>
      </c>
      <c r="K25" s="28"/>
      <c r="L25" s="28"/>
      <c r="M25" s="249"/>
      <c r="N25" s="214"/>
      <c r="O25" s="214"/>
    </row>
    <row r="26" spans="1:15" x14ac:dyDescent="0.3">
      <c r="A26" s="911" t="s">
        <v>1027</v>
      </c>
      <c r="B26" s="912"/>
      <c r="C26" s="156" t="s">
        <v>21</v>
      </c>
      <c r="D26" s="165">
        <v>0.02</v>
      </c>
      <c r="E26" s="211">
        <f>[7]MAT!E150</f>
        <v>6000</v>
      </c>
      <c r="F26" s="167">
        <f t="shared" ref="F26:F28" si="3">D26*E26</f>
        <v>120</v>
      </c>
      <c r="H26" s="56">
        <f t="shared" si="2"/>
        <v>5.1408000000000005</v>
      </c>
      <c r="I26" s="362">
        <f t="shared" si="2"/>
        <v>1542240.0000000002</v>
      </c>
      <c r="J26" s="362">
        <f t="shared" si="2"/>
        <v>30844.800000000003</v>
      </c>
      <c r="K26" s="28"/>
      <c r="L26" s="28"/>
      <c r="M26" s="28"/>
    </row>
    <row r="27" spans="1:15" ht="15.75" customHeight="1" x14ac:dyDescent="0.3">
      <c r="A27" s="1000"/>
      <c r="B27" s="981"/>
      <c r="C27" s="156"/>
      <c r="D27" s="165"/>
      <c r="E27" s="211"/>
      <c r="F27" s="167">
        <f>D27*E27</f>
        <v>0</v>
      </c>
      <c r="H27" s="56">
        <f>$H$10*D27</f>
        <v>0</v>
      </c>
      <c r="I27" s="362">
        <f>$H$10*E27</f>
        <v>0</v>
      </c>
      <c r="J27" s="362">
        <f t="shared" si="2"/>
        <v>0</v>
      </c>
      <c r="L27" s="252"/>
    </row>
    <row r="28" spans="1:15" ht="15" customHeight="1" x14ac:dyDescent="0.3">
      <c r="A28" s="903"/>
      <c r="B28" s="904"/>
      <c r="C28" s="156"/>
      <c r="D28" s="165"/>
      <c r="E28" s="213"/>
      <c r="F28" s="167">
        <f t="shared" si="3"/>
        <v>0</v>
      </c>
      <c r="H28" s="56">
        <f t="shared" si="2"/>
        <v>0</v>
      </c>
      <c r="I28" s="362">
        <f t="shared" si="2"/>
        <v>0</v>
      </c>
      <c r="J28" s="362">
        <f t="shared" si="2"/>
        <v>0</v>
      </c>
      <c r="K28" s="103"/>
    </row>
    <row r="29" spans="1:15" x14ac:dyDescent="0.3">
      <c r="A29" s="970"/>
      <c r="B29" s="971"/>
      <c r="C29" s="52"/>
      <c r="D29" s="52"/>
      <c r="E29" s="52"/>
      <c r="F29" s="167">
        <f t="shared" ref="F29:F30" si="4">D30*E30</f>
        <v>0</v>
      </c>
      <c r="H29" s="56">
        <f t="shared" si="2"/>
        <v>0</v>
      </c>
      <c r="I29" s="362">
        <f t="shared" si="2"/>
        <v>0</v>
      </c>
      <c r="J29" s="362">
        <f t="shared" si="2"/>
        <v>0</v>
      </c>
      <c r="K29" s="10"/>
    </row>
    <row r="30" spans="1:15" x14ac:dyDescent="0.3">
      <c r="A30" s="970"/>
      <c r="B30" s="971"/>
      <c r="C30" s="52"/>
      <c r="D30" s="52"/>
      <c r="E30" s="52"/>
      <c r="F30" s="167">
        <f t="shared" si="4"/>
        <v>0</v>
      </c>
      <c r="H30" s="103"/>
      <c r="I30" s="103"/>
      <c r="J30" s="103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  <c r="H31" s="103"/>
      <c r="I31" s="103"/>
      <c r="J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906.25</v>
      </c>
      <c r="H32" s="482">
        <f>F32*$H$10</f>
        <v>232942.50000000003</v>
      </c>
      <c r="I32" s="103"/>
      <c r="J32" s="103"/>
      <c r="L32" s="364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.75" customHeight="1" x14ac:dyDescent="0.3">
      <c r="A42" s="893" t="str">
        <f>[7]M.O!B90</f>
        <v>MANO DE OBRA PINTURA</v>
      </c>
      <c r="B42" s="894"/>
      <c r="C42" s="176" t="s">
        <v>43</v>
      </c>
      <c r="D42" s="177">
        <f>[7]M.O!F95</f>
        <v>15626.472509270832</v>
      </c>
      <c r="E42" s="156">
        <v>0.05</v>
      </c>
      <c r="F42" s="167">
        <f>D42*E42</f>
        <v>781.3236254635417</v>
      </c>
      <c r="H42" s="56">
        <f>E42*$H$10</f>
        <v>12.852000000000002</v>
      </c>
      <c r="I42" s="362">
        <f>F42*$H$10</f>
        <v>200831.42468914879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5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5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5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781.3236254635417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2907</v>
      </c>
      <c r="H48" s="482">
        <f>F48*$H$10</f>
        <v>747215.28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5E0E6-9F1B-4564-BA80-4E52D1030F0C}">
  <sheetPr>
    <tabColor rgb="FF7030A0"/>
  </sheetPr>
  <dimension ref="A1:O53"/>
  <sheetViews>
    <sheetView view="pageBreakPreview" topLeftCell="A34" zoomScale="70" zoomScaleNormal="100" zoomScaleSheetLayoutView="70" workbookViewId="0">
      <selection activeCell="B11" sqref="B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0" width="15.109375" style="1" customWidth="1"/>
    <col min="11" max="11" width="13.109375" style="1" customWidth="1"/>
    <col min="12" max="12" width="13.5546875" style="1" bestFit="1" customWidth="1"/>
    <col min="13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'!D21</f>
        <v>ML</v>
      </c>
    </row>
    <row r="10" spans="1:10" ht="36.75" customHeight="1" thickBot="1" x14ac:dyDescent="0.35">
      <c r="A10" s="915" t="s">
        <v>75</v>
      </c>
      <c r="B10" s="922" t="str">
        <f>'[7]PRES '!C21</f>
        <v>Suministro y aplicación de pintura de cerchal metálica existente. (Incluye lijada)</v>
      </c>
      <c r="C10" s="922"/>
      <c r="D10" s="922"/>
      <c r="E10" s="851"/>
      <c r="F10" s="917"/>
      <c r="H10" s="481">
        <f>'[7]PRES '!E21</f>
        <v>25.53</v>
      </c>
      <c r="I10" s="103"/>
      <c r="J10" s="103"/>
    </row>
    <row r="11" spans="1:10" x14ac:dyDescent="0.3">
      <c r="A11" s="915"/>
      <c r="B11" s="210" t="s">
        <v>964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7813.2362546354161</v>
      </c>
      <c r="F15" s="186">
        <f t="shared" ref="F15:F19" si="0">D15*E15</f>
        <v>390.66181273177085</v>
      </c>
      <c r="H15" s="56">
        <f t="shared" ref="H15:J18" si="1">$H$10*D15</f>
        <v>1.2765000000000002</v>
      </c>
      <c r="I15" s="362">
        <f t="shared" si="1"/>
        <v>199471.92158084217</v>
      </c>
      <c r="J15" s="362">
        <f t="shared" si="1"/>
        <v>9973.5960790421104</v>
      </c>
    </row>
    <row r="16" spans="1:10" x14ac:dyDescent="0.3">
      <c r="A16" s="893" t="s">
        <v>515</v>
      </c>
      <c r="B16" s="894"/>
      <c r="C16" s="158" t="s">
        <v>69</v>
      </c>
      <c r="D16" s="158">
        <v>0.05</v>
      </c>
      <c r="E16" s="185">
        <f>[7]EQ!F14</f>
        <v>3000</v>
      </c>
      <c r="F16" s="186">
        <f t="shared" si="0"/>
        <v>150</v>
      </c>
      <c r="H16" s="56">
        <f t="shared" si="1"/>
        <v>1.2765000000000002</v>
      </c>
      <c r="I16" s="362">
        <f t="shared" si="1"/>
        <v>76590</v>
      </c>
      <c r="J16" s="362">
        <f t="shared" si="1"/>
        <v>3829.5</v>
      </c>
    </row>
    <row r="17" spans="1:15" x14ac:dyDescent="0.3">
      <c r="A17" s="989" t="s">
        <v>1025</v>
      </c>
      <c r="B17" s="918"/>
      <c r="C17" s="158" t="s">
        <v>69</v>
      </c>
      <c r="D17" s="161">
        <v>0.05</v>
      </c>
      <c r="E17" s="187">
        <f>[7]EQ!F23</f>
        <v>80000</v>
      </c>
      <c r="F17" s="186">
        <f t="shared" si="0"/>
        <v>4000</v>
      </c>
      <c r="H17" s="56">
        <f t="shared" si="1"/>
        <v>1.2765000000000002</v>
      </c>
      <c r="I17" s="362">
        <f t="shared" si="1"/>
        <v>2042400</v>
      </c>
      <c r="J17" s="362">
        <f t="shared" si="1"/>
        <v>102120</v>
      </c>
    </row>
    <row r="18" spans="1:15" x14ac:dyDescent="0.3">
      <c r="A18" s="974" t="s">
        <v>1018</v>
      </c>
      <c r="B18" s="974"/>
      <c r="C18" s="158" t="s">
        <v>69</v>
      </c>
      <c r="D18" s="158">
        <v>0.05</v>
      </c>
      <c r="E18" s="187">
        <f>[7]EQ!F19</f>
        <v>35000</v>
      </c>
      <c r="F18" s="186">
        <f t="shared" si="0"/>
        <v>1750</v>
      </c>
      <c r="H18" s="56">
        <f t="shared" si="1"/>
        <v>1.2765000000000002</v>
      </c>
      <c r="I18" s="362">
        <f t="shared" si="1"/>
        <v>893550</v>
      </c>
      <c r="J18" s="362">
        <f t="shared" si="1"/>
        <v>44677.5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6290.6618127317706</v>
      </c>
      <c r="H20" s="482">
        <f>F20*$H$10</f>
        <v>160600.59607904212</v>
      </c>
      <c r="I20" s="103"/>
      <c r="J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5" ht="15" customHeight="1" x14ac:dyDescent="0.3">
      <c r="A24" s="1000" t="s">
        <v>1026</v>
      </c>
      <c r="B24" s="981"/>
      <c r="C24" s="156" t="s">
        <v>422</v>
      </c>
      <c r="D24" s="165">
        <v>7.0000000000000007E-2</v>
      </c>
      <c r="E24" s="211">
        <f>[7]MAT!E76</f>
        <v>26750</v>
      </c>
      <c r="F24" s="167">
        <f>D24*E24</f>
        <v>1872.5000000000002</v>
      </c>
      <c r="H24" s="56">
        <f>$H$10*D24</f>
        <v>1.7871000000000004</v>
      </c>
      <c r="I24" s="362">
        <f>$H$10*E24</f>
        <v>682927.5</v>
      </c>
      <c r="J24" s="362">
        <f t="shared" ref="H24:J29" si="2">$H$10*F24</f>
        <v>47804.92500000001</v>
      </c>
      <c r="K24" s="103"/>
      <c r="L24" s="103"/>
      <c r="M24" s="103"/>
      <c r="N24" s="103"/>
    </row>
    <row r="25" spans="1:15" ht="15.75" customHeight="1" x14ac:dyDescent="0.3">
      <c r="A25" s="996" t="s">
        <v>571</v>
      </c>
      <c r="B25" s="997"/>
      <c r="C25" s="156" t="s">
        <v>422</v>
      </c>
      <c r="D25" s="165">
        <v>0.1</v>
      </c>
      <c r="E25" s="211">
        <f>[7]MAT!E46</f>
        <v>65250</v>
      </c>
      <c r="F25" s="167">
        <f>D25*E25</f>
        <v>6525</v>
      </c>
      <c r="H25" s="56">
        <f t="shared" si="2"/>
        <v>2.5530000000000004</v>
      </c>
      <c r="I25" s="362">
        <f t="shared" si="2"/>
        <v>1665832.5</v>
      </c>
      <c r="J25" s="362">
        <f t="shared" si="2"/>
        <v>166583.25</v>
      </c>
      <c r="K25" s="28"/>
      <c r="L25" s="28"/>
      <c r="M25" s="249"/>
      <c r="N25" s="214"/>
      <c r="O25" s="214"/>
    </row>
    <row r="26" spans="1:15" x14ac:dyDescent="0.3">
      <c r="A26" s="911" t="s">
        <v>1027</v>
      </c>
      <c r="B26" s="912"/>
      <c r="C26" s="156" t="s">
        <v>21</v>
      </c>
      <c r="D26" s="165">
        <v>0.15</v>
      </c>
      <c r="E26" s="211">
        <f>[7]MAT!E150</f>
        <v>6000</v>
      </c>
      <c r="F26" s="167">
        <f t="shared" ref="F26:F28" si="3">D26*E26</f>
        <v>900</v>
      </c>
      <c r="H26" s="56">
        <f t="shared" si="2"/>
        <v>3.8294999999999999</v>
      </c>
      <c r="I26" s="362">
        <f t="shared" si="2"/>
        <v>153180</v>
      </c>
      <c r="J26" s="362">
        <f t="shared" si="2"/>
        <v>22977</v>
      </c>
      <c r="K26" s="28"/>
      <c r="L26" s="28"/>
      <c r="M26" s="28"/>
    </row>
    <row r="27" spans="1:15" ht="15.75" customHeight="1" x14ac:dyDescent="0.3">
      <c r="A27" s="1000"/>
      <c r="B27" s="981"/>
      <c r="C27" s="156"/>
      <c r="D27" s="165"/>
      <c r="E27" s="211"/>
      <c r="F27" s="167">
        <f>D27*E27</f>
        <v>0</v>
      </c>
      <c r="H27" s="56">
        <f>$H$10*D27</f>
        <v>0</v>
      </c>
      <c r="I27" s="362">
        <f>$H$10*E27</f>
        <v>0</v>
      </c>
      <c r="J27" s="362">
        <f t="shared" si="2"/>
        <v>0</v>
      </c>
      <c r="L27" s="252"/>
    </row>
    <row r="28" spans="1:15" ht="15" customHeight="1" x14ac:dyDescent="0.3">
      <c r="A28" s="903"/>
      <c r="B28" s="904"/>
      <c r="C28" s="156"/>
      <c r="D28" s="165"/>
      <c r="E28" s="213"/>
      <c r="F28" s="167">
        <f t="shared" si="3"/>
        <v>0</v>
      </c>
      <c r="H28" s="56">
        <f t="shared" si="2"/>
        <v>0</v>
      </c>
      <c r="I28" s="362">
        <f t="shared" si="2"/>
        <v>0</v>
      </c>
      <c r="J28" s="362">
        <f t="shared" si="2"/>
        <v>0</v>
      </c>
      <c r="K28" s="103"/>
    </row>
    <row r="29" spans="1:15" x14ac:dyDescent="0.3">
      <c r="A29" s="970"/>
      <c r="B29" s="971"/>
      <c r="C29" s="52"/>
      <c r="D29" s="52"/>
      <c r="E29" s="52"/>
      <c r="F29" s="167">
        <f t="shared" ref="F29:F30" si="4">D30*E30</f>
        <v>0</v>
      </c>
      <c r="H29" s="56">
        <f t="shared" si="2"/>
        <v>0</v>
      </c>
      <c r="I29" s="362">
        <f t="shared" si="2"/>
        <v>0</v>
      </c>
      <c r="J29" s="362">
        <f t="shared" si="2"/>
        <v>0</v>
      </c>
      <c r="K29" s="10"/>
    </row>
    <row r="30" spans="1:15" x14ac:dyDescent="0.3">
      <c r="A30" s="970"/>
      <c r="B30" s="971"/>
      <c r="C30" s="52"/>
      <c r="D30" s="52"/>
      <c r="E30" s="52"/>
      <c r="F30" s="167">
        <f t="shared" si="4"/>
        <v>0</v>
      </c>
      <c r="H30" s="103"/>
      <c r="I30" s="103"/>
      <c r="J30" s="103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>D31*E31</f>
        <v>0</v>
      </c>
      <c r="H31" s="103"/>
      <c r="I31" s="103"/>
      <c r="J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9297.5</v>
      </c>
      <c r="H32" s="482">
        <f>F32*$H$10</f>
        <v>237365.17500000002</v>
      </c>
      <c r="I32" s="103"/>
      <c r="J32" s="103"/>
      <c r="L32" s="364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.75" customHeight="1" x14ac:dyDescent="0.3">
      <c r="A42" s="893" t="str">
        <f>[7]M.O!B90</f>
        <v>MANO DE OBRA PINTURA</v>
      </c>
      <c r="B42" s="894"/>
      <c r="C42" s="176" t="s">
        <v>43</v>
      </c>
      <c r="D42" s="177">
        <f>[7]M.O!F95</f>
        <v>15626.472509270832</v>
      </c>
      <c r="E42" s="156">
        <v>0.5</v>
      </c>
      <c r="F42" s="167">
        <f>D42*E42</f>
        <v>7813.2362546354161</v>
      </c>
      <c r="H42" s="56">
        <f>E42*$H$10</f>
        <v>12.765000000000001</v>
      </c>
      <c r="I42" s="362">
        <f>F42*$H$10</f>
        <v>199471.92158084217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5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5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5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7813.2362546354161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23401</v>
      </c>
      <c r="H48" s="482">
        <f>F48*$H$10</f>
        <v>597427.53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F4900-383D-44D7-9539-960CA9C59DF5}">
  <sheetPr>
    <tabColor rgb="FF7030A0"/>
  </sheetPr>
  <dimension ref="A1:P53"/>
  <sheetViews>
    <sheetView view="pageBreakPreview" topLeftCell="A16" zoomScale="70" zoomScaleNormal="100" zoomScaleSheetLayoutView="70" workbookViewId="0">
      <selection activeCell="B11" sqref="B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1" width="16.6640625" style="1" customWidth="1"/>
    <col min="12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'!D22</f>
        <v>M2</v>
      </c>
    </row>
    <row r="10" spans="1:10" ht="36" customHeight="1" thickBot="1" x14ac:dyDescent="0.35">
      <c r="A10" s="915" t="s">
        <v>75</v>
      </c>
      <c r="B10" s="922" t="str">
        <f>'[7]PRES '!C22</f>
        <v>Suministro y aplicación de pintura vinilo tipo1 tres manos sobre muros.</v>
      </c>
      <c r="C10" s="922"/>
      <c r="D10" s="922"/>
      <c r="E10" s="851"/>
      <c r="F10" s="917"/>
      <c r="H10" s="481">
        <f>'[7]PRES '!E22</f>
        <v>695</v>
      </c>
      <c r="I10" s="103"/>
      <c r="J10" s="103"/>
    </row>
    <row r="11" spans="1:10" x14ac:dyDescent="0.3">
      <c r="A11" s="915"/>
      <c r="B11" s="210" t="s">
        <v>965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v>0.1</v>
      </c>
      <c r="E15" s="185">
        <f>F46</f>
        <v>2693.0400000000004</v>
      </c>
      <c r="F15" s="186">
        <f t="shared" ref="F15:F19" si="0">D15*E15</f>
        <v>269.30400000000003</v>
      </c>
      <c r="H15" s="56">
        <f t="shared" ref="H15:J18" si="1">$H$10*D15</f>
        <v>69.5</v>
      </c>
      <c r="I15" s="362">
        <f t="shared" si="1"/>
        <v>1871662.8000000003</v>
      </c>
      <c r="J15" s="362">
        <f t="shared" si="1"/>
        <v>187166.28000000003</v>
      </c>
    </row>
    <row r="16" spans="1:10" x14ac:dyDescent="0.3">
      <c r="A16" s="893"/>
      <c r="B16" s="894"/>
      <c r="C16" s="158"/>
      <c r="D16" s="158"/>
      <c r="E16" s="185"/>
      <c r="F16" s="186">
        <f t="shared" si="0"/>
        <v>0</v>
      </c>
      <c r="H16" s="56">
        <f t="shared" si="1"/>
        <v>0</v>
      </c>
      <c r="I16" s="362">
        <f t="shared" si="1"/>
        <v>0</v>
      </c>
      <c r="J16" s="362">
        <f t="shared" si="1"/>
        <v>0</v>
      </c>
    </row>
    <row r="17" spans="1:16" x14ac:dyDescent="0.3">
      <c r="A17" s="883"/>
      <c r="B17" s="884"/>
      <c r="C17" s="158"/>
      <c r="D17" s="158"/>
      <c r="E17" s="187"/>
      <c r="F17" s="186">
        <f t="shared" si="0"/>
        <v>0</v>
      </c>
      <c r="H17" s="56">
        <f t="shared" si="1"/>
        <v>0</v>
      </c>
      <c r="I17" s="362">
        <f t="shared" si="1"/>
        <v>0</v>
      </c>
      <c r="J17" s="362">
        <f t="shared" si="1"/>
        <v>0</v>
      </c>
    </row>
    <row r="18" spans="1:16" x14ac:dyDescent="0.3">
      <c r="A18" s="883"/>
      <c r="B18" s="884"/>
      <c r="C18" s="158"/>
      <c r="D18" s="158"/>
      <c r="E18" s="187"/>
      <c r="F18" s="186">
        <f t="shared" si="0"/>
        <v>0</v>
      </c>
      <c r="H18" s="56">
        <f t="shared" si="1"/>
        <v>0</v>
      </c>
      <c r="I18" s="362">
        <f t="shared" si="1"/>
        <v>0</v>
      </c>
      <c r="J18" s="362">
        <f t="shared" si="1"/>
        <v>0</v>
      </c>
    </row>
    <row r="19" spans="1:16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269.30400000000003</v>
      </c>
      <c r="H20" s="482">
        <f>F20*$H$10</f>
        <v>187166.28000000003</v>
      </c>
      <c r="I20" s="103"/>
      <c r="J20" s="103"/>
    </row>
    <row r="21" spans="1:16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6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6" x14ac:dyDescent="0.3">
      <c r="A24" s="903" t="s">
        <v>1028</v>
      </c>
      <c r="B24" s="904"/>
      <c r="C24" s="156" t="s">
        <v>427</v>
      </c>
      <c r="D24" s="165">
        <v>0.06</v>
      </c>
      <c r="E24" s="211">
        <f>[7]MAT!E104</f>
        <v>55945</v>
      </c>
      <c r="F24" s="167">
        <f t="shared" ref="F24:F31" si="2">D24*E24</f>
        <v>3356.7</v>
      </c>
      <c r="H24" s="56">
        <f>$H$10*D24</f>
        <v>41.699999999999996</v>
      </c>
      <c r="I24" s="362">
        <f>$H$10*E24</f>
        <v>38881775</v>
      </c>
      <c r="J24" s="362">
        <f t="shared" ref="H24:J29" si="3">$H$10*F24</f>
        <v>2332906.5</v>
      </c>
      <c r="K24" s="103"/>
    </row>
    <row r="25" spans="1:16" ht="15.75" customHeight="1" x14ac:dyDescent="0.3">
      <c r="A25" s="903"/>
      <c r="B25" s="904"/>
      <c r="C25" s="156"/>
      <c r="D25" s="165"/>
      <c r="E25" s="211"/>
      <c r="F25" s="167">
        <f t="shared" si="2"/>
        <v>0</v>
      </c>
      <c r="H25" s="56">
        <f t="shared" si="3"/>
        <v>0</v>
      </c>
      <c r="I25" s="362">
        <f t="shared" si="3"/>
        <v>0</v>
      </c>
      <c r="J25" s="362">
        <f t="shared" si="3"/>
        <v>0</v>
      </c>
      <c r="K25" s="28"/>
      <c r="L25" s="1">
        <v>1</v>
      </c>
      <c r="M25" s="214">
        <v>16</v>
      </c>
      <c r="N25" s="214" t="s">
        <v>1029</v>
      </c>
      <c r="O25" s="214"/>
    </row>
    <row r="26" spans="1:16" x14ac:dyDescent="0.3">
      <c r="A26" s="903"/>
      <c r="B26" s="904"/>
      <c r="C26" s="156"/>
      <c r="D26" s="165"/>
      <c r="E26" s="211"/>
      <c r="F26" s="167">
        <f t="shared" si="2"/>
        <v>0</v>
      </c>
      <c r="H26" s="56">
        <f t="shared" si="3"/>
        <v>0</v>
      </c>
      <c r="I26" s="362">
        <f t="shared" si="3"/>
        <v>0</v>
      </c>
      <c r="J26" s="362">
        <f t="shared" si="3"/>
        <v>0</v>
      </c>
      <c r="K26" s="28"/>
      <c r="M26" s="214">
        <f>H10</f>
        <v>695</v>
      </c>
      <c r="P26" s="1">
        <f>(M26*L25)/M25</f>
        <v>43.4375</v>
      </c>
    </row>
    <row r="27" spans="1:16" ht="15.75" customHeight="1" x14ac:dyDescent="0.3">
      <c r="A27" s="903"/>
      <c r="B27" s="904"/>
      <c r="C27" s="156"/>
      <c r="D27" s="165"/>
      <c r="E27" s="211"/>
      <c r="F27" s="167">
        <f t="shared" si="2"/>
        <v>0</v>
      </c>
      <c r="H27" s="56">
        <f>$H$10*D27</f>
        <v>0</v>
      </c>
      <c r="I27" s="362">
        <f>$H$10*E27</f>
        <v>0</v>
      </c>
      <c r="J27" s="362">
        <f t="shared" si="3"/>
        <v>0</v>
      </c>
    </row>
    <row r="28" spans="1:16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H28" s="56">
        <f t="shared" si="3"/>
        <v>0</v>
      </c>
      <c r="I28" s="362">
        <f t="shared" si="3"/>
        <v>0</v>
      </c>
      <c r="J28" s="362">
        <f t="shared" si="3"/>
        <v>0</v>
      </c>
      <c r="K28" s="103"/>
    </row>
    <row r="29" spans="1:16" x14ac:dyDescent="0.3">
      <c r="A29" s="903"/>
      <c r="B29" s="904"/>
      <c r="C29" s="156"/>
      <c r="D29" s="165"/>
      <c r="E29" s="211"/>
      <c r="F29" s="167">
        <f t="shared" si="2"/>
        <v>0</v>
      </c>
      <c r="H29" s="56">
        <f t="shared" si="3"/>
        <v>0</v>
      </c>
      <c r="I29" s="362">
        <f t="shared" si="3"/>
        <v>0</v>
      </c>
      <c r="J29" s="362">
        <f t="shared" si="3"/>
        <v>0</v>
      </c>
      <c r="K29" s="10"/>
    </row>
    <row r="30" spans="1:16" x14ac:dyDescent="0.3">
      <c r="A30" s="903"/>
      <c r="B30" s="904"/>
      <c r="C30" s="156"/>
      <c r="D30" s="165"/>
      <c r="E30" s="216"/>
      <c r="F30" s="167">
        <f t="shared" si="2"/>
        <v>0</v>
      </c>
      <c r="H30" s="103"/>
      <c r="I30" s="103"/>
      <c r="J30" s="103"/>
      <c r="K30" s="217"/>
    </row>
    <row r="31" spans="1:16" ht="16.2" thickBot="1" x14ac:dyDescent="0.35">
      <c r="A31" s="905"/>
      <c r="B31" s="906"/>
      <c r="C31" s="178"/>
      <c r="D31" s="178"/>
      <c r="E31" s="218"/>
      <c r="F31" s="179">
        <f t="shared" si="2"/>
        <v>0</v>
      </c>
      <c r="H31" s="103"/>
      <c r="I31" s="103"/>
      <c r="J31" s="103"/>
    </row>
    <row r="32" spans="1:1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3356.7</v>
      </c>
      <c r="H32" s="482">
        <f>F32*$H$10</f>
        <v>2332906.5</v>
      </c>
      <c r="I32" s="103"/>
      <c r="J32" s="103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" customHeight="1" x14ac:dyDescent="0.3">
      <c r="A42" s="893" t="str">
        <f>[7]M.O!B63</f>
        <v>MANO DE OBRA A (1 OF Y 1 AYUD)</v>
      </c>
      <c r="B42" s="894"/>
      <c r="C42" s="176" t="s">
        <v>43</v>
      </c>
      <c r="D42" s="177">
        <f>M.O!F70</f>
        <v>38472</v>
      </c>
      <c r="E42" s="165">
        <v>7.0000000000000007E-2</v>
      </c>
      <c r="F42" s="167">
        <f>D42*E42</f>
        <v>2693.0400000000004</v>
      </c>
      <c r="H42" s="56">
        <f>E42*$H$10</f>
        <v>48.650000000000006</v>
      </c>
      <c r="I42" s="362">
        <f>F42*$H$10</f>
        <v>1871662.8000000003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2693.0400000000004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6319</v>
      </c>
      <c r="H48" s="482">
        <f>F48*$H$10</f>
        <v>4391705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1030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2EEC0-5F9B-49D1-89E2-7C8B5C056501}">
  <sheetPr>
    <tabColor rgb="FF7030A0"/>
  </sheetPr>
  <dimension ref="A1:P53"/>
  <sheetViews>
    <sheetView view="pageBreakPreview" topLeftCell="A19" zoomScale="70" zoomScaleNormal="100" zoomScaleSheetLayoutView="70" workbookViewId="0">
      <selection activeCell="B11" sqref="B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1" width="16.6640625" style="1" customWidth="1"/>
    <col min="12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'!D23</f>
        <v>M2</v>
      </c>
    </row>
    <row r="10" spans="1:10" ht="19.5" customHeight="1" thickBot="1" x14ac:dyDescent="0.35">
      <c r="A10" s="915" t="s">
        <v>75</v>
      </c>
      <c r="B10" s="922" t="str">
        <f>'[7]PRES '!C23</f>
        <v>Suministro y Aplicación de Esmalte sobre lámina llena.</v>
      </c>
      <c r="C10" s="922"/>
      <c r="D10" s="922"/>
      <c r="E10" s="851"/>
      <c r="F10" s="917"/>
      <c r="H10" s="481">
        <f>'[7]PRES '!E23</f>
        <v>35.6</v>
      </c>
      <c r="I10" s="103"/>
      <c r="J10" s="103"/>
    </row>
    <row r="11" spans="1:10" x14ac:dyDescent="0.3">
      <c r="A11" s="915"/>
      <c r="B11" s="210" t="s">
        <v>966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6250.5890037083336</v>
      </c>
      <c r="F15" s="186">
        <f t="shared" ref="F15:F19" si="0">D15*E15</f>
        <v>312.52945018541669</v>
      </c>
      <c r="H15" s="56">
        <f t="shared" ref="H15:J18" si="1">$H$10*D15</f>
        <v>1.7800000000000002</v>
      </c>
      <c r="I15" s="362">
        <f t="shared" si="1"/>
        <v>222520.96853201668</v>
      </c>
      <c r="J15" s="362">
        <f t="shared" si="1"/>
        <v>11126.048426600835</v>
      </c>
    </row>
    <row r="16" spans="1:10" x14ac:dyDescent="0.3">
      <c r="A16" s="989" t="s">
        <v>1025</v>
      </c>
      <c r="B16" s="918"/>
      <c r="C16" s="158" t="s">
        <v>69</v>
      </c>
      <c r="D16" s="161">
        <v>0.01</v>
      </c>
      <c r="E16" s="187">
        <f>[7]EQ!F23</f>
        <v>80000</v>
      </c>
      <c r="F16" s="186">
        <f t="shared" si="0"/>
        <v>800</v>
      </c>
      <c r="H16" s="56">
        <f t="shared" si="1"/>
        <v>0.35600000000000004</v>
      </c>
      <c r="I16" s="362">
        <f t="shared" si="1"/>
        <v>2848000</v>
      </c>
      <c r="J16" s="362">
        <f t="shared" si="1"/>
        <v>28480</v>
      </c>
    </row>
    <row r="17" spans="1:16" x14ac:dyDescent="0.3">
      <c r="A17" s="883"/>
      <c r="B17" s="884"/>
      <c r="C17" s="158"/>
      <c r="D17" s="158"/>
      <c r="E17" s="187"/>
      <c r="F17" s="186">
        <f t="shared" si="0"/>
        <v>0</v>
      </c>
      <c r="H17" s="56">
        <f t="shared" si="1"/>
        <v>0</v>
      </c>
      <c r="I17" s="362">
        <f t="shared" si="1"/>
        <v>0</v>
      </c>
      <c r="J17" s="362">
        <f t="shared" si="1"/>
        <v>0</v>
      </c>
    </row>
    <row r="18" spans="1:16" x14ac:dyDescent="0.3">
      <c r="A18" s="883"/>
      <c r="B18" s="884"/>
      <c r="C18" s="158"/>
      <c r="D18" s="158"/>
      <c r="E18" s="187"/>
      <c r="F18" s="186">
        <f t="shared" si="0"/>
        <v>0</v>
      </c>
      <c r="H18" s="56">
        <f t="shared" si="1"/>
        <v>0</v>
      </c>
      <c r="I18" s="362">
        <f t="shared" si="1"/>
        <v>0</v>
      </c>
      <c r="J18" s="362">
        <f t="shared" si="1"/>
        <v>0</v>
      </c>
    </row>
    <row r="19" spans="1:16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1112.5294501854166</v>
      </c>
      <c r="H20" s="482">
        <f>F20*$H$10</f>
        <v>39606.048426600835</v>
      </c>
      <c r="I20" s="103"/>
      <c r="J20" s="103"/>
    </row>
    <row r="21" spans="1:16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6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6" x14ac:dyDescent="0.3">
      <c r="A24" s="1000" t="s">
        <v>763</v>
      </c>
      <c r="B24" s="981"/>
      <c r="C24" s="156" t="s">
        <v>422</v>
      </c>
      <c r="D24" s="165">
        <v>0.03</v>
      </c>
      <c r="E24" s="211">
        <f>[7]MAT!E76</f>
        <v>26750</v>
      </c>
      <c r="F24" s="167">
        <f t="shared" ref="F24:F31" si="2">D24*E24</f>
        <v>802.5</v>
      </c>
      <c r="H24" s="56">
        <f>$H$10*D24</f>
        <v>1.0680000000000001</v>
      </c>
      <c r="I24" s="362">
        <f>$H$10*E24</f>
        <v>952300</v>
      </c>
      <c r="J24" s="362">
        <f t="shared" ref="H24:J29" si="3">$H$10*F24</f>
        <v>28569</v>
      </c>
      <c r="K24" s="103"/>
      <c r="L24" s="1">
        <v>1</v>
      </c>
      <c r="M24" s="214">
        <v>15</v>
      </c>
      <c r="N24" s="214" t="s">
        <v>1029</v>
      </c>
      <c r="O24" s="214"/>
    </row>
    <row r="25" spans="1:16" x14ac:dyDescent="0.3">
      <c r="A25" s="1000" t="s">
        <v>605</v>
      </c>
      <c r="B25" s="981"/>
      <c r="C25" s="156" t="s">
        <v>422</v>
      </c>
      <c r="D25" s="165">
        <v>0.04</v>
      </c>
      <c r="E25" s="211">
        <f>[7]MAT!E46</f>
        <v>65250</v>
      </c>
      <c r="F25" s="167">
        <f t="shared" si="2"/>
        <v>2610</v>
      </c>
      <c r="H25" s="56">
        <f t="shared" si="3"/>
        <v>1.4240000000000002</v>
      </c>
      <c r="I25" s="362">
        <f t="shared" si="3"/>
        <v>2322900</v>
      </c>
      <c r="J25" s="362">
        <f t="shared" si="3"/>
        <v>92916</v>
      </c>
      <c r="K25" s="28"/>
      <c r="M25" s="214">
        <f>H10</f>
        <v>35.6</v>
      </c>
      <c r="P25" s="1">
        <f>(M25*L24)/M24</f>
        <v>2.3733333333333335</v>
      </c>
    </row>
    <row r="26" spans="1:16" x14ac:dyDescent="0.3">
      <c r="A26" s="1000"/>
      <c r="B26" s="981"/>
      <c r="C26" s="156"/>
      <c r="D26" s="165"/>
      <c r="E26" s="211"/>
      <c r="F26" s="167">
        <f t="shared" si="2"/>
        <v>0</v>
      </c>
      <c r="H26" s="56">
        <f t="shared" si="3"/>
        <v>0</v>
      </c>
      <c r="I26" s="362">
        <f t="shared" si="3"/>
        <v>0</v>
      </c>
      <c r="J26" s="362">
        <f t="shared" si="3"/>
        <v>0</v>
      </c>
      <c r="K26" s="28"/>
    </row>
    <row r="27" spans="1:16" ht="15.75" customHeight="1" x14ac:dyDescent="0.3">
      <c r="A27" s="1000"/>
      <c r="B27" s="981"/>
      <c r="C27" s="156"/>
      <c r="D27" s="165"/>
      <c r="E27" s="211"/>
      <c r="F27" s="167">
        <f t="shared" si="2"/>
        <v>0</v>
      </c>
      <c r="H27" s="56">
        <f>$H$10*D27</f>
        <v>0</v>
      </c>
      <c r="I27" s="362">
        <f>$H$10*E27</f>
        <v>0</v>
      </c>
      <c r="J27" s="362">
        <f t="shared" si="3"/>
        <v>0</v>
      </c>
    </row>
    <row r="28" spans="1:16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H28" s="56">
        <f t="shared" si="3"/>
        <v>0</v>
      </c>
      <c r="I28" s="362">
        <f t="shared" si="3"/>
        <v>0</v>
      </c>
      <c r="J28" s="362">
        <f t="shared" si="3"/>
        <v>0</v>
      </c>
      <c r="K28" s="103"/>
    </row>
    <row r="29" spans="1:16" x14ac:dyDescent="0.3">
      <c r="A29" s="903"/>
      <c r="B29" s="904"/>
      <c r="C29" s="156"/>
      <c r="D29" s="165"/>
      <c r="E29" s="216"/>
      <c r="F29" s="167">
        <f t="shared" si="2"/>
        <v>0</v>
      </c>
      <c r="H29" s="56">
        <f t="shared" si="3"/>
        <v>0</v>
      </c>
      <c r="I29" s="362">
        <f t="shared" si="3"/>
        <v>0</v>
      </c>
      <c r="J29" s="362">
        <f t="shared" si="3"/>
        <v>0</v>
      </c>
      <c r="K29" s="10"/>
    </row>
    <row r="30" spans="1:16" x14ac:dyDescent="0.3">
      <c r="A30" s="903"/>
      <c r="B30" s="904"/>
      <c r="C30" s="156"/>
      <c r="D30" s="165"/>
      <c r="E30" s="216"/>
      <c r="F30" s="167">
        <f t="shared" si="2"/>
        <v>0</v>
      </c>
      <c r="H30" s="103"/>
      <c r="I30" s="103"/>
      <c r="J30" s="103"/>
      <c r="K30" s="217"/>
    </row>
    <row r="31" spans="1:16" ht="16.2" thickBot="1" x14ac:dyDescent="0.35">
      <c r="A31" s="905"/>
      <c r="B31" s="906"/>
      <c r="C31" s="178"/>
      <c r="D31" s="178"/>
      <c r="E31" s="218"/>
      <c r="F31" s="179">
        <f t="shared" si="2"/>
        <v>0</v>
      </c>
      <c r="H31" s="103"/>
      <c r="I31" s="103"/>
      <c r="J31" s="103"/>
    </row>
    <row r="32" spans="1:16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3412.5</v>
      </c>
      <c r="H32" s="482">
        <f>F32*$H$10</f>
        <v>121485</v>
      </c>
      <c r="I32" s="103"/>
      <c r="J32" s="103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" customHeight="1" x14ac:dyDescent="0.3">
      <c r="A42" s="893" t="str">
        <f>[7]M.O!B90</f>
        <v>MANO DE OBRA PINTURA</v>
      </c>
      <c r="B42" s="894"/>
      <c r="C42" s="176" t="s">
        <v>43</v>
      </c>
      <c r="D42" s="177">
        <f>[7]M.O!F95</f>
        <v>15626.472509270832</v>
      </c>
      <c r="E42" s="156">
        <v>0.4</v>
      </c>
      <c r="F42" s="167">
        <f>D42*E42</f>
        <v>6250.5890037083336</v>
      </c>
      <c r="H42" s="56">
        <f>E42*$H$10</f>
        <v>14.240000000000002</v>
      </c>
      <c r="I42" s="362">
        <f>F42*$H$10</f>
        <v>222520.96853201668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6250.5890037083336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10776</v>
      </c>
      <c r="H48" s="482">
        <f>F48*$H$10</f>
        <v>383625.60000000003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1030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9E4D-7BCD-4811-BCC6-E6766E544FAF}">
  <sheetPr>
    <tabColor rgb="FF7030A0"/>
  </sheetPr>
  <dimension ref="A1:O53"/>
  <sheetViews>
    <sheetView view="pageBreakPreview" topLeftCell="A40" zoomScale="70" zoomScaleNormal="100" zoomScaleSheetLayoutView="70" workbookViewId="0">
      <selection activeCell="I32" sqref="I3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2" width="16.6640625" style="1" customWidth="1"/>
    <col min="13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'!D24</f>
        <v>UND</v>
      </c>
    </row>
    <row r="10" spans="1:10" ht="18.75" customHeight="1" thickBot="1" x14ac:dyDescent="0.35">
      <c r="A10" s="915" t="s">
        <v>75</v>
      </c>
      <c r="B10" s="922" t="str">
        <f>'[7]PRES '!C24</f>
        <v>Suministro y Aplicación de Esmalte para marcos de puertas y Ventanas.</v>
      </c>
      <c r="C10" s="922"/>
      <c r="D10" s="922"/>
      <c r="E10" s="851"/>
      <c r="F10" s="917"/>
      <c r="H10" s="481">
        <f>'[7]PRES '!E24</f>
        <v>25</v>
      </c>
      <c r="I10" s="103"/>
      <c r="J10" s="103"/>
    </row>
    <row r="11" spans="1:10" x14ac:dyDescent="0.3">
      <c r="A11" s="915"/>
      <c r="B11" s="210" t="s">
        <v>967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v>0.1</v>
      </c>
      <c r="E15" s="185">
        <f>F46</f>
        <v>6250.5890037083336</v>
      </c>
      <c r="F15" s="186">
        <f t="shared" ref="F15:F19" si="0">D15*E15</f>
        <v>625.05890037083338</v>
      </c>
      <c r="H15" s="56">
        <f t="shared" ref="H15:J18" si="1">$H$10*D15</f>
        <v>2.5</v>
      </c>
      <c r="I15" s="362">
        <f t="shared" si="1"/>
        <v>156264.72509270834</v>
      </c>
      <c r="J15" s="362">
        <f t="shared" si="1"/>
        <v>15626.472509270834</v>
      </c>
    </row>
    <row r="16" spans="1:10" x14ac:dyDescent="0.3">
      <c r="A16" s="989" t="s">
        <v>1025</v>
      </c>
      <c r="B16" s="918"/>
      <c r="C16" s="158" t="s">
        <v>69</v>
      </c>
      <c r="D16" s="161">
        <v>0.01</v>
      </c>
      <c r="E16" s="187">
        <f>[7]EQ!F23</f>
        <v>80000</v>
      </c>
      <c r="F16" s="186">
        <f t="shared" si="0"/>
        <v>800</v>
      </c>
      <c r="H16" s="56">
        <f t="shared" si="1"/>
        <v>0.25</v>
      </c>
      <c r="I16" s="362">
        <f t="shared" si="1"/>
        <v>2000000</v>
      </c>
      <c r="J16" s="362">
        <f t="shared" si="1"/>
        <v>20000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  <c r="H17" s="56">
        <f t="shared" si="1"/>
        <v>0</v>
      </c>
      <c r="I17" s="362">
        <f t="shared" si="1"/>
        <v>0</v>
      </c>
      <c r="J17" s="362">
        <f t="shared" si="1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56">
        <f t="shared" si="1"/>
        <v>0</v>
      </c>
      <c r="I18" s="362">
        <f t="shared" si="1"/>
        <v>0</v>
      </c>
      <c r="J18" s="362">
        <f t="shared" si="1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1425.0589003708333</v>
      </c>
      <c r="H20" s="482">
        <f>F20*$H$10</f>
        <v>35626.472509270832</v>
      </c>
      <c r="I20" s="103"/>
      <c r="J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5" x14ac:dyDescent="0.3">
      <c r="A24" s="1000" t="s">
        <v>763</v>
      </c>
      <c r="B24" s="981"/>
      <c r="C24" s="156" t="s">
        <v>422</v>
      </c>
      <c r="D24" s="165">
        <v>0.03</v>
      </c>
      <c r="E24" s="211">
        <f>[7]MAT!E76</f>
        <v>26750</v>
      </c>
      <c r="F24" s="167">
        <f t="shared" ref="F24:F31" si="2">D24*E24</f>
        <v>802.5</v>
      </c>
      <c r="H24" s="56">
        <f>$H$10*D24</f>
        <v>0.75</v>
      </c>
      <c r="I24" s="362">
        <f>$H$10*E24</f>
        <v>668750</v>
      </c>
      <c r="J24" s="362">
        <f t="shared" ref="H24:J29" si="3">$H$10*F24</f>
        <v>20062.5</v>
      </c>
      <c r="K24" s="103"/>
    </row>
    <row r="25" spans="1:15" ht="15.75" customHeight="1" x14ac:dyDescent="0.3">
      <c r="A25" s="1000" t="s">
        <v>605</v>
      </c>
      <c r="B25" s="981"/>
      <c r="C25" s="156" t="s">
        <v>422</v>
      </c>
      <c r="D25" s="165">
        <v>0.05</v>
      </c>
      <c r="E25" s="211">
        <f>[7]MAT!E46</f>
        <v>65250</v>
      </c>
      <c r="F25" s="167">
        <f t="shared" si="2"/>
        <v>3262.5</v>
      </c>
      <c r="H25" s="56">
        <f t="shared" si="3"/>
        <v>1.25</v>
      </c>
      <c r="I25" s="362">
        <f t="shared" si="3"/>
        <v>1631250</v>
      </c>
      <c r="J25" s="362">
        <f t="shared" si="3"/>
        <v>81562.5</v>
      </c>
      <c r="K25" s="28"/>
      <c r="M25" s="214"/>
      <c r="N25" s="214"/>
      <c r="O25" s="214"/>
    </row>
    <row r="26" spans="1:15" x14ac:dyDescent="0.3">
      <c r="A26" s="1000"/>
      <c r="B26" s="981"/>
      <c r="C26" s="156"/>
      <c r="D26" s="165"/>
      <c r="E26" s="211"/>
      <c r="F26" s="167">
        <f t="shared" si="2"/>
        <v>0</v>
      </c>
      <c r="H26" s="56">
        <f t="shared" si="3"/>
        <v>0</v>
      </c>
      <c r="I26" s="362">
        <f t="shared" si="3"/>
        <v>0</v>
      </c>
      <c r="J26" s="362">
        <f t="shared" si="3"/>
        <v>0</v>
      </c>
      <c r="K26" s="28"/>
    </row>
    <row r="27" spans="1:15" ht="15.75" customHeight="1" x14ac:dyDescent="0.3">
      <c r="A27" s="1000"/>
      <c r="B27" s="981"/>
      <c r="C27" s="156"/>
      <c r="D27" s="165"/>
      <c r="E27" s="211"/>
      <c r="F27" s="167">
        <f t="shared" si="2"/>
        <v>0</v>
      </c>
      <c r="H27" s="56">
        <f>$H$10*D27</f>
        <v>0</v>
      </c>
      <c r="I27" s="362">
        <f>$H$10*E27</f>
        <v>0</v>
      </c>
      <c r="J27" s="362">
        <f t="shared" si="3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H28" s="56">
        <f t="shared" si="3"/>
        <v>0</v>
      </c>
      <c r="I28" s="362">
        <f t="shared" si="3"/>
        <v>0</v>
      </c>
      <c r="J28" s="362">
        <f t="shared" si="3"/>
        <v>0</v>
      </c>
      <c r="K28" s="103"/>
    </row>
    <row r="29" spans="1:15" x14ac:dyDescent="0.3">
      <c r="A29" s="903"/>
      <c r="B29" s="904"/>
      <c r="C29" s="156"/>
      <c r="D29" s="165"/>
      <c r="E29" s="216"/>
      <c r="F29" s="167">
        <f t="shared" si="2"/>
        <v>0</v>
      </c>
      <c r="H29" s="56">
        <f t="shared" si="3"/>
        <v>0</v>
      </c>
      <c r="I29" s="362">
        <f t="shared" si="3"/>
        <v>0</v>
      </c>
      <c r="J29" s="362">
        <f t="shared" si="3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2"/>
        <v>0</v>
      </c>
      <c r="H30" s="103"/>
      <c r="I30" s="103"/>
      <c r="J30" s="103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2"/>
        <v>0</v>
      </c>
      <c r="H31" s="103"/>
      <c r="I31" s="103"/>
      <c r="J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4065</v>
      </c>
      <c r="H32" s="482">
        <f>F32*$H$10</f>
        <v>101625</v>
      </c>
      <c r="I32" s="103"/>
      <c r="J32" s="103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" customHeight="1" x14ac:dyDescent="0.3">
      <c r="A42" s="893" t="str">
        <f>[7]M.O!B90</f>
        <v>MANO DE OBRA PINTURA</v>
      </c>
      <c r="B42" s="894"/>
      <c r="C42" s="176" t="s">
        <v>43</v>
      </c>
      <c r="D42" s="177">
        <f>[7]M.O!F95</f>
        <v>15626.472509270832</v>
      </c>
      <c r="E42" s="165">
        <v>0.4</v>
      </c>
      <c r="F42" s="167">
        <f>D42*E42</f>
        <v>6250.5890037083336</v>
      </c>
      <c r="H42" s="56">
        <f>E42*$H$10</f>
        <v>10</v>
      </c>
      <c r="I42" s="362">
        <f>F42*$H$10</f>
        <v>156264.72509270834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6250.5890037083336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11741</v>
      </c>
      <c r="H48" s="482">
        <f>F48*$H$10</f>
        <v>293525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1030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46B12-A55D-4B78-8FB8-DF3A20624763}">
  <sheetPr>
    <tabColor rgb="FF7030A0"/>
  </sheetPr>
  <dimension ref="A1:O53"/>
  <sheetViews>
    <sheetView view="pageBreakPreview" topLeftCell="A22" zoomScale="70" zoomScaleNormal="100" zoomScaleSheetLayoutView="70" workbookViewId="0">
      <selection activeCell="B11" sqref="B11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1" width="17.5546875" style="1" customWidth="1"/>
    <col min="12" max="16384" width="11.44140625" style="1"/>
  </cols>
  <sheetData>
    <row r="1" spans="1:11" x14ac:dyDescent="0.3">
      <c r="A1" s="831"/>
      <c r="B1" s="831"/>
      <c r="C1" s="831"/>
      <c r="D1" s="831"/>
      <c r="E1" s="831"/>
      <c r="F1" s="831"/>
    </row>
    <row r="2" spans="1:11" x14ac:dyDescent="0.3">
      <c r="A2" s="831"/>
      <c r="B2" s="831"/>
      <c r="C2" s="831"/>
      <c r="D2" s="831"/>
      <c r="E2" s="831"/>
      <c r="F2" s="831"/>
    </row>
    <row r="3" spans="1:11" x14ac:dyDescent="0.3">
      <c r="A3" s="831"/>
      <c r="B3" s="831"/>
      <c r="C3" s="831"/>
      <c r="D3" s="831"/>
      <c r="E3" s="831"/>
      <c r="F3" s="831"/>
    </row>
    <row r="4" spans="1:11" x14ac:dyDescent="0.3">
      <c r="A4" s="831"/>
      <c r="B4" s="831"/>
      <c r="C4" s="831"/>
      <c r="D4" s="831"/>
      <c r="E4" s="831"/>
      <c r="F4" s="831"/>
    </row>
    <row r="5" spans="1:11" x14ac:dyDescent="0.3">
      <c r="A5" s="831"/>
      <c r="B5" s="831"/>
      <c r="C5" s="831"/>
      <c r="D5" s="831"/>
      <c r="E5" s="831"/>
      <c r="F5" s="831"/>
    </row>
    <row r="6" spans="1:11" x14ac:dyDescent="0.3">
      <c r="A6" s="831"/>
      <c r="B6" s="831"/>
      <c r="C6" s="831"/>
      <c r="D6" s="831"/>
      <c r="E6" s="831"/>
      <c r="F6" s="831"/>
    </row>
    <row r="7" spans="1:11" x14ac:dyDescent="0.3">
      <c r="A7" s="754" t="s">
        <v>72</v>
      </c>
      <c r="B7" s="754"/>
      <c r="C7" s="754"/>
      <c r="D7" s="754"/>
      <c r="E7" s="754"/>
      <c r="F7" s="754"/>
    </row>
    <row r="8" spans="1:11" x14ac:dyDescent="0.3">
      <c r="A8" s="103"/>
      <c r="B8" s="103"/>
      <c r="C8" s="103"/>
      <c r="D8" s="103"/>
      <c r="E8" s="103"/>
      <c r="F8" s="153"/>
    </row>
    <row r="9" spans="1:11" ht="16.2" thickBot="1" x14ac:dyDescent="0.35">
      <c r="A9" s="14" t="s">
        <v>73</v>
      </c>
      <c r="B9" s="885" t="str">
        <f>'[7]PRES '!C19</f>
        <v>PINTURA GENERAL Y ACABADOS</v>
      </c>
      <c r="C9" s="885"/>
      <c r="D9" s="885"/>
      <c r="E9" s="851" t="s">
        <v>74</v>
      </c>
      <c r="F9" s="917" t="str">
        <f>'[7]PRES '!D25</f>
        <v>M2</v>
      </c>
    </row>
    <row r="10" spans="1:11" ht="20.25" customHeight="1" thickBot="1" x14ac:dyDescent="0.35">
      <c r="A10" s="915" t="s">
        <v>75</v>
      </c>
      <c r="B10" s="922" t="str">
        <f>'[7]PRES '!C25</f>
        <v>Suministro y Aplicación de Esmalte para rejas.</v>
      </c>
      <c r="C10" s="922"/>
      <c r="D10" s="922"/>
      <c r="E10" s="851"/>
      <c r="F10" s="917"/>
      <c r="H10" s="481">
        <f>'[7]PRES '!E25</f>
        <v>63.7</v>
      </c>
      <c r="I10" s="103"/>
      <c r="J10" s="103"/>
    </row>
    <row r="11" spans="1:11" x14ac:dyDescent="0.3">
      <c r="A11" s="915"/>
      <c r="B11" s="210" t="s">
        <v>968</v>
      </c>
      <c r="C11" s="210"/>
      <c r="D11" s="210"/>
      <c r="E11" s="210"/>
      <c r="F11" s="210"/>
      <c r="H11" s="103"/>
      <c r="I11" s="103"/>
      <c r="J11" s="103"/>
    </row>
    <row r="12" spans="1:11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1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1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1" ht="15" customHeight="1" x14ac:dyDescent="0.3">
      <c r="A15" s="893" t="s">
        <v>516</v>
      </c>
      <c r="B15" s="894"/>
      <c r="C15" s="158" t="s">
        <v>56</v>
      </c>
      <c r="D15" s="158">
        <v>0.1</v>
      </c>
      <c r="E15" s="185">
        <f>F46</f>
        <v>6250.5890037083336</v>
      </c>
      <c r="F15" s="186">
        <f t="shared" ref="F15:F19" si="0">D15*E15</f>
        <v>625.05890037083338</v>
      </c>
      <c r="H15" s="56">
        <f t="shared" ref="H15:J18" si="1">$H$10*D15</f>
        <v>6.370000000000001</v>
      </c>
      <c r="I15" s="362">
        <f t="shared" si="1"/>
        <v>398162.51953622088</v>
      </c>
      <c r="J15" s="362">
        <f t="shared" si="1"/>
        <v>39816.251953622086</v>
      </c>
    </row>
    <row r="16" spans="1:11" s="34" customFormat="1" ht="30" customHeight="1" x14ac:dyDescent="0.3">
      <c r="A16" s="911" t="s">
        <v>1025</v>
      </c>
      <c r="B16" s="912"/>
      <c r="C16" s="156" t="s">
        <v>69</v>
      </c>
      <c r="D16" s="165">
        <v>0.01</v>
      </c>
      <c r="E16" s="262">
        <f>[7]EQ!F23</f>
        <v>80000</v>
      </c>
      <c r="F16" s="167">
        <f t="shared" si="0"/>
        <v>800</v>
      </c>
      <c r="H16" s="56">
        <f t="shared" si="1"/>
        <v>0.63700000000000001</v>
      </c>
      <c r="I16" s="362">
        <f t="shared" si="1"/>
        <v>5096000</v>
      </c>
      <c r="J16" s="362">
        <f t="shared" si="1"/>
        <v>50960</v>
      </c>
      <c r="K16" s="1"/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  <c r="H17" s="56">
        <f t="shared" si="1"/>
        <v>0</v>
      </c>
      <c r="I17" s="362">
        <f t="shared" si="1"/>
        <v>0</v>
      </c>
      <c r="J17" s="362">
        <f t="shared" si="1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56">
        <f t="shared" si="1"/>
        <v>0</v>
      </c>
      <c r="I18" s="362">
        <f t="shared" si="1"/>
        <v>0</v>
      </c>
      <c r="J18" s="362">
        <f t="shared" si="1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1425.0589003708333</v>
      </c>
      <c r="H20" s="482">
        <f>F20*$H$10</f>
        <v>90776.251953622079</v>
      </c>
      <c r="I20" s="103"/>
      <c r="J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5" x14ac:dyDescent="0.3">
      <c r="A24" s="1000" t="s">
        <v>763</v>
      </c>
      <c r="B24" s="981"/>
      <c r="C24" s="156" t="s">
        <v>422</v>
      </c>
      <c r="D24" s="165">
        <v>1.4999999999999999E-2</v>
      </c>
      <c r="E24" s="211">
        <f>[7]MAT!E76</f>
        <v>26750</v>
      </c>
      <c r="F24" s="167">
        <f t="shared" ref="F24:F31" si="2">D24*E24</f>
        <v>401.25</v>
      </c>
      <c r="H24" s="56">
        <f>$H$10*D24</f>
        <v>0.95550000000000002</v>
      </c>
      <c r="I24" s="362">
        <f>$H$10*E24</f>
        <v>1703975</v>
      </c>
      <c r="J24" s="362">
        <f t="shared" ref="H24:J29" si="3">$H$10*F24</f>
        <v>25559.625</v>
      </c>
      <c r="K24" s="103"/>
    </row>
    <row r="25" spans="1:15" ht="15.75" customHeight="1" x14ac:dyDescent="0.3">
      <c r="A25" s="1000" t="s">
        <v>571</v>
      </c>
      <c r="B25" s="981"/>
      <c r="C25" s="156" t="s">
        <v>422</v>
      </c>
      <c r="D25" s="165">
        <v>0.04</v>
      </c>
      <c r="E25" s="211">
        <f>[7]MAT!E46</f>
        <v>65250</v>
      </c>
      <c r="F25" s="167">
        <f t="shared" si="2"/>
        <v>2610</v>
      </c>
      <c r="H25" s="56">
        <f t="shared" si="3"/>
        <v>2.548</v>
      </c>
      <c r="I25" s="362">
        <f t="shared" si="3"/>
        <v>4156425</v>
      </c>
      <c r="J25" s="362">
        <f t="shared" si="3"/>
        <v>166257</v>
      </c>
      <c r="K25" s="28"/>
      <c r="M25" s="214"/>
      <c r="N25" s="214"/>
      <c r="O25" s="214"/>
    </row>
    <row r="26" spans="1:15" x14ac:dyDescent="0.3">
      <c r="A26" s="1000"/>
      <c r="B26" s="981"/>
      <c r="C26" s="156"/>
      <c r="D26" s="165"/>
      <c r="E26" s="211"/>
      <c r="F26" s="167">
        <f t="shared" si="2"/>
        <v>0</v>
      </c>
      <c r="H26" s="56">
        <f t="shared" si="3"/>
        <v>0</v>
      </c>
      <c r="I26" s="362">
        <f t="shared" si="3"/>
        <v>0</v>
      </c>
      <c r="J26" s="362">
        <f t="shared" si="3"/>
        <v>0</v>
      </c>
      <c r="K26" s="28"/>
    </row>
    <row r="27" spans="1:15" ht="15.75" customHeight="1" x14ac:dyDescent="0.3">
      <c r="A27" s="1000"/>
      <c r="B27" s="981"/>
      <c r="C27" s="156"/>
      <c r="D27" s="165"/>
      <c r="E27" s="211"/>
      <c r="F27" s="167">
        <f t="shared" si="2"/>
        <v>0</v>
      </c>
      <c r="H27" s="56">
        <f>$H$10*D27</f>
        <v>0</v>
      </c>
      <c r="I27" s="362">
        <f>$H$10*E27</f>
        <v>0</v>
      </c>
      <c r="J27" s="362">
        <f t="shared" si="3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2"/>
        <v>0</v>
      </c>
      <c r="H28" s="56">
        <f t="shared" si="3"/>
        <v>0</v>
      </c>
      <c r="I28" s="362">
        <f t="shared" si="3"/>
        <v>0</v>
      </c>
      <c r="J28" s="362">
        <f t="shared" si="3"/>
        <v>0</v>
      </c>
      <c r="K28" s="103"/>
    </row>
    <row r="29" spans="1:15" x14ac:dyDescent="0.3">
      <c r="A29" s="903"/>
      <c r="B29" s="904"/>
      <c r="C29" s="156"/>
      <c r="D29" s="165"/>
      <c r="E29" s="216"/>
      <c r="F29" s="167">
        <f t="shared" si="2"/>
        <v>0</v>
      </c>
      <c r="H29" s="56">
        <f t="shared" si="3"/>
        <v>0</v>
      </c>
      <c r="I29" s="362">
        <f t="shared" si="3"/>
        <v>0</v>
      </c>
      <c r="J29" s="362">
        <f t="shared" si="3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2"/>
        <v>0</v>
      </c>
      <c r="H30" s="103"/>
      <c r="I30" s="103"/>
      <c r="J30" s="103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2"/>
        <v>0</v>
      </c>
      <c r="H31" s="103"/>
      <c r="I31" s="103"/>
      <c r="J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3011.25</v>
      </c>
      <c r="H32" s="482">
        <f>F32*$H$10</f>
        <v>191816.625</v>
      </c>
      <c r="I32" s="103"/>
      <c r="J32" s="103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" customHeight="1" x14ac:dyDescent="0.3">
      <c r="A42" s="893" t="str">
        <f>[7]M.O!B90</f>
        <v>MANO DE OBRA PINTURA</v>
      </c>
      <c r="B42" s="894"/>
      <c r="C42" s="176" t="s">
        <v>43</v>
      </c>
      <c r="D42" s="177">
        <f>[7]M.O!F95</f>
        <v>15626.472509270832</v>
      </c>
      <c r="E42" s="165">
        <v>0.4</v>
      </c>
      <c r="F42" s="167">
        <f>D42*E42</f>
        <v>6250.5890037083336</v>
      </c>
      <c r="H42" s="56">
        <f>E42*$H$10</f>
        <v>25.480000000000004</v>
      </c>
      <c r="I42" s="362">
        <f>F42*$H$10</f>
        <v>398162.51953622088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6250.5890037083336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10687</v>
      </c>
      <c r="H48" s="482">
        <f>F48*$H$10</f>
        <v>680761.9</v>
      </c>
      <c r="I48" s="103"/>
      <c r="J48" s="103"/>
    </row>
    <row r="49" spans="1:10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0" x14ac:dyDescent="0.3">
      <c r="A50" s="103"/>
      <c r="B50" s="103"/>
      <c r="C50" s="103"/>
      <c r="D50" s="103"/>
      <c r="E50" s="103"/>
      <c r="F50" s="153"/>
    </row>
    <row r="52" spans="1:10" x14ac:dyDescent="0.3">
      <c r="A52" s="856" t="s">
        <v>1030</v>
      </c>
      <c r="B52" s="856"/>
      <c r="D52" s="856" t="s">
        <v>122</v>
      </c>
      <c r="E52" s="856"/>
      <c r="F52" s="856"/>
      <c r="G52" s="9"/>
    </row>
    <row r="53" spans="1:10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5966-941E-4B00-99F1-6F43417AA2AA}">
  <sheetPr>
    <tabColor rgb="FF7030A0"/>
  </sheetPr>
  <dimension ref="A1:O54"/>
  <sheetViews>
    <sheetView view="pageBreakPreview" topLeftCell="A43" zoomScale="70" zoomScaleNormal="100" zoomScaleSheetLayoutView="70" workbookViewId="0">
      <selection activeCell="K13" sqref="K1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10" width="16.6640625" style="1" customWidth="1"/>
    <col min="11" max="11" width="13.109375" style="1" customWidth="1"/>
    <col min="12" max="16384" width="11.44140625" style="1"/>
  </cols>
  <sheetData>
    <row r="1" spans="1:10" x14ac:dyDescent="0.3">
      <c r="A1" s="831"/>
      <c r="B1" s="831"/>
      <c r="C1" s="831"/>
      <c r="D1" s="831"/>
      <c r="E1" s="831"/>
      <c r="F1" s="831"/>
    </row>
    <row r="2" spans="1:10" x14ac:dyDescent="0.3">
      <c r="A2" s="831"/>
      <c r="B2" s="831"/>
      <c r="C2" s="831"/>
      <c r="D2" s="831"/>
      <c r="E2" s="831"/>
      <c r="F2" s="831"/>
    </row>
    <row r="3" spans="1:10" x14ac:dyDescent="0.3">
      <c r="A3" s="831"/>
      <c r="B3" s="831"/>
      <c r="C3" s="831"/>
      <c r="D3" s="831"/>
      <c r="E3" s="831"/>
      <c r="F3" s="831"/>
    </row>
    <row r="4" spans="1:10" x14ac:dyDescent="0.3">
      <c r="A4" s="831"/>
      <c r="B4" s="831"/>
      <c r="C4" s="831"/>
      <c r="D4" s="831"/>
      <c r="E4" s="831"/>
      <c r="F4" s="831"/>
    </row>
    <row r="5" spans="1:10" x14ac:dyDescent="0.3">
      <c r="A5" s="831"/>
      <c r="B5" s="831"/>
      <c r="C5" s="831"/>
      <c r="D5" s="831"/>
      <c r="E5" s="831"/>
      <c r="F5" s="831"/>
    </row>
    <row r="6" spans="1:10" x14ac:dyDescent="0.3">
      <c r="A6" s="831"/>
      <c r="B6" s="831"/>
      <c r="C6" s="831"/>
      <c r="D6" s="831"/>
      <c r="E6" s="831"/>
      <c r="F6" s="831"/>
    </row>
    <row r="7" spans="1:10" x14ac:dyDescent="0.3">
      <c r="A7" s="754" t="s">
        <v>72</v>
      </c>
      <c r="B7" s="754"/>
      <c r="C7" s="754"/>
      <c r="D7" s="754"/>
      <c r="E7" s="754"/>
      <c r="F7" s="754"/>
    </row>
    <row r="8" spans="1:10" x14ac:dyDescent="0.3">
      <c r="A8" s="103"/>
      <c r="B8" s="103"/>
      <c r="C8" s="103"/>
      <c r="D8" s="103"/>
      <c r="E8" s="103"/>
      <c r="F8" s="153"/>
    </row>
    <row r="9" spans="1:10" ht="16.2" thickBot="1" x14ac:dyDescent="0.35">
      <c r="A9" s="14" t="s">
        <v>73</v>
      </c>
      <c r="B9" s="885" t="str">
        <f>'[7]PRES '!C26</f>
        <v>PAÑETES</v>
      </c>
      <c r="C9" s="885"/>
      <c r="D9" s="885"/>
      <c r="E9" s="851" t="s">
        <v>74</v>
      </c>
      <c r="F9" s="917" t="str">
        <f>'[7]PRES '!D27</f>
        <v>M2</v>
      </c>
    </row>
    <row r="10" spans="1:10" ht="32.25" customHeight="1" thickBot="1" x14ac:dyDescent="0.35">
      <c r="A10" s="915" t="s">
        <v>75</v>
      </c>
      <c r="B10" s="922" t="str">
        <f>'[7]PRES '!C27</f>
        <v>Suministro y aplicación de Pañete muros  1:4 Incluye Filos, carteras y Dilataciones. (Incluye Estuco)</v>
      </c>
      <c r="C10" s="922"/>
      <c r="D10" s="922"/>
      <c r="E10" s="851"/>
      <c r="F10" s="917"/>
      <c r="H10" s="481">
        <f>'[7]PRES '!E27</f>
        <v>43.38</v>
      </c>
      <c r="I10" s="103"/>
      <c r="J10" s="103"/>
    </row>
    <row r="11" spans="1:10" x14ac:dyDescent="0.3">
      <c r="A11" s="915"/>
      <c r="B11" s="210" t="s">
        <v>970</v>
      </c>
      <c r="C11" s="210"/>
      <c r="D11" s="210"/>
      <c r="E11" s="210"/>
      <c r="F11" s="210"/>
      <c r="H11" s="103"/>
      <c r="I11" s="103"/>
      <c r="J11" s="103"/>
    </row>
    <row r="12" spans="1:10" ht="16.2" thickBot="1" x14ac:dyDescent="0.35">
      <c r="A12" s="103"/>
      <c r="B12" s="103"/>
      <c r="C12" s="103"/>
      <c r="D12" s="103"/>
      <c r="E12" s="103"/>
      <c r="F12" s="153"/>
      <c r="H12" s="103"/>
      <c r="I12" s="103"/>
      <c r="J12" s="103"/>
    </row>
    <row r="13" spans="1:10" x14ac:dyDescent="0.3">
      <c r="A13" s="888" t="s">
        <v>76</v>
      </c>
      <c r="B13" s="889"/>
      <c r="C13" s="889"/>
      <c r="D13" s="889"/>
      <c r="E13" s="889"/>
      <c r="F13" s="890"/>
      <c r="H13" s="103"/>
      <c r="I13" s="103"/>
      <c r="J13" s="103"/>
    </row>
    <row r="14" spans="1:10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  <c r="H14" s="28"/>
      <c r="I14" s="28"/>
      <c r="J14" s="28"/>
    </row>
    <row r="15" spans="1:10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19236</v>
      </c>
      <c r="F15" s="186">
        <f t="shared" ref="F15:F19" si="0">D15*E15</f>
        <v>961.80000000000007</v>
      </c>
      <c r="H15" s="56">
        <f t="shared" ref="H15:J18" si="1">$H$10*D15</f>
        <v>2.169</v>
      </c>
      <c r="I15" s="362">
        <f t="shared" si="1"/>
        <v>834457.68</v>
      </c>
      <c r="J15" s="362">
        <f t="shared" si="1"/>
        <v>41722.884000000005</v>
      </c>
    </row>
    <row r="16" spans="1:10" x14ac:dyDescent="0.3">
      <c r="A16" s="893" t="s">
        <v>515</v>
      </c>
      <c r="B16" s="894"/>
      <c r="C16" s="158" t="s">
        <v>69</v>
      </c>
      <c r="D16" s="158">
        <v>0.1</v>
      </c>
      <c r="E16" s="185">
        <f>[8]EQ!F14</f>
        <v>3000</v>
      </c>
      <c r="F16" s="186">
        <f t="shared" si="0"/>
        <v>300</v>
      </c>
      <c r="H16" s="56">
        <f t="shared" si="1"/>
        <v>4.3380000000000001</v>
      </c>
      <c r="I16" s="362">
        <f t="shared" si="1"/>
        <v>130140.00000000001</v>
      </c>
      <c r="J16" s="362">
        <f t="shared" si="1"/>
        <v>13014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  <c r="H17" s="56">
        <f t="shared" si="1"/>
        <v>0</v>
      </c>
      <c r="I17" s="362">
        <f t="shared" si="1"/>
        <v>0</v>
      </c>
      <c r="J17" s="362">
        <f t="shared" si="1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  <c r="H18" s="56">
        <f t="shared" si="1"/>
        <v>0</v>
      </c>
      <c r="I18" s="362">
        <f t="shared" si="1"/>
        <v>0</v>
      </c>
      <c r="J18" s="362">
        <f t="shared" si="1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  <c r="H19" s="103"/>
      <c r="I19" s="103"/>
      <c r="J19" s="103"/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1261.8000000000002</v>
      </c>
      <c r="H20" s="482">
        <f>F20*$H$10</f>
        <v>54736.884000000013</v>
      </c>
      <c r="I20" s="103"/>
      <c r="J20" s="103"/>
    </row>
    <row r="21" spans="1:15" ht="16.8" thickTop="1" thickBot="1" x14ac:dyDescent="0.35">
      <c r="A21" s="103"/>
      <c r="B21" s="103"/>
      <c r="C21" s="103"/>
      <c r="D21" s="103"/>
      <c r="E21" s="103"/>
      <c r="F21" s="153"/>
      <c r="H21" s="103"/>
      <c r="I21" s="103"/>
      <c r="J21" s="103"/>
    </row>
    <row r="22" spans="1:15" x14ac:dyDescent="0.3">
      <c r="A22" s="895" t="s">
        <v>81</v>
      </c>
      <c r="B22" s="896"/>
      <c r="C22" s="896"/>
      <c r="D22" s="896"/>
      <c r="E22" s="896"/>
      <c r="F22" s="897"/>
      <c r="H22" s="103"/>
      <c r="I22" s="103"/>
      <c r="J22" s="103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  <c r="H23" s="28"/>
      <c r="I23" s="28"/>
      <c r="J23" s="28"/>
    </row>
    <row r="24" spans="1:15" x14ac:dyDescent="0.3">
      <c r="A24" s="974" t="s">
        <v>514</v>
      </c>
      <c r="B24" s="974"/>
      <c r="C24" s="156" t="s">
        <v>9</v>
      </c>
      <c r="D24" s="255">
        <v>0.02</v>
      </c>
      <c r="E24" s="213">
        <f>'[7]M 1-4'!F46</f>
        <v>413999</v>
      </c>
      <c r="F24" s="167">
        <f>D24*E24</f>
        <v>8279.98</v>
      </c>
      <c r="H24" s="56">
        <f>$H$10*D24</f>
        <v>0.86760000000000004</v>
      </c>
      <c r="I24" s="362">
        <f>$H$10*E24</f>
        <v>17959276.620000001</v>
      </c>
      <c r="J24" s="362">
        <f t="shared" ref="H24:J29" si="2">$H$10*F24</f>
        <v>359185.53240000003</v>
      </c>
      <c r="K24" s="103"/>
    </row>
    <row r="25" spans="1:15" x14ac:dyDescent="0.3">
      <c r="A25" s="903"/>
      <c r="B25" s="904"/>
      <c r="C25" s="156"/>
      <c r="D25" s="165"/>
      <c r="E25" s="213"/>
      <c r="F25" s="167">
        <f t="shared" ref="F25:F31" si="3">D25*E25</f>
        <v>0</v>
      </c>
      <c r="H25" s="56">
        <f t="shared" si="2"/>
        <v>0</v>
      </c>
      <c r="I25" s="362">
        <f t="shared" si="2"/>
        <v>0</v>
      </c>
      <c r="J25" s="362">
        <f t="shared" si="2"/>
        <v>0</v>
      </c>
      <c r="K25" s="28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3"/>
        <v>0</v>
      </c>
      <c r="H26" s="56">
        <f t="shared" si="2"/>
        <v>0</v>
      </c>
      <c r="I26" s="362">
        <f t="shared" si="2"/>
        <v>0</v>
      </c>
      <c r="J26" s="362">
        <f t="shared" si="2"/>
        <v>0</v>
      </c>
      <c r="K26" s="28"/>
    </row>
    <row r="27" spans="1:15" x14ac:dyDescent="0.3">
      <c r="A27" s="903"/>
      <c r="B27" s="904"/>
      <c r="C27" s="156"/>
      <c r="D27" s="165"/>
      <c r="E27" s="213"/>
      <c r="F27" s="167">
        <f t="shared" si="3"/>
        <v>0</v>
      </c>
      <c r="H27" s="56">
        <f>$H$10*D27</f>
        <v>0</v>
      </c>
      <c r="I27" s="362">
        <f>$H$10*E27</f>
        <v>0</v>
      </c>
      <c r="J27" s="362">
        <f t="shared" si="2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3"/>
        <v>0</v>
      </c>
      <c r="H28" s="56">
        <f t="shared" si="2"/>
        <v>0</v>
      </c>
      <c r="I28" s="362">
        <f t="shared" si="2"/>
        <v>0</v>
      </c>
      <c r="J28" s="362">
        <f t="shared" si="2"/>
        <v>0</v>
      </c>
      <c r="K28" s="103"/>
    </row>
    <row r="29" spans="1:15" x14ac:dyDescent="0.3">
      <c r="A29" s="903"/>
      <c r="B29" s="904"/>
      <c r="C29" s="156"/>
      <c r="D29" s="165"/>
      <c r="E29" s="216"/>
      <c r="F29" s="167">
        <f t="shared" si="3"/>
        <v>0</v>
      </c>
      <c r="H29" s="56">
        <f t="shared" si="2"/>
        <v>0</v>
      </c>
      <c r="I29" s="362">
        <f t="shared" si="2"/>
        <v>0</v>
      </c>
      <c r="J29" s="362">
        <f t="shared" si="2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3"/>
        <v>0</v>
      </c>
      <c r="H30" s="103"/>
      <c r="I30" s="103"/>
      <c r="J30" s="103"/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3"/>
        <v>0</v>
      </c>
      <c r="H31" s="103"/>
      <c r="I31" s="103"/>
      <c r="J31" s="103"/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8279.98</v>
      </c>
      <c r="H32" s="482">
        <f>F32*$H$10</f>
        <v>359185.53240000003</v>
      </c>
      <c r="I32" s="103"/>
      <c r="J32" s="103"/>
    </row>
    <row r="33" spans="1:10" ht="16.8" thickTop="1" thickBot="1" x14ac:dyDescent="0.35">
      <c r="A33" s="103"/>
      <c r="B33" s="103"/>
      <c r="C33" s="103"/>
      <c r="D33" s="103"/>
      <c r="E33" s="103"/>
      <c r="F33" s="153"/>
      <c r="H33" s="103"/>
      <c r="I33" s="103"/>
      <c r="J33" s="103"/>
    </row>
    <row r="34" spans="1:10" x14ac:dyDescent="0.3">
      <c r="A34" s="895" t="s">
        <v>85</v>
      </c>
      <c r="B34" s="896"/>
      <c r="C34" s="896"/>
      <c r="D34" s="896"/>
      <c r="E34" s="896"/>
      <c r="F34" s="897"/>
      <c r="H34" s="103"/>
      <c r="I34" s="103"/>
      <c r="J34" s="103"/>
    </row>
    <row r="35" spans="1:10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  <c r="H35" s="103"/>
      <c r="I35" s="103"/>
      <c r="J35" s="103"/>
    </row>
    <row r="36" spans="1:10" x14ac:dyDescent="0.3">
      <c r="A36" s="169"/>
      <c r="B36" s="111"/>
      <c r="C36" s="158"/>
      <c r="D36" s="158"/>
      <c r="E36" s="158"/>
      <c r="F36" s="186">
        <f>C36*D36*E36</f>
        <v>0</v>
      </c>
      <c r="H36" s="103"/>
      <c r="I36" s="103"/>
      <c r="J36" s="103"/>
    </row>
    <row r="37" spans="1:10" ht="16.2" thickBot="1" x14ac:dyDescent="0.35">
      <c r="A37" s="171"/>
      <c r="B37" s="197"/>
      <c r="C37" s="163"/>
      <c r="D37" s="163"/>
      <c r="E37" s="163"/>
      <c r="F37" s="190">
        <f>C37*D37*E37</f>
        <v>0</v>
      </c>
      <c r="H37" s="103"/>
      <c r="I37" s="103"/>
      <c r="J37" s="103"/>
    </row>
    <row r="38" spans="1:10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  <c r="H38" s="484">
        <f>F38*$H$10</f>
        <v>0</v>
      </c>
      <c r="I38" s="103"/>
      <c r="J38" s="103"/>
    </row>
    <row r="39" spans="1:10" ht="16.8" thickTop="1" thickBot="1" x14ac:dyDescent="0.35">
      <c r="A39" s="103"/>
      <c r="B39" s="103"/>
      <c r="C39" s="103"/>
      <c r="D39" s="103"/>
      <c r="E39" s="103"/>
      <c r="F39" s="153"/>
      <c r="H39" s="103"/>
      <c r="I39" s="103"/>
      <c r="J39" s="103"/>
    </row>
    <row r="40" spans="1:10" x14ac:dyDescent="0.3">
      <c r="A40" s="895" t="s">
        <v>91</v>
      </c>
      <c r="B40" s="896"/>
      <c r="C40" s="896"/>
      <c r="D40" s="896"/>
      <c r="E40" s="896"/>
      <c r="F40" s="897"/>
      <c r="H40" s="103"/>
      <c r="I40" s="103"/>
      <c r="J40" s="103"/>
    </row>
    <row r="41" spans="1:10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  <c r="H41" s="103"/>
      <c r="I41" s="103"/>
      <c r="J41" s="103"/>
    </row>
    <row r="42" spans="1:10" ht="15" customHeight="1" x14ac:dyDescent="0.3">
      <c r="A42" s="893" t="str">
        <f>[7]M.O!B63</f>
        <v>MANO DE OBRA A (1 OF Y 1 AYUD)</v>
      </c>
      <c r="B42" s="894"/>
      <c r="C42" s="176" t="s">
        <v>43</v>
      </c>
      <c r="D42" s="177">
        <f>M.O!F70</f>
        <v>38472</v>
      </c>
      <c r="E42" s="156">
        <v>0.5</v>
      </c>
      <c r="F42" s="167">
        <f>D42*E42</f>
        <v>19236</v>
      </c>
      <c r="H42" s="56">
        <f>E42*$H$10</f>
        <v>21.69</v>
      </c>
      <c r="I42" s="362">
        <f>F42*$H$10</f>
        <v>834457.68</v>
      </c>
      <c r="J42" s="103"/>
    </row>
    <row r="43" spans="1:10" x14ac:dyDescent="0.3">
      <c r="A43" s="883"/>
      <c r="B43" s="884"/>
      <c r="C43" s="176"/>
      <c r="D43" s="156"/>
      <c r="E43" s="156"/>
      <c r="F43" s="167">
        <f t="shared" ref="F43:F45" si="4">D43*E43</f>
        <v>0</v>
      </c>
      <c r="H43" s="103"/>
      <c r="I43" s="103"/>
      <c r="J43" s="103"/>
    </row>
    <row r="44" spans="1:10" x14ac:dyDescent="0.3">
      <c r="A44" s="883"/>
      <c r="B44" s="884"/>
      <c r="C44" s="156"/>
      <c r="D44" s="156"/>
      <c r="E44" s="156"/>
      <c r="F44" s="167">
        <f t="shared" si="4"/>
        <v>0</v>
      </c>
      <c r="H44" s="103"/>
      <c r="I44" s="103"/>
      <c r="J44" s="103"/>
    </row>
    <row r="45" spans="1:10" ht="16.2" thickBot="1" x14ac:dyDescent="0.35">
      <c r="A45" s="898"/>
      <c r="B45" s="899"/>
      <c r="C45" s="178"/>
      <c r="D45" s="178"/>
      <c r="E45" s="178"/>
      <c r="F45" s="179">
        <f t="shared" si="4"/>
        <v>0</v>
      </c>
      <c r="H45" s="103"/>
      <c r="I45" s="103"/>
      <c r="J45" s="103"/>
    </row>
    <row r="46" spans="1:10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19236</v>
      </c>
      <c r="H46" s="103"/>
      <c r="I46" s="103"/>
      <c r="J46" s="103"/>
    </row>
    <row r="47" spans="1:10" ht="16.8" thickTop="1" thickBot="1" x14ac:dyDescent="0.35">
      <c r="A47" s="103"/>
      <c r="B47" s="103"/>
      <c r="C47" s="103"/>
      <c r="D47" s="103"/>
      <c r="E47" s="103"/>
      <c r="F47" s="153"/>
      <c r="H47" s="103"/>
      <c r="I47" s="103"/>
      <c r="J47" s="103"/>
    </row>
    <row r="48" spans="1:10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28778</v>
      </c>
      <c r="H48" s="482">
        <f>F48*$H$10</f>
        <v>1248389.6400000001</v>
      </c>
      <c r="I48" s="103"/>
      <c r="J48" s="103"/>
    </row>
    <row r="49" spans="1:11" ht="16.2" thickTop="1" x14ac:dyDescent="0.3">
      <c r="A49" s="103"/>
      <c r="B49" s="103"/>
      <c r="C49" s="103"/>
      <c r="D49" s="103"/>
      <c r="E49" s="103"/>
      <c r="F49" s="153"/>
      <c r="H49" s="103"/>
      <c r="I49" s="103"/>
      <c r="J49" s="103"/>
    </row>
    <row r="50" spans="1:11" x14ac:dyDescent="0.3">
      <c r="A50" s="103"/>
      <c r="B50" s="103"/>
      <c r="C50" s="103"/>
      <c r="D50" s="103"/>
      <c r="E50" s="103"/>
      <c r="F50" s="153"/>
    </row>
    <row r="52" spans="1:11" x14ac:dyDescent="0.3">
      <c r="A52" s="856" t="s">
        <v>1030</v>
      </c>
      <c r="B52" s="856"/>
      <c r="D52" s="856" t="s">
        <v>122</v>
      </c>
      <c r="E52" s="856"/>
      <c r="F52" s="856"/>
      <c r="G52" s="9"/>
    </row>
    <row r="53" spans="1:11" x14ac:dyDescent="0.3">
      <c r="A53" s="741" t="s">
        <v>121</v>
      </c>
      <c r="B53" s="741"/>
      <c r="D53" s="741" t="s">
        <v>123</v>
      </c>
      <c r="E53" s="741"/>
      <c r="F53" s="741"/>
    </row>
    <row r="54" spans="1:11" x14ac:dyDescent="0.3">
      <c r="K54" s="1" t="s">
        <v>1031</v>
      </c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6479-73C5-49D6-8F61-0FC6C8497BC5}">
  <sheetPr>
    <tabColor rgb="FFFFFF00"/>
  </sheetPr>
  <dimension ref="A1:I55"/>
  <sheetViews>
    <sheetView view="pageBreakPreview" topLeftCell="A31" zoomScale="70" zoomScaleNormal="100" zoomScaleSheetLayoutView="70" workbookViewId="0">
      <selection activeCell="O26" sqref="O25:O26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210" t="s">
        <v>73</v>
      </c>
      <c r="B9" s="885" t="str">
        <f>'PRESUPUESTO OFICIAL (Entidad)'!C216</f>
        <v>CONSTRUCCION DE CERRAMIENTO</v>
      </c>
      <c r="C9" s="885"/>
      <c r="D9" s="885"/>
      <c r="E9" s="851" t="s">
        <v>74</v>
      </c>
      <c r="F9" s="917" t="str">
        <f>'PRESUPUESTO OFICIAL (Entidad)'!D218</f>
        <v>ML</v>
      </c>
    </row>
    <row r="10" spans="1:6" ht="80.25" customHeight="1" x14ac:dyDescent="0.3">
      <c r="A10" s="915" t="s">
        <v>75</v>
      </c>
      <c r="B10" s="922" t="str">
        <f>'PRESUPUESTO OFICIAL (Entidad)'!C218</f>
        <v>Cerramiento en malla eslabonada y tubo h= 2.85 m, antepecho en ladrillo a la vista de h=0.90m, pedestal en concreto de 0.15x0.20m, viga cinta de 0.10x0.15m y viga de cimiento de ,20x,20 incluye acero incluye acero 1/2" y estribos en 3/8", según diseño.</v>
      </c>
      <c r="C10" s="922"/>
      <c r="D10" s="922"/>
      <c r="E10" s="851"/>
      <c r="F10" s="917"/>
    </row>
    <row r="11" spans="1:6" ht="13.5" customHeight="1" x14ac:dyDescent="0.3">
      <c r="A11" s="915"/>
      <c r="B11" s="210" t="s">
        <v>1138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F49</f>
        <v>147731.20000000001</v>
      </c>
      <c r="F15" s="268">
        <f t="shared" ref="F15:F19" si="0">D15*E15</f>
        <v>7386.5600000000013</v>
      </c>
    </row>
    <row r="16" spans="1:6" x14ac:dyDescent="0.3">
      <c r="A16" s="893" t="s">
        <v>398</v>
      </c>
      <c r="B16" s="894"/>
      <c r="C16" s="158" t="s">
        <v>43</v>
      </c>
      <c r="D16" s="158">
        <v>0.1</v>
      </c>
      <c r="E16" s="185">
        <f>EQ!F20</f>
        <v>50000</v>
      </c>
      <c r="F16" s="268">
        <f t="shared" si="0"/>
        <v>5000</v>
      </c>
    </row>
    <row r="17" spans="1:6" x14ac:dyDescent="0.3">
      <c r="A17" s="893" t="s">
        <v>515</v>
      </c>
      <c r="B17" s="894"/>
      <c r="C17" s="158" t="s">
        <v>69</v>
      </c>
      <c r="D17" s="158">
        <v>0.5</v>
      </c>
      <c r="E17" s="185">
        <f>EQ!F14</f>
        <v>3000</v>
      </c>
      <c r="F17" s="268">
        <f t="shared" si="0"/>
        <v>1500</v>
      </c>
    </row>
    <row r="18" spans="1:6" x14ac:dyDescent="0.3">
      <c r="A18" s="974" t="s">
        <v>1018</v>
      </c>
      <c r="B18" s="974"/>
      <c r="C18" s="158" t="s">
        <v>69</v>
      </c>
      <c r="D18" s="158">
        <v>0.08</v>
      </c>
      <c r="E18" s="187">
        <f>EQ!F19</f>
        <v>35000</v>
      </c>
      <c r="F18" s="268">
        <f t="shared" si="0"/>
        <v>2800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16686.560000000001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688</v>
      </c>
      <c r="B24" s="904"/>
      <c r="C24" s="543" t="s">
        <v>8</v>
      </c>
      <c r="D24" s="543">
        <v>0.82</v>
      </c>
      <c r="E24" s="256">
        <f>MAT!E95</f>
        <v>26800</v>
      </c>
      <c r="F24" s="271">
        <f>D24*E24</f>
        <v>21976</v>
      </c>
    </row>
    <row r="25" spans="1:6" x14ac:dyDescent="0.3">
      <c r="A25" s="903" t="s">
        <v>623</v>
      </c>
      <c r="B25" s="904"/>
      <c r="C25" s="92" t="s">
        <v>19</v>
      </c>
      <c r="D25" s="92">
        <v>3</v>
      </c>
      <c r="E25" s="256">
        <f>MAT!E128</f>
        <v>16383.333333333334</v>
      </c>
      <c r="F25" s="271">
        <f t="shared" ref="F25:F34" si="1">D25*E25</f>
        <v>49150</v>
      </c>
    </row>
    <row r="26" spans="1:6" x14ac:dyDescent="0.3">
      <c r="A26" s="903" t="s">
        <v>1147</v>
      </c>
      <c r="B26" s="904"/>
      <c r="C26" s="92" t="s">
        <v>101</v>
      </c>
      <c r="D26" s="92">
        <v>0.32</v>
      </c>
      <c r="E26" s="256">
        <f>MAT!E115</f>
        <v>21966.666666666668</v>
      </c>
      <c r="F26" s="271">
        <f t="shared" si="1"/>
        <v>7029.3333333333339</v>
      </c>
    </row>
    <row r="27" spans="1:6" x14ac:dyDescent="0.3">
      <c r="A27" s="903" t="s">
        <v>1148</v>
      </c>
      <c r="B27" s="904"/>
      <c r="C27" s="92" t="s">
        <v>8</v>
      </c>
      <c r="D27" s="92">
        <v>0.9</v>
      </c>
      <c r="E27" s="272">
        <f>'LAD. VISTA'!F48</f>
        <v>156638</v>
      </c>
      <c r="F27" s="271">
        <f t="shared" si="1"/>
        <v>140974.20000000001</v>
      </c>
    </row>
    <row r="28" spans="1:6" x14ac:dyDescent="0.3">
      <c r="A28" s="903" t="s">
        <v>1149</v>
      </c>
      <c r="B28" s="904"/>
      <c r="C28" s="92" t="s">
        <v>19</v>
      </c>
      <c r="D28" s="92">
        <v>0.9</v>
      </c>
      <c r="E28" s="272">
        <f>'A5,3 (2)'!F48</f>
        <v>87398</v>
      </c>
      <c r="F28" s="271">
        <f t="shared" si="1"/>
        <v>78658.2</v>
      </c>
    </row>
    <row r="29" spans="1:6" ht="36" customHeight="1" x14ac:dyDescent="0.3">
      <c r="A29" s="903" t="s">
        <v>1150</v>
      </c>
      <c r="B29" s="904"/>
      <c r="C29" s="92" t="s">
        <v>19</v>
      </c>
      <c r="D29" s="92">
        <v>1</v>
      </c>
      <c r="E29" s="272">
        <f>'20X20'!F48</f>
        <v>101256</v>
      </c>
      <c r="F29" s="271">
        <f t="shared" si="1"/>
        <v>101256</v>
      </c>
    </row>
    <row r="30" spans="1:6" x14ac:dyDescent="0.3">
      <c r="A30" s="903" t="s">
        <v>571</v>
      </c>
      <c r="B30" s="904"/>
      <c r="C30" s="92" t="s">
        <v>427</v>
      </c>
      <c r="D30" s="544">
        <v>0.2</v>
      </c>
      <c r="E30" s="272">
        <f>MAT!E47</f>
        <v>55913.166666666664</v>
      </c>
      <c r="F30" s="271">
        <f t="shared" si="1"/>
        <v>11182.633333333333</v>
      </c>
    </row>
    <row r="31" spans="1:6" x14ac:dyDescent="0.3">
      <c r="A31" s="903" t="s">
        <v>687</v>
      </c>
      <c r="B31" s="904"/>
      <c r="C31" s="92" t="s">
        <v>427</v>
      </c>
      <c r="D31" s="544">
        <v>7.0000000000000007E-2</v>
      </c>
      <c r="E31" s="272">
        <f>MAT!E77</f>
        <v>27605.040000000001</v>
      </c>
      <c r="F31" s="271">
        <f t="shared" si="1"/>
        <v>1932.3528000000003</v>
      </c>
    </row>
    <row r="32" spans="1:6" x14ac:dyDescent="0.3">
      <c r="A32" s="903" t="s">
        <v>1151</v>
      </c>
      <c r="B32" s="904"/>
      <c r="C32" s="92" t="s">
        <v>427</v>
      </c>
      <c r="D32" s="544">
        <v>0.2</v>
      </c>
      <c r="E32" s="272">
        <f>MAT!E78</f>
        <v>71500</v>
      </c>
      <c r="F32" s="271">
        <f t="shared" si="1"/>
        <v>14300</v>
      </c>
    </row>
    <row r="33" spans="1:6" ht="29.25" customHeight="1" x14ac:dyDescent="0.3">
      <c r="A33" s="1015" t="s">
        <v>1152</v>
      </c>
      <c r="B33" s="1016"/>
      <c r="C33" s="92" t="s">
        <v>19</v>
      </c>
      <c r="D33" s="92">
        <v>1</v>
      </c>
      <c r="E33" s="272">
        <f>'A4,3-C5,2'!F48</f>
        <v>85197</v>
      </c>
      <c r="F33" s="271">
        <f t="shared" si="1"/>
        <v>85197</v>
      </c>
    </row>
    <row r="34" spans="1:6" ht="16.2" thickBot="1" x14ac:dyDescent="0.35">
      <c r="A34" s="545" t="s">
        <v>624</v>
      </c>
      <c r="B34" s="546"/>
      <c r="C34" s="547" t="s">
        <v>19</v>
      </c>
      <c r="D34" s="547">
        <v>5.4</v>
      </c>
      <c r="E34" s="273">
        <f>MAT!E46</f>
        <v>4158.3333333333339</v>
      </c>
      <c r="F34" s="274">
        <f t="shared" si="1"/>
        <v>22455.000000000004</v>
      </c>
    </row>
    <row r="35" spans="1:6" ht="16.2" thickBot="1" x14ac:dyDescent="0.35">
      <c r="A35" s="900" t="s">
        <v>84</v>
      </c>
      <c r="B35" s="900"/>
      <c r="C35" s="900"/>
      <c r="D35" s="900"/>
      <c r="E35" s="900"/>
      <c r="F35" s="168">
        <f>SUM(F24:F34)</f>
        <v>534110.71946666669</v>
      </c>
    </row>
    <row r="36" spans="1:6" ht="16.8" thickTop="1" thickBot="1" x14ac:dyDescent="0.35">
      <c r="A36" s="103"/>
      <c r="B36" s="103"/>
      <c r="C36" s="103"/>
      <c r="D36" s="103"/>
      <c r="E36" s="103"/>
      <c r="F36" s="153"/>
    </row>
    <row r="37" spans="1:6" x14ac:dyDescent="0.3">
      <c r="A37" s="895" t="s">
        <v>85</v>
      </c>
      <c r="B37" s="896"/>
      <c r="C37" s="896"/>
      <c r="D37" s="896"/>
      <c r="E37" s="896"/>
      <c r="F37" s="897"/>
    </row>
    <row r="38" spans="1:6" ht="31.2" x14ac:dyDescent="0.3">
      <c r="A38" s="169" t="s">
        <v>86</v>
      </c>
      <c r="B38" s="156" t="s">
        <v>94</v>
      </c>
      <c r="C38" s="158" t="s">
        <v>96</v>
      </c>
      <c r="D38" s="158" t="s">
        <v>97</v>
      </c>
      <c r="E38" s="158" t="s">
        <v>95</v>
      </c>
      <c r="F38" s="160" t="s">
        <v>82</v>
      </c>
    </row>
    <row r="39" spans="1:6" x14ac:dyDescent="0.3">
      <c r="A39" s="169" t="s">
        <v>1153</v>
      </c>
      <c r="B39" s="111"/>
      <c r="C39" s="158"/>
      <c r="D39" s="158"/>
      <c r="E39" s="548">
        <f>F35*0.05</f>
        <v>26705.535973333335</v>
      </c>
      <c r="F39" s="186">
        <f>E39</f>
        <v>26705.535973333335</v>
      </c>
    </row>
    <row r="40" spans="1:6" ht="16.2" thickBot="1" x14ac:dyDescent="0.35">
      <c r="A40" s="171"/>
      <c r="B40" s="197"/>
      <c r="C40" s="163"/>
      <c r="D40" s="163"/>
      <c r="E40" s="163"/>
      <c r="F40" s="190">
        <f>C40*D40*E40</f>
        <v>0</v>
      </c>
    </row>
    <row r="41" spans="1:6" ht="15.75" customHeight="1" thickBot="1" x14ac:dyDescent="0.35">
      <c r="A41" s="907" t="s">
        <v>90</v>
      </c>
      <c r="B41" s="907"/>
      <c r="C41" s="907"/>
      <c r="D41" s="907"/>
      <c r="E41" s="907"/>
      <c r="F41" s="198">
        <f>SUM(F39:F40)</f>
        <v>26705.535973333335</v>
      </c>
    </row>
    <row r="42" spans="1:6" ht="16.8" thickTop="1" thickBot="1" x14ac:dyDescent="0.35">
      <c r="A42" s="103"/>
      <c r="B42" s="103"/>
      <c r="C42" s="103"/>
      <c r="D42" s="103"/>
      <c r="E42" s="103"/>
      <c r="F42" s="153"/>
    </row>
    <row r="43" spans="1:6" x14ac:dyDescent="0.3">
      <c r="A43" s="895" t="s">
        <v>91</v>
      </c>
      <c r="B43" s="896"/>
      <c r="C43" s="896"/>
      <c r="D43" s="896"/>
      <c r="E43" s="896"/>
      <c r="F43" s="897"/>
    </row>
    <row r="44" spans="1:6" ht="24.75" customHeight="1" x14ac:dyDescent="0.3">
      <c r="A44" s="891" t="s">
        <v>48</v>
      </c>
      <c r="B44" s="892"/>
      <c r="C44" s="156" t="s">
        <v>23</v>
      </c>
      <c r="D44" s="156" t="s">
        <v>378</v>
      </c>
      <c r="E44" s="156" t="s">
        <v>98</v>
      </c>
      <c r="F44" s="157" t="s">
        <v>79</v>
      </c>
    </row>
    <row r="45" spans="1:6" ht="15.75" customHeight="1" x14ac:dyDescent="0.3">
      <c r="A45" s="893" t="str">
        <f>M.O!B81</f>
        <v>MANO DE OBRA CARPINTERIA</v>
      </c>
      <c r="B45" s="894"/>
      <c r="C45" s="176" t="s">
        <v>43</v>
      </c>
      <c r="D45" s="177">
        <f>M.O!F88</f>
        <v>46166</v>
      </c>
      <c r="E45" s="156">
        <v>3.2</v>
      </c>
      <c r="F45" s="167">
        <f>D45*E45</f>
        <v>147731.20000000001</v>
      </c>
    </row>
    <row r="46" spans="1:6" x14ac:dyDescent="0.3">
      <c r="A46" s="974"/>
      <c r="B46" s="974"/>
      <c r="C46" s="176"/>
      <c r="D46" s="177"/>
      <c r="E46" s="156"/>
      <c r="F46" s="167">
        <f t="shared" ref="F46:F48" si="2">D46*E46</f>
        <v>0</v>
      </c>
    </row>
    <row r="47" spans="1:6" x14ac:dyDescent="0.3">
      <c r="A47" s="883"/>
      <c r="B47" s="884"/>
      <c r="C47" s="156"/>
      <c r="D47" s="156"/>
      <c r="E47" s="156"/>
      <c r="F47" s="167">
        <f t="shared" si="2"/>
        <v>0</v>
      </c>
    </row>
    <row r="48" spans="1:6" ht="16.2" thickBot="1" x14ac:dyDescent="0.35">
      <c r="A48" s="898"/>
      <c r="B48" s="899"/>
      <c r="C48" s="178"/>
      <c r="D48" s="178"/>
      <c r="E48" s="178"/>
      <c r="F48" s="179">
        <f t="shared" si="2"/>
        <v>0</v>
      </c>
    </row>
    <row r="49" spans="1:9" ht="15.75" customHeight="1" thickBot="1" x14ac:dyDescent="0.35">
      <c r="A49" s="907" t="s">
        <v>92</v>
      </c>
      <c r="B49" s="907"/>
      <c r="C49" s="907"/>
      <c r="D49" s="907"/>
      <c r="E49" s="907"/>
      <c r="F49" s="175">
        <f>SUM(F45:F48)</f>
        <v>147731.20000000001</v>
      </c>
      <c r="I49" s="1">
        <v>131278.98778749999</v>
      </c>
    </row>
    <row r="50" spans="1:9" ht="16.2" thickTop="1" x14ac:dyDescent="0.3">
      <c r="A50" s="103"/>
      <c r="B50" s="103"/>
      <c r="C50" s="103"/>
      <c r="D50" s="103"/>
      <c r="E50" s="103"/>
      <c r="F50" s="153"/>
    </row>
    <row r="51" spans="1:9" ht="15.75" customHeight="1" thickBot="1" x14ac:dyDescent="0.35">
      <c r="A51" s="907" t="s">
        <v>93</v>
      </c>
      <c r="B51" s="907"/>
      <c r="C51" s="907"/>
      <c r="D51" s="907"/>
      <c r="E51" s="907"/>
      <c r="F51" s="180">
        <f>ROUND(SUM(F35+F49+F20+F41),0)</f>
        <v>725234</v>
      </c>
    </row>
    <row r="52" spans="1:9" ht="16.2" thickTop="1" x14ac:dyDescent="0.3">
      <c r="A52" s="103"/>
      <c r="B52" s="103"/>
      <c r="C52" s="103"/>
      <c r="D52" s="103"/>
      <c r="E52" s="103"/>
      <c r="F52" s="153"/>
    </row>
    <row r="54" spans="1:9" x14ac:dyDescent="0.3">
      <c r="A54" s="856" t="s">
        <v>120</v>
      </c>
      <c r="B54" s="856"/>
      <c r="D54" s="856" t="s">
        <v>122</v>
      </c>
      <c r="E54" s="856"/>
      <c r="F54" s="856"/>
      <c r="G54" s="9"/>
    </row>
    <row r="55" spans="1:9" x14ac:dyDescent="0.3">
      <c r="A55" s="741" t="s">
        <v>121</v>
      </c>
      <c r="B55" s="741"/>
      <c r="D55" s="741" t="s">
        <v>123</v>
      </c>
      <c r="E55" s="741"/>
      <c r="F55" s="741"/>
    </row>
  </sheetData>
  <mergeCells count="43">
    <mergeCell ref="A51:E51"/>
    <mergeCell ref="A54:B54"/>
    <mergeCell ref="D54:F54"/>
    <mergeCell ref="A55:B55"/>
    <mergeCell ref="D55:F55"/>
    <mergeCell ref="A49:E49"/>
    <mergeCell ref="A32:B32"/>
    <mergeCell ref="A33:B33"/>
    <mergeCell ref="A35:E35"/>
    <mergeCell ref="A37:F37"/>
    <mergeCell ref="A41:E41"/>
    <mergeCell ref="A43:F43"/>
    <mergeCell ref="A44:B44"/>
    <mergeCell ref="A45:B45"/>
    <mergeCell ref="A46:B46"/>
    <mergeCell ref="A47:B47"/>
    <mergeCell ref="A48:B48"/>
    <mergeCell ref="A31:B31"/>
    <mergeCell ref="A19:B19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18:B18"/>
    <mergeCell ref="A1:F5"/>
    <mergeCell ref="A6:F6"/>
    <mergeCell ref="A7:F7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</mergeCells>
  <pageMargins left="0.7" right="0.7" top="0.75" bottom="0.75" header="0.3" footer="0.3"/>
  <pageSetup paperSize="9" scale="77" orientation="portrait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0EA4F-DBD8-4761-84C1-5B8C171E194B}">
  <sheetPr>
    <tabColor rgb="FFFFFF00"/>
  </sheetPr>
  <dimension ref="A1:G55"/>
  <sheetViews>
    <sheetView view="pageBreakPreview" topLeftCell="A31" zoomScale="70" zoomScaleNormal="100" zoomScaleSheetLayoutView="70" workbookViewId="0">
      <selection activeCell="G10" sqref="G10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210" t="s">
        <v>73</v>
      </c>
      <c r="B9" s="885" t="str">
        <f>'PRESUPUESTO OFICIAL (Entidad)'!C216</f>
        <v>CONSTRUCCION DE CERRAMIENTO</v>
      </c>
      <c r="C9" s="885"/>
      <c r="D9" s="885"/>
      <c r="E9" s="851" t="s">
        <v>74</v>
      </c>
      <c r="F9" s="917" t="str">
        <f>'PRESUPUESTO OFICIAL (Entidad)'!D219</f>
        <v>M2</v>
      </c>
    </row>
    <row r="10" spans="1:6" ht="35.25" customHeight="1" x14ac:dyDescent="0.3">
      <c r="A10" s="915" t="s">
        <v>75</v>
      </c>
      <c r="B10" s="922" t="str">
        <f>'PRESUPUESTO OFICIAL (Entidad)'!C219</f>
        <v>Portón metálico en malla eslabonada, ángulo de 1/8x1", acabado en anticorrosivo y esmalte .</v>
      </c>
      <c r="C10" s="922"/>
      <c r="D10" s="922"/>
      <c r="E10" s="851"/>
      <c r="F10" s="917"/>
    </row>
    <row r="11" spans="1:6" ht="13.5" customHeight="1" x14ac:dyDescent="0.3">
      <c r="A11" s="915"/>
      <c r="B11" s="210" t="s">
        <v>1139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F49</f>
        <v>147731.20000000001</v>
      </c>
      <c r="F15" s="268">
        <f t="shared" ref="F15:F19" si="0">D15*E15</f>
        <v>7386.5600000000013</v>
      </c>
    </row>
    <row r="16" spans="1:6" x14ac:dyDescent="0.3">
      <c r="A16" s="893" t="s">
        <v>398</v>
      </c>
      <c r="B16" s="894"/>
      <c r="C16" s="158" t="s">
        <v>43</v>
      </c>
      <c r="D16" s="158">
        <v>0.1</v>
      </c>
      <c r="E16" s="185">
        <f>EQ!F20</f>
        <v>50000</v>
      </c>
      <c r="F16" s="268">
        <f t="shared" si="0"/>
        <v>5000</v>
      </c>
    </row>
    <row r="17" spans="1:6" x14ac:dyDescent="0.3">
      <c r="A17" s="893" t="s">
        <v>515</v>
      </c>
      <c r="B17" s="894"/>
      <c r="C17" s="158" t="s">
        <v>69</v>
      </c>
      <c r="D17" s="158">
        <v>0.5</v>
      </c>
      <c r="E17" s="185">
        <f>EQ!F14</f>
        <v>3000</v>
      </c>
      <c r="F17" s="268">
        <f t="shared" si="0"/>
        <v>1500</v>
      </c>
    </row>
    <row r="18" spans="1:6" x14ac:dyDescent="0.3">
      <c r="A18" s="974" t="s">
        <v>1018</v>
      </c>
      <c r="B18" s="974"/>
      <c r="C18" s="158" t="s">
        <v>69</v>
      </c>
      <c r="D18" s="158">
        <v>0.08</v>
      </c>
      <c r="E18" s="187">
        <f>EQ!F19</f>
        <v>35000</v>
      </c>
      <c r="F18" s="268">
        <f t="shared" si="0"/>
        <v>2800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16686.560000000001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688</v>
      </c>
      <c r="B24" s="904"/>
      <c r="C24" s="543" t="s">
        <v>8</v>
      </c>
      <c r="D24" s="543">
        <v>1.05</v>
      </c>
      <c r="E24" s="256">
        <f>MAT!E95</f>
        <v>26800</v>
      </c>
      <c r="F24" s="271">
        <f>D24*E24</f>
        <v>28140</v>
      </c>
    </row>
    <row r="25" spans="1:6" x14ac:dyDescent="0.3">
      <c r="A25" s="903" t="s">
        <v>623</v>
      </c>
      <c r="B25" s="904"/>
      <c r="C25" s="92" t="s">
        <v>19</v>
      </c>
      <c r="D25" s="92">
        <v>1.5</v>
      </c>
      <c r="E25" s="256">
        <f>MAT!E128</f>
        <v>16383.333333333334</v>
      </c>
      <c r="F25" s="271">
        <f t="shared" ref="F25:F34" si="1">D25*E25</f>
        <v>24575</v>
      </c>
    </row>
    <row r="26" spans="1:6" x14ac:dyDescent="0.3">
      <c r="A26" s="903" t="s">
        <v>1147</v>
      </c>
      <c r="B26" s="904"/>
      <c r="C26" s="92" t="s">
        <v>101</v>
      </c>
      <c r="D26" s="92">
        <v>0.32</v>
      </c>
      <c r="E26" s="256">
        <f>MAT!E115</f>
        <v>21966.666666666668</v>
      </c>
      <c r="F26" s="271">
        <f t="shared" si="1"/>
        <v>7029.3333333333339</v>
      </c>
    </row>
    <row r="27" spans="1:6" x14ac:dyDescent="0.3">
      <c r="A27" s="903" t="s">
        <v>1120</v>
      </c>
      <c r="B27" s="904"/>
      <c r="C27" s="92" t="s">
        <v>19</v>
      </c>
      <c r="D27" s="92">
        <v>2</v>
      </c>
      <c r="E27" s="256">
        <f>MAT!E150</f>
        <v>21666.666666666668</v>
      </c>
      <c r="F27" s="271">
        <f t="shared" si="1"/>
        <v>43333.333333333336</v>
      </c>
    </row>
    <row r="28" spans="1:6" x14ac:dyDescent="0.3">
      <c r="A28" s="903" t="s">
        <v>1154</v>
      </c>
      <c r="B28" s="904"/>
      <c r="C28" s="92" t="s">
        <v>19</v>
      </c>
      <c r="D28" s="92">
        <v>4</v>
      </c>
      <c r="E28" s="272">
        <f>MAT!E42</f>
        <v>5322.2222222222226</v>
      </c>
      <c r="F28" s="271">
        <f t="shared" si="1"/>
        <v>21288.888888888891</v>
      </c>
    </row>
    <row r="29" spans="1:6" ht="20.25" customHeight="1" x14ac:dyDescent="0.3">
      <c r="A29" s="903" t="s">
        <v>1151</v>
      </c>
      <c r="B29" s="904"/>
      <c r="C29" s="92" t="s">
        <v>427</v>
      </c>
      <c r="D29" s="544">
        <v>0.06</v>
      </c>
      <c r="E29" s="272">
        <f>MAT!E78</f>
        <v>71500</v>
      </c>
      <c r="F29" s="271">
        <f t="shared" si="1"/>
        <v>4290</v>
      </c>
    </row>
    <row r="30" spans="1:6" x14ac:dyDescent="0.3">
      <c r="A30" s="903" t="s">
        <v>571</v>
      </c>
      <c r="B30" s="904"/>
      <c r="C30" s="92" t="s">
        <v>427</v>
      </c>
      <c r="D30" s="544">
        <v>0.06</v>
      </c>
      <c r="E30" s="272">
        <f>MAT!E47</f>
        <v>55913.166666666664</v>
      </c>
      <c r="F30" s="271">
        <f t="shared" si="1"/>
        <v>3354.7899999999995</v>
      </c>
    </row>
    <row r="31" spans="1:6" x14ac:dyDescent="0.3">
      <c r="A31" s="903" t="s">
        <v>687</v>
      </c>
      <c r="B31" s="904"/>
      <c r="C31" s="92" t="s">
        <v>427</v>
      </c>
      <c r="D31" s="544">
        <v>0.06</v>
      </c>
      <c r="E31" s="272">
        <f>MAT!E77</f>
        <v>27605.040000000001</v>
      </c>
      <c r="F31" s="271">
        <f t="shared" si="1"/>
        <v>1656.3024</v>
      </c>
    </row>
    <row r="32" spans="1:6" x14ac:dyDescent="0.3">
      <c r="A32" s="903"/>
      <c r="B32" s="904"/>
      <c r="C32" s="92"/>
      <c r="D32" s="544"/>
      <c r="E32" s="272"/>
      <c r="F32" s="271">
        <f t="shared" si="1"/>
        <v>0</v>
      </c>
    </row>
    <row r="33" spans="1:6" ht="29.25" customHeight="1" x14ac:dyDescent="0.3">
      <c r="A33" s="1015"/>
      <c r="B33" s="1016"/>
      <c r="C33" s="92"/>
      <c r="D33" s="92"/>
      <c r="E33" s="272"/>
      <c r="F33" s="271">
        <f t="shared" si="1"/>
        <v>0</v>
      </c>
    </row>
    <row r="34" spans="1:6" ht="16.2" thickBot="1" x14ac:dyDescent="0.35">
      <c r="A34" s="1017"/>
      <c r="B34" s="1018"/>
      <c r="C34" s="547"/>
      <c r="D34" s="547"/>
      <c r="E34" s="273"/>
      <c r="F34" s="274">
        <f t="shared" si="1"/>
        <v>0</v>
      </c>
    </row>
    <row r="35" spans="1:6" ht="16.2" thickBot="1" x14ac:dyDescent="0.35">
      <c r="A35" s="900" t="s">
        <v>84</v>
      </c>
      <c r="B35" s="900"/>
      <c r="C35" s="900"/>
      <c r="D35" s="900"/>
      <c r="E35" s="900"/>
      <c r="F35" s="168">
        <f>SUM(F24:F34)</f>
        <v>133667.64795555556</v>
      </c>
    </row>
    <row r="36" spans="1:6" ht="16.8" thickTop="1" thickBot="1" x14ac:dyDescent="0.35">
      <c r="A36" s="103"/>
      <c r="B36" s="103"/>
      <c r="C36" s="103"/>
      <c r="D36" s="103"/>
      <c r="E36" s="103"/>
      <c r="F36" s="153"/>
    </row>
    <row r="37" spans="1:6" x14ac:dyDescent="0.3">
      <c r="A37" s="895" t="s">
        <v>85</v>
      </c>
      <c r="B37" s="896"/>
      <c r="C37" s="896"/>
      <c r="D37" s="896"/>
      <c r="E37" s="896"/>
      <c r="F37" s="897"/>
    </row>
    <row r="38" spans="1:6" ht="31.2" x14ac:dyDescent="0.3">
      <c r="A38" s="169" t="s">
        <v>86</v>
      </c>
      <c r="B38" s="156" t="s">
        <v>94</v>
      </c>
      <c r="C38" s="158" t="s">
        <v>96</v>
      </c>
      <c r="D38" s="158" t="s">
        <v>97</v>
      </c>
      <c r="E38" s="158" t="s">
        <v>95</v>
      </c>
      <c r="F38" s="160" t="s">
        <v>82</v>
      </c>
    </row>
    <row r="39" spans="1:6" x14ac:dyDescent="0.3">
      <c r="A39" s="169" t="s">
        <v>1153</v>
      </c>
      <c r="B39" s="111"/>
      <c r="C39" s="158"/>
      <c r="D39" s="158"/>
      <c r="E39" s="548">
        <f>F35*0.05</f>
        <v>6683.3823977777784</v>
      </c>
      <c r="F39" s="186">
        <f>E39</f>
        <v>6683.3823977777784</v>
      </c>
    </row>
    <row r="40" spans="1:6" ht="16.2" thickBot="1" x14ac:dyDescent="0.35">
      <c r="A40" s="171"/>
      <c r="B40" s="197"/>
      <c r="C40" s="163"/>
      <c r="D40" s="163"/>
      <c r="E40" s="163"/>
      <c r="F40" s="190">
        <f>C40*D40*E40</f>
        <v>0</v>
      </c>
    </row>
    <row r="41" spans="1:6" ht="15.75" customHeight="1" thickBot="1" x14ac:dyDescent="0.35">
      <c r="A41" s="907" t="s">
        <v>90</v>
      </c>
      <c r="B41" s="907"/>
      <c r="C41" s="907"/>
      <c r="D41" s="907"/>
      <c r="E41" s="907"/>
      <c r="F41" s="198">
        <f>SUM(F39:F40)</f>
        <v>6683.3823977777784</v>
      </c>
    </row>
    <row r="42" spans="1:6" ht="16.8" thickTop="1" thickBot="1" x14ac:dyDescent="0.35">
      <c r="A42" s="103"/>
      <c r="B42" s="103"/>
      <c r="C42" s="103"/>
      <c r="D42" s="103"/>
      <c r="E42" s="103"/>
      <c r="F42" s="153"/>
    </row>
    <row r="43" spans="1:6" x14ac:dyDescent="0.3">
      <c r="A43" s="895" t="s">
        <v>91</v>
      </c>
      <c r="B43" s="896"/>
      <c r="C43" s="896"/>
      <c r="D43" s="896"/>
      <c r="E43" s="896"/>
      <c r="F43" s="897"/>
    </row>
    <row r="44" spans="1:6" ht="24.75" customHeight="1" x14ac:dyDescent="0.3">
      <c r="A44" s="891" t="s">
        <v>48</v>
      </c>
      <c r="B44" s="892"/>
      <c r="C44" s="156" t="s">
        <v>23</v>
      </c>
      <c r="D44" s="156" t="s">
        <v>378</v>
      </c>
      <c r="E44" s="156" t="s">
        <v>98</v>
      </c>
      <c r="F44" s="157" t="s">
        <v>79</v>
      </c>
    </row>
    <row r="45" spans="1:6" ht="15.75" customHeight="1" x14ac:dyDescent="0.3">
      <c r="A45" s="893" t="str">
        <f>M.O!B81</f>
        <v>MANO DE OBRA CARPINTERIA</v>
      </c>
      <c r="B45" s="894"/>
      <c r="C45" s="176" t="s">
        <v>43</v>
      </c>
      <c r="D45" s="177">
        <f>M.O!F88</f>
        <v>46166</v>
      </c>
      <c r="E45" s="156">
        <v>3.2</v>
      </c>
      <c r="F45" s="167">
        <f>D45*E45</f>
        <v>147731.20000000001</v>
      </c>
    </row>
    <row r="46" spans="1:6" x14ac:dyDescent="0.3">
      <c r="A46" s="974"/>
      <c r="B46" s="974"/>
      <c r="C46" s="176"/>
      <c r="D46" s="177"/>
      <c r="E46" s="156"/>
      <c r="F46" s="167">
        <f t="shared" ref="F46:F48" si="2">D46*E46</f>
        <v>0</v>
      </c>
    </row>
    <row r="47" spans="1:6" x14ac:dyDescent="0.3">
      <c r="A47" s="883"/>
      <c r="B47" s="884"/>
      <c r="C47" s="156"/>
      <c r="D47" s="156"/>
      <c r="E47" s="156"/>
      <c r="F47" s="167">
        <f t="shared" si="2"/>
        <v>0</v>
      </c>
    </row>
    <row r="48" spans="1:6" ht="16.2" thickBot="1" x14ac:dyDescent="0.35">
      <c r="A48" s="898"/>
      <c r="B48" s="899"/>
      <c r="C48" s="178"/>
      <c r="D48" s="178"/>
      <c r="E48" s="178"/>
      <c r="F48" s="179">
        <f t="shared" si="2"/>
        <v>0</v>
      </c>
    </row>
    <row r="49" spans="1:7" ht="15.75" customHeight="1" thickBot="1" x14ac:dyDescent="0.35">
      <c r="A49" s="907" t="s">
        <v>92</v>
      </c>
      <c r="B49" s="907"/>
      <c r="C49" s="907"/>
      <c r="D49" s="907"/>
      <c r="E49" s="907"/>
      <c r="F49" s="175">
        <f>SUM(F45:F48)</f>
        <v>147731.20000000001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1" spans="1:7" ht="15.75" customHeight="1" thickBot="1" x14ac:dyDescent="0.35">
      <c r="A51" s="907" t="s">
        <v>93</v>
      </c>
      <c r="B51" s="907"/>
      <c r="C51" s="907"/>
      <c r="D51" s="907"/>
      <c r="E51" s="907"/>
      <c r="F51" s="180">
        <f>ROUND(SUM(F35+F49+F20+F41),0)</f>
        <v>304769</v>
      </c>
    </row>
    <row r="52" spans="1:7" ht="16.2" thickTop="1" x14ac:dyDescent="0.3">
      <c r="A52" s="103"/>
      <c r="B52" s="103"/>
      <c r="C52" s="103"/>
      <c r="D52" s="103"/>
      <c r="E52" s="103"/>
      <c r="F52" s="153"/>
    </row>
    <row r="54" spans="1:7" x14ac:dyDescent="0.3">
      <c r="A54" s="856" t="s">
        <v>120</v>
      </c>
      <c r="B54" s="856"/>
      <c r="D54" s="856" t="s">
        <v>122</v>
      </c>
      <c r="E54" s="856"/>
      <c r="F54" s="856"/>
      <c r="G54" s="9"/>
    </row>
    <row r="55" spans="1:7" x14ac:dyDescent="0.3">
      <c r="A55" s="741" t="s">
        <v>121</v>
      </c>
      <c r="B55" s="741"/>
      <c r="D55" s="741" t="s">
        <v>123</v>
      </c>
      <c r="E55" s="741"/>
      <c r="F55" s="741"/>
    </row>
  </sheetData>
  <mergeCells count="44">
    <mergeCell ref="A49:E49"/>
    <mergeCell ref="A51:E51"/>
    <mergeCell ref="A54:B54"/>
    <mergeCell ref="D54:F54"/>
    <mergeCell ref="A55:B55"/>
    <mergeCell ref="D55:F55"/>
    <mergeCell ref="A48:B48"/>
    <mergeCell ref="A32:B32"/>
    <mergeCell ref="A33:B33"/>
    <mergeCell ref="A34:B34"/>
    <mergeCell ref="A35:E35"/>
    <mergeCell ref="A37:F37"/>
    <mergeCell ref="A41:E41"/>
    <mergeCell ref="A43:F43"/>
    <mergeCell ref="A44:B44"/>
    <mergeCell ref="A45:B45"/>
    <mergeCell ref="A46:B46"/>
    <mergeCell ref="A47:B47"/>
    <mergeCell ref="A31:B31"/>
    <mergeCell ref="A19:B19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18:B18"/>
    <mergeCell ref="A1:F5"/>
    <mergeCell ref="A6:F6"/>
    <mergeCell ref="A7:F7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</mergeCells>
  <pageMargins left="0.7" right="0.7" top="0.75" bottom="0.75" header="0.3" footer="0.3"/>
  <pageSetup paperSize="9" scale="77" orientation="portrait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E45F-4FA6-4653-AF2F-64BA9DF4CA18}">
  <sheetPr>
    <tabColor rgb="FFFFFF00"/>
  </sheetPr>
  <dimension ref="A1:G55"/>
  <sheetViews>
    <sheetView view="pageBreakPreview" topLeftCell="A25" zoomScale="70" zoomScaleNormal="100" zoomScaleSheetLayoutView="70" workbookViewId="0">
      <selection activeCell="I14" sqref="I1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210" t="s">
        <v>73</v>
      </c>
      <c r="B9" s="885" t="str">
        <f>'PRESUPUESTO OFICIAL (Entidad)'!C216</f>
        <v>CONSTRUCCION DE CERRAMIENTO</v>
      </c>
      <c r="C9" s="885"/>
      <c r="D9" s="885"/>
      <c r="E9" s="851" t="s">
        <v>74</v>
      </c>
      <c r="F9" s="917" t="str">
        <f>'PRESUPUESTO OFICIAL (Entidad)'!D220</f>
        <v>M2</v>
      </c>
    </row>
    <row r="10" spans="1:6" ht="31.5" customHeight="1" x14ac:dyDescent="0.3">
      <c r="A10" s="915" t="s">
        <v>75</v>
      </c>
      <c r="B10" s="922" t="str">
        <f>'PRESUPUESTO OFICIAL (Entidad)'!C220</f>
        <v>Puerta metálica en malla eslabonada, ángulo de 1/8x1", acabado en anticorrosivo y esmalte .</v>
      </c>
      <c r="C10" s="922"/>
      <c r="D10" s="922"/>
      <c r="E10" s="851"/>
      <c r="F10" s="917"/>
    </row>
    <row r="11" spans="1:6" ht="13.5" customHeight="1" x14ac:dyDescent="0.3">
      <c r="A11" s="915"/>
      <c r="B11" s="210" t="s">
        <v>1140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267">
        <f>F49</f>
        <v>147731.20000000001</v>
      </c>
      <c r="F15" s="268">
        <f t="shared" ref="F15:F19" si="0">D15*E15</f>
        <v>7386.5600000000013</v>
      </c>
    </row>
    <row r="16" spans="1:6" x14ac:dyDescent="0.3">
      <c r="A16" s="893" t="s">
        <v>398</v>
      </c>
      <c r="B16" s="894"/>
      <c r="C16" s="158" t="s">
        <v>43</v>
      </c>
      <c r="D16" s="158">
        <v>0.1</v>
      </c>
      <c r="E16" s="185">
        <f>EQ!F20</f>
        <v>50000</v>
      </c>
      <c r="F16" s="268">
        <f t="shared" si="0"/>
        <v>5000</v>
      </c>
    </row>
    <row r="17" spans="1:6" x14ac:dyDescent="0.3">
      <c r="A17" s="893" t="s">
        <v>515</v>
      </c>
      <c r="B17" s="894"/>
      <c r="C17" s="158" t="s">
        <v>69</v>
      </c>
      <c r="D17" s="158">
        <v>0.5</v>
      </c>
      <c r="E17" s="185">
        <f>EQ!F14</f>
        <v>3000</v>
      </c>
      <c r="F17" s="268">
        <f t="shared" si="0"/>
        <v>1500</v>
      </c>
    </row>
    <row r="18" spans="1:6" x14ac:dyDescent="0.3">
      <c r="A18" s="974" t="s">
        <v>1018</v>
      </c>
      <c r="B18" s="974"/>
      <c r="C18" s="158" t="s">
        <v>69</v>
      </c>
      <c r="D18" s="158">
        <v>0.08</v>
      </c>
      <c r="E18" s="187">
        <f>EQ!F19</f>
        <v>35000</v>
      </c>
      <c r="F18" s="268">
        <f t="shared" si="0"/>
        <v>2800</v>
      </c>
    </row>
    <row r="19" spans="1:6" ht="16.2" thickBot="1" x14ac:dyDescent="0.35">
      <c r="A19" s="898"/>
      <c r="B19" s="899"/>
      <c r="C19" s="163"/>
      <c r="D19" s="163"/>
      <c r="E19" s="270"/>
      <c r="F19" s="268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16686.560000000001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x14ac:dyDescent="0.3">
      <c r="A22" s="895" t="s">
        <v>81</v>
      </c>
      <c r="B22" s="896"/>
      <c r="C22" s="896"/>
      <c r="D22" s="896"/>
      <c r="E22" s="896"/>
      <c r="F22" s="897"/>
    </row>
    <row r="23" spans="1:6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 t="s">
        <v>688</v>
      </c>
      <c r="B24" s="904"/>
      <c r="C24" s="543" t="s">
        <v>8</v>
      </c>
      <c r="D24" s="543">
        <v>1.05</v>
      </c>
      <c r="E24" s="256">
        <f>MAT!E95</f>
        <v>26800</v>
      </c>
      <c r="F24" s="271">
        <f>D24*E24</f>
        <v>28140</v>
      </c>
    </row>
    <row r="25" spans="1:6" x14ac:dyDescent="0.3">
      <c r="A25" s="903" t="s">
        <v>623</v>
      </c>
      <c r="B25" s="904"/>
      <c r="C25" s="92" t="s">
        <v>19</v>
      </c>
      <c r="D25" s="92">
        <v>0.75</v>
      </c>
      <c r="E25" s="256">
        <f>MAT!E128</f>
        <v>16383.333333333334</v>
      </c>
      <c r="F25" s="271">
        <f t="shared" ref="F25:F34" si="1">D25*E25</f>
        <v>12287.5</v>
      </c>
    </row>
    <row r="26" spans="1:6" x14ac:dyDescent="0.3">
      <c r="A26" s="903" t="s">
        <v>1147</v>
      </c>
      <c r="B26" s="904"/>
      <c r="C26" s="92" t="s">
        <v>101</v>
      </c>
      <c r="D26" s="92">
        <v>0.32</v>
      </c>
      <c r="E26" s="256">
        <f>MAT!E115</f>
        <v>21966.666666666668</v>
      </c>
      <c r="F26" s="271">
        <f t="shared" si="1"/>
        <v>7029.3333333333339</v>
      </c>
    </row>
    <row r="27" spans="1:6" x14ac:dyDescent="0.3">
      <c r="A27" s="903" t="s">
        <v>1120</v>
      </c>
      <c r="B27" s="904"/>
      <c r="C27" s="92" t="s">
        <v>19</v>
      </c>
      <c r="D27" s="92">
        <v>1</v>
      </c>
      <c r="E27" s="256">
        <f>MAT!E150</f>
        <v>21666.666666666668</v>
      </c>
      <c r="F27" s="271">
        <f t="shared" si="1"/>
        <v>21666.666666666668</v>
      </c>
    </row>
    <row r="28" spans="1:6" x14ac:dyDescent="0.3">
      <c r="A28" s="903" t="s">
        <v>1154</v>
      </c>
      <c r="B28" s="904"/>
      <c r="C28" s="92" t="s">
        <v>19</v>
      </c>
      <c r="D28" s="92">
        <v>2</v>
      </c>
      <c r="E28" s="272">
        <f>MAT!E42</f>
        <v>5322.2222222222226</v>
      </c>
      <c r="F28" s="271">
        <f t="shared" si="1"/>
        <v>10644.444444444445</v>
      </c>
    </row>
    <row r="29" spans="1:6" ht="36" customHeight="1" x14ac:dyDescent="0.3">
      <c r="A29" s="903" t="s">
        <v>1151</v>
      </c>
      <c r="B29" s="904"/>
      <c r="C29" s="92" t="s">
        <v>427</v>
      </c>
      <c r="D29" s="544">
        <v>0.06</v>
      </c>
      <c r="E29" s="272">
        <f>MAT!E78</f>
        <v>71500</v>
      </c>
      <c r="F29" s="271">
        <f t="shared" si="1"/>
        <v>4290</v>
      </c>
    </row>
    <row r="30" spans="1:6" x14ac:dyDescent="0.3">
      <c r="A30" s="903" t="s">
        <v>571</v>
      </c>
      <c r="B30" s="904"/>
      <c r="C30" s="92" t="s">
        <v>427</v>
      </c>
      <c r="D30" s="544">
        <v>0.06</v>
      </c>
      <c r="E30" s="272">
        <f>MAT!E47</f>
        <v>55913.166666666664</v>
      </c>
      <c r="F30" s="271">
        <f t="shared" si="1"/>
        <v>3354.7899999999995</v>
      </c>
    </row>
    <row r="31" spans="1:6" x14ac:dyDescent="0.3">
      <c r="A31" s="903" t="s">
        <v>687</v>
      </c>
      <c r="B31" s="904"/>
      <c r="C31" s="92" t="s">
        <v>427</v>
      </c>
      <c r="D31" s="544">
        <v>0.06</v>
      </c>
      <c r="E31" s="272">
        <f>MAT!E77</f>
        <v>27605.040000000001</v>
      </c>
      <c r="F31" s="271">
        <f t="shared" si="1"/>
        <v>1656.3024</v>
      </c>
    </row>
    <row r="32" spans="1:6" x14ac:dyDescent="0.3">
      <c r="A32" s="903"/>
      <c r="B32" s="904"/>
      <c r="C32" s="92"/>
      <c r="D32" s="544"/>
      <c r="E32" s="272"/>
      <c r="F32" s="271">
        <f t="shared" si="1"/>
        <v>0</v>
      </c>
    </row>
    <row r="33" spans="1:6" ht="29.25" customHeight="1" x14ac:dyDescent="0.3">
      <c r="A33" s="1015"/>
      <c r="B33" s="1016"/>
      <c r="C33" s="92"/>
      <c r="D33" s="92"/>
      <c r="E33" s="272"/>
      <c r="F33" s="271">
        <f t="shared" si="1"/>
        <v>0</v>
      </c>
    </row>
    <row r="34" spans="1:6" ht="16.2" thickBot="1" x14ac:dyDescent="0.35">
      <c r="A34" s="1017"/>
      <c r="B34" s="1018"/>
      <c r="C34" s="547"/>
      <c r="D34" s="547"/>
      <c r="E34" s="273"/>
      <c r="F34" s="274">
        <f t="shared" si="1"/>
        <v>0</v>
      </c>
    </row>
    <row r="35" spans="1:6" ht="16.2" thickBot="1" x14ac:dyDescent="0.35">
      <c r="A35" s="900" t="s">
        <v>84</v>
      </c>
      <c r="B35" s="900"/>
      <c r="C35" s="900"/>
      <c r="D35" s="900"/>
      <c r="E35" s="900"/>
      <c r="F35" s="168">
        <f>SUM(F24:F34)</f>
        <v>89069.036844444432</v>
      </c>
    </row>
    <row r="36" spans="1:6" ht="16.8" thickTop="1" thickBot="1" x14ac:dyDescent="0.35">
      <c r="A36" s="103"/>
      <c r="B36" s="103"/>
      <c r="C36" s="103"/>
      <c r="D36" s="103"/>
      <c r="E36" s="103"/>
      <c r="F36" s="153"/>
    </row>
    <row r="37" spans="1:6" x14ac:dyDescent="0.3">
      <c r="A37" s="895" t="s">
        <v>85</v>
      </c>
      <c r="B37" s="896"/>
      <c r="C37" s="896"/>
      <c r="D37" s="896"/>
      <c r="E37" s="896"/>
      <c r="F37" s="897"/>
    </row>
    <row r="38" spans="1:6" ht="31.2" x14ac:dyDescent="0.3">
      <c r="A38" s="169" t="s">
        <v>86</v>
      </c>
      <c r="B38" s="156" t="s">
        <v>94</v>
      </c>
      <c r="C38" s="158" t="s">
        <v>96</v>
      </c>
      <c r="D38" s="158" t="s">
        <v>97</v>
      </c>
      <c r="E38" s="158" t="s">
        <v>95</v>
      </c>
      <c r="F38" s="160" t="s">
        <v>82</v>
      </c>
    </row>
    <row r="39" spans="1:6" x14ac:dyDescent="0.3">
      <c r="A39" s="169" t="s">
        <v>1153</v>
      </c>
      <c r="B39" s="111"/>
      <c r="C39" s="158"/>
      <c r="D39" s="158"/>
      <c r="E39" s="548">
        <f>F35*0.05</f>
        <v>4453.4518422222218</v>
      </c>
      <c r="F39" s="186">
        <f>E39</f>
        <v>4453.4518422222218</v>
      </c>
    </row>
    <row r="40" spans="1:6" ht="16.2" thickBot="1" x14ac:dyDescent="0.35">
      <c r="A40" s="171"/>
      <c r="B40" s="197"/>
      <c r="C40" s="163"/>
      <c r="D40" s="163"/>
      <c r="E40" s="163"/>
      <c r="F40" s="190">
        <f>C40*D40*E40</f>
        <v>0</v>
      </c>
    </row>
    <row r="41" spans="1:6" ht="15.75" customHeight="1" thickBot="1" x14ac:dyDescent="0.35">
      <c r="A41" s="907" t="s">
        <v>90</v>
      </c>
      <c r="B41" s="907"/>
      <c r="C41" s="907"/>
      <c r="D41" s="907"/>
      <c r="E41" s="907"/>
      <c r="F41" s="198">
        <f>SUM(F39:F40)</f>
        <v>4453.4518422222218</v>
      </c>
    </row>
    <row r="42" spans="1:6" ht="16.8" thickTop="1" thickBot="1" x14ac:dyDescent="0.35">
      <c r="A42" s="103"/>
      <c r="B42" s="103"/>
      <c r="C42" s="103"/>
      <c r="D42" s="103"/>
      <c r="E42" s="103"/>
      <c r="F42" s="153"/>
    </row>
    <row r="43" spans="1:6" x14ac:dyDescent="0.3">
      <c r="A43" s="895" t="s">
        <v>91</v>
      </c>
      <c r="B43" s="896"/>
      <c r="C43" s="896"/>
      <c r="D43" s="896"/>
      <c r="E43" s="896"/>
      <c r="F43" s="897"/>
    </row>
    <row r="44" spans="1:6" ht="24.75" customHeight="1" x14ac:dyDescent="0.3">
      <c r="A44" s="891" t="s">
        <v>48</v>
      </c>
      <c r="B44" s="892"/>
      <c r="C44" s="156" t="s">
        <v>23</v>
      </c>
      <c r="D44" s="156" t="s">
        <v>378</v>
      </c>
      <c r="E44" s="156" t="s">
        <v>98</v>
      </c>
      <c r="F44" s="157" t="s">
        <v>79</v>
      </c>
    </row>
    <row r="45" spans="1:6" ht="15.75" customHeight="1" x14ac:dyDescent="0.3">
      <c r="A45" s="893" t="str">
        <f>M.O!B81</f>
        <v>MANO DE OBRA CARPINTERIA</v>
      </c>
      <c r="B45" s="894"/>
      <c r="C45" s="176" t="s">
        <v>43</v>
      </c>
      <c r="D45" s="177">
        <f>M.O!F88</f>
        <v>46166</v>
      </c>
      <c r="E45" s="156">
        <v>3.2</v>
      </c>
      <c r="F45" s="167">
        <f>D45*E45</f>
        <v>147731.20000000001</v>
      </c>
    </row>
    <row r="46" spans="1:6" x14ac:dyDescent="0.3">
      <c r="A46" s="974"/>
      <c r="B46" s="974"/>
      <c r="C46" s="176"/>
      <c r="D46" s="177"/>
      <c r="E46" s="156"/>
      <c r="F46" s="167">
        <f t="shared" ref="F46:F48" si="2">D46*E46</f>
        <v>0</v>
      </c>
    </row>
    <row r="47" spans="1:6" x14ac:dyDescent="0.3">
      <c r="A47" s="883"/>
      <c r="B47" s="884"/>
      <c r="C47" s="156"/>
      <c r="D47" s="156"/>
      <c r="E47" s="156"/>
      <c r="F47" s="167">
        <f t="shared" si="2"/>
        <v>0</v>
      </c>
    </row>
    <row r="48" spans="1:6" ht="16.2" thickBot="1" x14ac:dyDescent="0.35">
      <c r="A48" s="898"/>
      <c r="B48" s="899"/>
      <c r="C48" s="178"/>
      <c r="D48" s="178"/>
      <c r="E48" s="178"/>
      <c r="F48" s="179">
        <f t="shared" si="2"/>
        <v>0</v>
      </c>
    </row>
    <row r="49" spans="1:7" ht="15.75" customHeight="1" thickBot="1" x14ac:dyDescent="0.35">
      <c r="A49" s="907" t="s">
        <v>92</v>
      </c>
      <c r="B49" s="907"/>
      <c r="C49" s="907"/>
      <c r="D49" s="907"/>
      <c r="E49" s="907"/>
      <c r="F49" s="175">
        <f>SUM(F45:F48)</f>
        <v>147731.20000000001</v>
      </c>
    </row>
    <row r="50" spans="1:7" ht="16.2" thickTop="1" x14ac:dyDescent="0.3">
      <c r="A50" s="103"/>
      <c r="B50" s="103"/>
      <c r="C50" s="103"/>
      <c r="D50" s="103"/>
      <c r="E50" s="103"/>
      <c r="F50" s="153"/>
    </row>
    <row r="51" spans="1:7" ht="15.75" customHeight="1" thickBot="1" x14ac:dyDescent="0.35">
      <c r="A51" s="907" t="s">
        <v>93</v>
      </c>
      <c r="B51" s="907"/>
      <c r="C51" s="907"/>
      <c r="D51" s="907"/>
      <c r="E51" s="907"/>
      <c r="F51" s="180">
        <f>ROUND(SUM(F35+F49+F20+F41),0)</f>
        <v>257940</v>
      </c>
    </row>
    <row r="52" spans="1:7" ht="16.2" thickTop="1" x14ac:dyDescent="0.3">
      <c r="A52" s="103"/>
      <c r="B52" s="103"/>
      <c r="C52" s="103"/>
      <c r="D52" s="103"/>
      <c r="E52" s="103"/>
      <c r="F52" s="153"/>
    </row>
    <row r="54" spans="1:7" x14ac:dyDescent="0.3">
      <c r="A54" s="856" t="s">
        <v>120</v>
      </c>
      <c r="B54" s="856"/>
      <c r="D54" s="856" t="s">
        <v>122</v>
      </c>
      <c r="E54" s="856"/>
      <c r="F54" s="856"/>
      <c r="G54" s="9"/>
    </row>
    <row r="55" spans="1:7" x14ac:dyDescent="0.3">
      <c r="A55" s="741" t="s">
        <v>121</v>
      </c>
      <c r="B55" s="741"/>
      <c r="D55" s="741" t="s">
        <v>123</v>
      </c>
      <c r="E55" s="741"/>
      <c r="F55" s="741"/>
    </row>
  </sheetData>
  <mergeCells count="44">
    <mergeCell ref="A49:E49"/>
    <mergeCell ref="A51:E51"/>
    <mergeCell ref="A54:B54"/>
    <mergeCell ref="D54:F54"/>
    <mergeCell ref="A55:B55"/>
    <mergeCell ref="D55:F55"/>
    <mergeCell ref="A48:B48"/>
    <mergeCell ref="A32:B32"/>
    <mergeCell ref="A33:B33"/>
    <mergeCell ref="A34:B34"/>
    <mergeCell ref="A35:E35"/>
    <mergeCell ref="A37:F37"/>
    <mergeCell ref="A41:E41"/>
    <mergeCell ref="A43:F43"/>
    <mergeCell ref="A44:B44"/>
    <mergeCell ref="A45:B45"/>
    <mergeCell ref="A46:B46"/>
    <mergeCell ref="A47:B47"/>
    <mergeCell ref="A31:B31"/>
    <mergeCell ref="A19:B19"/>
    <mergeCell ref="A20:E20"/>
    <mergeCell ref="A22:F22"/>
    <mergeCell ref="A23:B23"/>
    <mergeCell ref="A24:B24"/>
    <mergeCell ref="A25:B25"/>
    <mergeCell ref="A26:B26"/>
    <mergeCell ref="A27:B27"/>
    <mergeCell ref="A28:B28"/>
    <mergeCell ref="A29:B29"/>
    <mergeCell ref="A30:B30"/>
    <mergeCell ref="A18:B18"/>
    <mergeCell ref="A1:F5"/>
    <mergeCell ref="A6:F6"/>
    <mergeCell ref="A7:F7"/>
    <mergeCell ref="B9:D9"/>
    <mergeCell ref="E9:E10"/>
    <mergeCell ref="F9:F10"/>
    <mergeCell ref="A10:A11"/>
    <mergeCell ref="B10:D10"/>
    <mergeCell ref="A13:F13"/>
    <mergeCell ref="A14:B14"/>
    <mergeCell ref="A15:B15"/>
    <mergeCell ref="A16:B16"/>
    <mergeCell ref="A17:B17"/>
  </mergeCells>
  <pageMargins left="0.7" right="0.7" top="0.75" bottom="0.75" header="0.3" footer="0.3"/>
  <pageSetup paperSize="9" scale="77" orientation="portrait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20C9D-F26B-44BA-A7FC-C7F160379D6B}">
  <sheetPr>
    <tabColor rgb="FFFFFF00"/>
  </sheetPr>
  <dimension ref="A1:O53"/>
  <sheetViews>
    <sheetView view="pageBreakPreview" topLeftCell="A39" zoomScale="70" zoomScaleNormal="100" zoomScaleSheetLayoutView="70" workbookViewId="0">
      <selection activeCell="S35" sqref="S35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'[12]PRES '!C26</f>
        <v>MAMPOSTERIA</v>
      </c>
      <c r="C9" s="885"/>
      <c r="D9" s="885"/>
      <c r="E9" s="851" t="s">
        <v>74</v>
      </c>
      <c r="F9" s="917" t="s">
        <v>19</v>
      </c>
    </row>
    <row r="10" spans="1:6" ht="46.5" customHeight="1" x14ac:dyDescent="0.3">
      <c r="A10" s="915" t="s">
        <v>75</v>
      </c>
      <c r="B10" s="922" t="s">
        <v>1155</v>
      </c>
      <c r="C10" s="922"/>
      <c r="D10" s="922"/>
      <c r="E10" s="851"/>
      <c r="F10" s="917"/>
    </row>
    <row r="11" spans="1:6" x14ac:dyDescent="0.3">
      <c r="A11" s="915"/>
      <c r="B11" s="210"/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.7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46166.400000000001</v>
      </c>
      <c r="F15" s="186">
        <f t="shared" ref="F15:F19" si="0">D15*E15</f>
        <v>2308.3200000000002</v>
      </c>
    </row>
    <row r="16" spans="1:6" x14ac:dyDescent="0.3">
      <c r="A16" s="893"/>
      <c r="B16" s="894"/>
      <c r="C16" s="158"/>
      <c r="D16" s="158"/>
      <c r="E16" s="185"/>
      <c r="F16" s="186">
        <f t="shared" si="0"/>
        <v>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2308.3200000000002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x14ac:dyDescent="0.3">
      <c r="A24" s="903" t="s">
        <v>416</v>
      </c>
      <c r="B24" s="904"/>
      <c r="C24" s="156" t="s">
        <v>9</v>
      </c>
      <c r="D24" s="156">
        <f>0.2*0.2</f>
        <v>4.0000000000000008E-2</v>
      </c>
      <c r="E24" s="211">
        <f>'C. 3000 PSI'!F45</f>
        <v>607218</v>
      </c>
      <c r="F24" s="167">
        <f>D24*E24</f>
        <v>24288.720000000005</v>
      </c>
      <c r="I24" s="1" t="s">
        <v>18</v>
      </c>
      <c r="J24" s="1" t="s">
        <v>12</v>
      </c>
      <c r="K24" s="1" t="s">
        <v>112</v>
      </c>
      <c r="L24" s="1" t="s">
        <v>111</v>
      </c>
      <c r="M24" s="1" t="s">
        <v>113</v>
      </c>
    </row>
    <row r="25" spans="1:15" x14ac:dyDescent="0.3">
      <c r="A25" s="903" t="s">
        <v>721</v>
      </c>
      <c r="B25" s="904"/>
      <c r="C25" s="156" t="s">
        <v>111</v>
      </c>
      <c r="D25" s="165">
        <f>M25</f>
        <v>4.1748000000000003</v>
      </c>
      <c r="E25" s="213">
        <f>MAT!E139</f>
        <v>4618.0555555555557</v>
      </c>
      <c r="F25" s="167">
        <f t="shared" ref="F25:F31" si="1">D25*E25</f>
        <v>19279.458333333336</v>
      </c>
      <c r="H25" s="1" t="s">
        <v>518</v>
      </c>
      <c r="I25" s="214">
        <v>1</v>
      </c>
      <c r="J25" s="1">
        <f>1*4</f>
        <v>4</v>
      </c>
      <c r="K25" s="1">
        <v>0.99399999999999999</v>
      </c>
      <c r="L25" s="1">
        <f>I25*J25*K25</f>
        <v>3.976</v>
      </c>
      <c r="M25" s="214">
        <f>(L25*0.05)+L25</f>
        <v>4.1748000000000003</v>
      </c>
      <c r="N25" s="214"/>
      <c r="O25" s="214"/>
    </row>
    <row r="26" spans="1:15" x14ac:dyDescent="0.3">
      <c r="A26" s="903" t="s">
        <v>696</v>
      </c>
      <c r="B26" s="904"/>
      <c r="C26" s="156" t="s">
        <v>111</v>
      </c>
      <c r="D26" s="165">
        <f>L26</f>
        <v>1.9600000000000004</v>
      </c>
      <c r="E26" s="213">
        <f>MAT!E141</f>
        <v>2685.7491666666665</v>
      </c>
      <c r="F26" s="167">
        <f t="shared" si="1"/>
        <v>5264.0683666666673</v>
      </c>
      <c r="H26" s="1" t="s">
        <v>109</v>
      </c>
      <c r="I26" s="1">
        <f>0.05+0.05+0.15+0.15+0.15+0.15</f>
        <v>0.70000000000000007</v>
      </c>
      <c r="J26" s="1">
        <f>1/0.2</f>
        <v>5</v>
      </c>
      <c r="K26" s="1">
        <v>0.56000000000000005</v>
      </c>
      <c r="L26" s="1">
        <f>I26*J26*K26</f>
        <v>1.9600000000000004</v>
      </c>
    </row>
    <row r="27" spans="1:15" x14ac:dyDescent="0.3">
      <c r="A27" s="911" t="s">
        <v>508</v>
      </c>
      <c r="B27" s="912"/>
      <c r="C27" s="156" t="s">
        <v>8</v>
      </c>
      <c r="D27" s="165">
        <v>0.11</v>
      </c>
      <c r="E27" s="213">
        <f>MAT!E81</f>
        <v>35900</v>
      </c>
      <c r="F27" s="167">
        <f t="shared" si="1"/>
        <v>3949</v>
      </c>
    </row>
    <row r="28" spans="1:15" ht="15" customHeight="1" x14ac:dyDescent="0.3">
      <c r="A28" s="911"/>
      <c r="B28" s="912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3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52781.246700000011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ht="15.75" customHeight="1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1.2</v>
      </c>
      <c r="F42" s="167">
        <f>D42*E42</f>
        <v>46166.400000000001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46166.400000000001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101256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33BD-7281-4D4B-A912-688117033D4C}">
  <sheetPr>
    <tabColor rgb="FFFFFF00"/>
  </sheetPr>
  <dimension ref="A1:O53"/>
  <sheetViews>
    <sheetView view="pageBreakPreview" topLeftCell="A43" zoomScale="70" zoomScaleNormal="100" zoomScaleSheetLayoutView="70" workbookViewId="0">
      <selection activeCell="A42" sqref="A42:D42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'[12]PRES '!C26</f>
        <v>MAMPOSTERIA</v>
      </c>
      <c r="C9" s="885"/>
      <c r="D9" s="885"/>
      <c r="E9" s="851" t="s">
        <v>74</v>
      </c>
      <c r="F9" s="917" t="str">
        <f>'[12]PRES '!D27</f>
        <v>M2</v>
      </c>
    </row>
    <row r="10" spans="1:6" ht="29.25" customHeight="1" x14ac:dyDescent="0.3">
      <c r="A10" s="915" t="s">
        <v>75</v>
      </c>
      <c r="B10" s="922" t="str">
        <f>'[12]PRES '!C27</f>
        <v>Construccion de Muro en Bloque de arcilla #5 (12x20x30cm) Incluye mortero de pega y bloque.</v>
      </c>
      <c r="C10" s="922"/>
      <c r="D10" s="922"/>
      <c r="E10" s="851"/>
      <c r="F10" s="917"/>
    </row>
    <row r="11" spans="1:6" x14ac:dyDescent="0.3">
      <c r="A11" s="915"/>
      <c r="B11" s="210"/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x14ac:dyDescent="0.3">
      <c r="A16" s="893" t="s">
        <v>515</v>
      </c>
      <c r="B16" s="894"/>
      <c r="C16" s="158" t="s">
        <v>69</v>
      </c>
      <c r="D16" s="158">
        <v>0.3</v>
      </c>
      <c r="E16" s="185">
        <f>[13]EQ!F14</f>
        <v>3000</v>
      </c>
      <c r="F16" s="186">
        <f t="shared" si="0"/>
        <v>900</v>
      </c>
    </row>
    <row r="17" spans="1:15" x14ac:dyDescent="0.3">
      <c r="A17" s="883"/>
      <c r="B17" s="884"/>
      <c r="C17" s="158"/>
      <c r="D17" s="158"/>
      <c r="E17" s="187"/>
      <c r="F17" s="186">
        <f t="shared" si="0"/>
        <v>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2823.6000000000004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03" t="s">
        <v>831</v>
      </c>
      <c r="B24" s="904"/>
      <c r="C24" s="156" t="s">
        <v>21</v>
      </c>
      <c r="D24" s="156">
        <v>58</v>
      </c>
      <c r="E24" s="189">
        <f>[13]MAT!E145</f>
        <v>1700</v>
      </c>
      <c r="F24" s="167">
        <f>D24*E24</f>
        <v>98600</v>
      </c>
    </row>
    <row r="25" spans="1:15" x14ac:dyDescent="0.3">
      <c r="A25" s="903" t="s">
        <v>514</v>
      </c>
      <c r="B25" s="904"/>
      <c r="C25" s="156" t="s">
        <v>9</v>
      </c>
      <c r="D25" s="156">
        <v>3.5999999999999997E-2</v>
      </c>
      <c r="E25" s="189">
        <f>'M 1-4'!F46</f>
        <v>442836</v>
      </c>
      <c r="F25" s="167">
        <f t="shared" ref="F25:F31" si="1">D25*E25</f>
        <v>15942.096</v>
      </c>
      <c r="I25" s="214"/>
      <c r="M25" s="214"/>
      <c r="N25" s="214"/>
      <c r="O25" s="214"/>
    </row>
    <row r="26" spans="1:15" x14ac:dyDescent="0.3">
      <c r="A26" s="903"/>
      <c r="B26" s="904"/>
      <c r="C26" s="156"/>
      <c r="D26" s="165"/>
      <c r="E26" s="213"/>
      <c r="F26" s="167">
        <f t="shared" si="1"/>
        <v>0</v>
      </c>
    </row>
    <row r="27" spans="1:15" x14ac:dyDescent="0.3">
      <c r="A27" s="903"/>
      <c r="B27" s="904"/>
      <c r="C27" s="156"/>
      <c r="D27" s="165"/>
      <c r="E27" s="213"/>
      <c r="F27" s="167">
        <f t="shared" si="1"/>
        <v>0</v>
      </c>
    </row>
    <row r="28" spans="1:15" ht="15" customHeight="1" x14ac:dyDescent="0.3">
      <c r="A28" s="911"/>
      <c r="B28" s="912"/>
      <c r="C28" s="156"/>
      <c r="D28" s="165"/>
      <c r="E28" s="211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6.2" thickBot="1" x14ac:dyDescent="0.35">
      <c r="A32" s="900" t="s">
        <v>84</v>
      </c>
      <c r="B32" s="900"/>
      <c r="C32" s="900"/>
      <c r="D32" s="900"/>
      <c r="E32" s="900"/>
      <c r="F32" s="168">
        <f>SUM(F24:F31)</f>
        <v>114542.09600000001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 t="s">
        <v>85</v>
      </c>
      <c r="B36" s="111">
        <v>16</v>
      </c>
      <c r="C36" s="158">
        <v>16</v>
      </c>
      <c r="D36" s="158">
        <f>B36*C36</f>
        <v>256</v>
      </c>
      <c r="E36" s="158">
        <v>50</v>
      </c>
      <c r="F36" s="186">
        <f>C36*E36</f>
        <v>800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800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.7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156638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colBreaks count="1" manualBreakCount="1">
    <brk id="6" max="1048575" man="1"/>
  </colBreaks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5031D-0737-463F-90A2-9BB4B9A50E74}">
  <sheetPr>
    <tabColor rgb="FFFFFF00"/>
  </sheetPr>
  <dimension ref="A1:O53"/>
  <sheetViews>
    <sheetView view="pageBreakPreview" topLeftCell="A31" zoomScale="70" zoomScaleNormal="100" zoomScaleSheetLayoutView="70" workbookViewId="0">
      <selection activeCell="S10" sqref="S10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10" width="11.44140625" style="1"/>
    <col min="11" max="11" width="13.109375" style="1" customWidth="1"/>
    <col min="12" max="16384" width="11.44140625" style="1"/>
  </cols>
  <sheetData>
    <row r="1" spans="1:6" x14ac:dyDescent="0.3">
      <c r="A1" s="831"/>
      <c r="B1" s="831"/>
      <c r="C1" s="831"/>
      <c r="D1" s="831"/>
      <c r="E1" s="831"/>
      <c r="F1" s="831"/>
    </row>
    <row r="2" spans="1:6" x14ac:dyDescent="0.3">
      <c r="A2" s="831"/>
      <c r="B2" s="831"/>
      <c r="C2" s="831"/>
      <c r="D2" s="831"/>
      <c r="E2" s="831"/>
      <c r="F2" s="831"/>
    </row>
    <row r="3" spans="1:6" x14ac:dyDescent="0.3">
      <c r="A3" s="831"/>
      <c r="B3" s="831"/>
      <c r="C3" s="831"/>
      <c r="D3" s="831"/>
      <c r="E3" s="831"/>
      <c r="F3" s="831"/>
    </row>
    <row r="4" spans="1:6" x14ac:dyDescent="0.3">
      <c r="A4" s="831"/>
      <c r="B4" s="831"/>
      <c r="C4" s="831"/>
      <c r="D4" s="831"/>
      <c r="E4" s="831"/>
      <c r="F4" s="831"/>
    </row>
    <row r="5" spans="1:6" x14ac:dyDescent="0.3">
      <c r="A5" s="831"/>
      <c r="B5" s="831"/>
      <c r="C5" s="831"/>
      <c r="D5" s="831"/>
      <c r="E5" s="831"/>
      <c r="F5" s="831"/>
    </row>
    <row r="6" spans="1:6" x14ac:dyDescent="0.3">
      <c r="A6" s="831"/>
      <c r="B6" s="831"/>
      <c r="C6" s="831"/>
      <c r="D6" s="831"/>
      <c r="E6" s="831"/>
      <c r="F6" s="831"/>
    </row>
    <row r="7" spans="1:6" x14ac:dyDescent="0.3">
      <c r="A7" s="754" t="s">
        <v>72</v>
      </c>
      <c r="B7" s="754"/>
      <c r="C7" s="754"/>
      <c r="D7" s="754"/>
      <c r="E7" s="754"/>
      <c r="F7" s="754"/>
    </row>
    <row r="8" spans="1:6" x14ac:dyDescent="0.3">
      <c r="A8" s="103"/>
      <c r="B8" s="103"/>
      <c r="C8" s="103"/>
      <c r="D8" s="103"/>
      <c r="E8" s="103"/>
      <c r="F8" s="153"/>
    </row>
    <row r="9" spans="1:6" x14ac:dyDescent="0.3">
      <c r="A9" s="14" t="s">
        <v>73</v>
      </c>
      <c r="B9" s="885" t="str">
        <f>'[12]PRES '!C30</f>
        <v>ESTRUCTURA</v>
      </c>
      <c r="C9" s="885"/>
      <c r="D9" s="885"/>
      <c r="E9" s="851" t="s">
        <v>74</v>
      </c>
      <c r="F9" s="917" t="str">
        <f>'[12]PRES '!D33</f>
        <v>ML</v>
      </c>
    </row>
    <row r="10" spans="1:6" ht="45.75" customHeight="1" x14ac:dyDescent="0.3">
      <c r="A10" s="915" t="s">
        <v>75</v>
      </c>
      <c r="B10" s="922" t="s">
        <v>720</v>
      </c>
      <c r="C10" s="922"/>
      <c r="D10" s="922"/>
      <c r="E10" s="851"/>
      <c r="F10" s="917"/>
    </row>
    <row r="11" spans="1:6" x14ac:dyDescent="0.3">
      <c r="A11" s="915"/>
      <c r="B11" s="210" t="s">
        <v>174</v>
      </c>
      <c r="C11" s="210"/>
      <c r="D11" s="210"/>
      <c r="E11" s="210"/>
      <c r="F11" s="210"/>
    </row>
    <row r="12" spans="1:6" ht="16.2" thickBot="1" x14ac:dyDescent="0.35">
      <c r="A12" s="103"/>
      <c r="B12" s="103"/>
      <c r="C12" s="103"/>
      <c r="D12" s="103"/>
      <c r="E12" s="103"/>
      <c r="F12" s="153"/>
    </row>
    <row r="13" spans="1:6" x14ac:dyDescent="0.3">
      <c r="A13" s="888" t="s">
        <v>76</v>
      </c>
      <c r="B13" s="889"/>
      <c r="C13" s="889"/>
      <c r="D13" s="889"/>
      <c r="E13" s="889"/>
      <c r="F13" s="890"/>
    </row>
    <row r="14" spans="1:6" s="34" customForma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6" ht="15" customHeight="1" x14ac:dyDescent="0.3">
      <c r="A15" s="893" t="s">
        <v>516</v>
      </c>
      <c r="B15" s="894"/>
      <c r="C15" s="158" t="s">
        <v>56</v>
      </c>
      <c r="D15" s="158">
        <f>5/100</f>
        <v>0.05</v>
      </c>
      <c r="E15" s="185">
        <f>F46</f>
        <v>38472</v>
      </c>
      <c r="F15" s="186">
        <f t="shared" ref="F15:F19" si="0">D15*E15</f>
        <v>1923.6000000000001</v>
      </c>
    </row>
    <row r="16" spans="1:6" x14ac:dyDescent="0.3">
      <c r="A16" s="893" t="s">
        <v>399</v>
      </c>
      <c r="B16" s="894"/>
      <c r="C16" s="158" t="s">
        <v>69</v>
      </c>
      <c r="D16" s="158">
        <v>0.02</v>
      </c>
      <c r="E16" s="185">
        <f>EQ!F20</f>
        <v>50000</v>
      </c>
      <c r="F16" s="186">
        <f t="shared" si="0"/>
        <v>1000</v>
      </c>
    </row>
    <row r="17" spans="1:15" x14ac:dyDescent="0.3">
      <c r="A17" s="893" t="s">
        <v>515</v>
      </c>
      <c r="B17" s="894"/>
      <c r="C17" s="158" t="s">
        <v>69</v>
      </c>
      <c r="D17" s="158">
        <v>0.5</v>
      </c>
      <c r="E17" s="185">
        <f>EQ!F14</f>
        <v>3000</v>
      </c>
      <c r="F17" s="186">
        <f t="shared" si="0"/>
        <v>1500</v>
      </c>
    </row>
    <row r="18" spans="1:15" x14ac:dyDescent="0.3">
      <c r="A18" s="883"/>
      <c r="B18" s="884"/>
      <c r="C18" s="158"/>
      <c r="D18" s="158"/>
      <c r="E18" s="187"/>
      <c r="F18" s="186">
        <f t="shared" si="0"/>
        <v>0</v>
      </c>
    </row>
    <row r="19" spans="1:15" ht="16.2" thickBot="1" x14ac:dyDescent="0.35">
      <c r="A19" s="898"/>
      <c r="B19" s="899"/>
      <c r="C19" s="163"/>
      <c r="D19" s="163"/>
      <c r="E19" s="188"/>
      <c r="F19" s="186">
        <f t="shared" si="0"/>
        <v>0</v>
      </c>
    </row>
    <row r="20" spans="1:15" ht="15.75" customHeight="1" thickBot="1" x14ac:dyDescent="0.35">
      <c r="A20" s="900" t="s">
        <v>80</v>
      </c>
      <c r="B20" s="900"/>
      <c r="C20" s="900"/>
      <c r="D20" s="900"/>
      <c r="E20" s="900"/>
      <c r="F20" s="164">
        <f>SUM(F15:F19)</f>
        <v>4423.6000000000004</v>
      </c>
    </row>
    <row r="21" spans="1:15" ht="16.8" thickTop="1" thickBot="1" x14ac:dyDescent="0.35">
      <c r="A21" s="103"/>
      <c r="B21" s="103"/>
      <c r="C21" s="103"/>
      <c r="D21" s="103"/>
      <c r="E21" s="103"/>
      <c r="F21" s="153"/>
    </row>
    <row r="22" spans="1:15" x14ac:dyDescent="0.3">
      <c r="A22" s="895" t="s">
        <v>81</v>
      </c>
      <c r="B22" s="896"/>
      <c r="C22" s="896"/>
      <c r="D22" s="896"/>
      <c r="E22" s="896"/>
      <c r="F22" s="897"/>
    </row>
    <row r="23" spans="1:15" s="34" customFormat="1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15" ht="15" customHeight="1" x14ac:dyDescent="0.3">
      <c r="A24" s="911" t="s">
        <v>416</v>
      </c>
      <c r="B24" s="912"/>
      <c r="C24" s="156" t="s">
        <v>9</v>
      </c>
      <c r="D24" s="248">
        <f>0.2*0.15</f>
        <v>0.03</v>
      </c>
      <c r="E24" s="211">
        <f>'C. 3000 PSI'!F45</f>
        <v>607218</v>
      </c>
      <c r="F24" s="167">
        <f>D24*E24</f>
        <v>18216.54</v>
      </c>
      <c r="I24" s="103" t="s">
        <v>18</v>
      </c>
      <c r="J24" s="103" t="s">
        <v>12</v>
      </c>
      <c r="K24" s="103" t="s">
        <v>112</v>
      </c>
      <c r="L24" s="103" t="s">
        <v>111</v>
      </c>
      <c r="M24" s="103" t="s">
        <v>113</v>
      </c>
    </row>
    <row r="25" spans="1:15" x14ac:dyDescent="0.3">
      <c r="A25" s="903" t="s">
        <v>721</v>
      </c>
      <c r="B25" s="904"/>
      <c r="C25" s="156" t="s">
        <v>111</v>
      </c>
      <c r="D25" s="253">
        <f>M25</f>
        <v>4.1748000000000003</v>
      </c>
      <c r="E25" s="213">
        <f>MAT!E139</f>
        <v>4618.0555555555557</v>
      </c>
      <c r="F25" s="167">
        <f t="shared" ref="F25:F31" si="1">D25*E25</f>
        <v>19279.458333333336</v>
      </c>
      <c r="H25" s="28" t="s">
        <v>518</v>
      </c>
      <c r="I25" s="249">
        <v>1</v>
      </c>
      <c r="J25" s="28">
        <v>4</v>
      </c>
      <c r="K25" s="28">
        <v>0.99399999999999999</v>
      </c>
      <c r="L25" s="28">
        <f>I25*J25*K25</f>
        <v>3.976</v>
      </c>
      <c r="M25" s="249">
        <f>(L25*0.05)+L25</f>
        <v>4.1748000000000003</v>
      </c>
      <c r="N25" s="214"/>
      <c r="O25" s="214"/>
    </row>
    <row r="26" spans="1:15" ht="15" customHeight="1" x14ac:dyDescent="0.3">
      <c r="A26" s="903" t="s">
        <v>719</v>
      </c>
      <c r="B26" s="904"/>
      <c r="C26" s="156" t="s">
        <v>111</v>
      </c>
      <c r="D26" s="253">
        <f>L26</f>
        <v>1.85</v>
      </c>
      <c r="E26" s="213">
        <f>MAT!E140</f>
        <v>1458.3333333333335</v>
      </c>
      <c r="F26" s="167">
        <f>D26*E26</f>
        <v>2697.916666666667</v>
      </c>
      <c r="H26" s="28" t="s">
        <v>110</v>
      </c>
      <c r="I26" s="28">
        <v>0.74</v>
      </c>
      <c r="J26" s="28">
        <f>1/0.1</f>
        <v>10</v>
      </c>
      <c r="K26" s="28">
        <v>0.25</v>
      </c>
      <c r="L26" s="28">
        <f>I26*J26*K26</f>
        <v>1.85</v>
      </c>
      <c r="M26" s="28"/>
    </row>
    <row r="27" spans="1:15" ht="15.75" customHeight="1" x14ac:dyDescent="0.3">
      <c r="A27" s="903" t="s">
        <v>508</v>
      </c>
      <c r="B27" s="904"/>
      <c r="C27" s="156" t="s">
        <v>8</v>
      </c>
      <c r="D27" s="165">
        <v>0.12</v>
      </c>
      <c r="E27" s="213">
        <f>MAT!E81</f>
        <v>35900</v>
      </c>
      <c r="F27" s="167">
        <f>D27*E27</f>
        <v>4308</v>
      </c>
    </row>
    <row r="28" spans="1:15" ht="15" customHeight="1" x14ac:dyDescent="0.3">
      <c r="A28" s="903"/>
      <c r="B28" s="904"/>
      <c r="C28" s="156"/>
      <c r="D28" s="165"/>
      <c r="E28" s="213"/>
      <c r="F28" s="167">
        <f t="shared" si="1"/>
        <v>0</v>
      </c>
      <c r="I28" s="214"/>
      <c r="K28" s="103"/>
    </row>
    <row r="29" spans="1:15" x14ac:dyDescent="0.3">
      <c r="A29" s="903"/>
      <c r="B29" s="904"/>
      <c r="C29" s="156"/>
      <c r="D29" s="165"/>
      <c r="E29" s="216"/>
      <c r="F29" s="167">
        <f t="shared" si="1"/>
        <v>0</v>
      </c>
      <c r="K29" s="10"/>
    </row>
    <row r="30" spans="1:15" x14ac:dyDescent="0.3">
      <c r="A30" s="903"/>
      <c r="B30" s="904"/>
      <c r="C30" s="156"/>
      <c r="D30" s="165"/>
      <c r="E30" s="216"/>
      <c r="F30" s="167">
        <f t="shared" si="1"/>
        <v>0</v>
      </c>
      <c r="K30" s="217"/>
    </row>
    <row r="31" spans="1:15" ht="16.2" thickBot="1" x14ac:dyDescent="0.35">
      <c r="A31" s="905"/>
      <c r="B31" s="906"/>
      <c r="C31" s="178"/>
      <c r="D31" s="178"/>
      <c r="E31" s="218"/>
      <c r="F31" s="179">
        <f t="shared" si="1"/>
        <v>0</v>
      </c>
    </row>
    <row r="32" spans="1:15" ht="15.75" customHeight="1" thickBot="1" x14ac:dyDescent="0.35">
      <c r="A32" s="900" t="s">
        <v>84</v>
      </c>
      <c r="B32" s="900"/>
      <c r="C32" s="900"/>
      <c r="D32" s="900"/>
      <c r="E32" s="900"/>
      <c r="F32" s="168">
        <f>SUM(F24:F31)</f>
        <v>44501.915000000001</v>
      </c>
    </row>
    <row r="33" spans="1:6" ht="16.8" thickTop="1" thickBot="1" x14ac:dyDescent="0.35">
      <c r="A33" s="103"/>
      <c r="B33" s="103"/>
      <c r="C33" s="103"/>
      <c r="D33" s="103"/>
      <c r="E33" s="103"/>
      <c r="F33" s="153"/>
    </row>
    <row r="34" spans="1:6" x14ac:dyDescent="0.3">
      <c r="A34" s="895" t="s">
        <v>85</v>
      </c>
      <c r="B34" s="896"/>
      <c r="C34" s="896"/>
      <c r="D34" s="896"/>
      <c r="E34" s="896"/>
      <c r="F34" s="897"/>
    </row>
    <row r="35" spans="1:6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6" x14ac:dyDescent="0.3">
      <c r="A36" s="169"/>
      <c r="B36" s="111"/>
      <c r="C36" s="158"/>
      <c r="D36" s="158"/>
      <c r="E36" s="158"/>
      <c r="F36" s="186">
        <f>C36*D36*E36</f>
        <v>0</v>
      </c>
    </row>
    <row r="37" spans="1:6" ht="16.2" thickBot="1" x14ac:dyDescent="0.35">
      <c r="A37" s="171"/>
      <c r="B37" s="197"/>
      <c r="C37" s="163"/>
      <c r="D37" s="163"/>
      <c r="E37" s="163"/>
      <c r="F37" s="190">
        <f>C37*D37*E37</f>
        <v>0</v>
      </c>
    </row>
    <row r="38" spans="1:6" ht="15.75" customHeight="1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6" ht="16.8" thickTop="1" thickBot="1" x14ac:dyDescent="0.35">
      <c r="A39" s="103"/>
      <c r="B39" s="103"/>
      <c r="C39" s="103"/>
      <c r="D39" s="103"/>
      <c r="E39" s="103"/>
      <c r="F39" s="153"/>
    </row>
    <row r="40" spans="1:6" x14ac:dyDescent="0.3">
      <c r="A40" s="895" t="s">
        <v>91</v>
      </c>
      <c r="B40" s="896"/>
      <c r="C40" s="896"/>
      <c r="D40" s="896"/>
      <c r="E40" s="896"/>
      <c r="F40" s="897"/>
    </row>
    <row r="41" spans="1:6" ht="24.75" customHeight="1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6" ht="15" customHeight="1" x14ac:dyDescent="0.3">
      <c r="A42" s="893" t="str">
        <f>[11]M.O!B63</f>
        <v>MANO DE OBRA A (1 OF Y 1 AYUD)</v>
      </c>
      <c r="B42" s="894"/>
      <c r="C42" s="176" t="s">
        <v>43</v>
      </c>
      <c r="D42" s="177">
        <f>M.O!F70</f>
        <v>38472</v>
      </c>
      <c r="E42" s="156">
        <v>1</v>
      </c>
      <c r="F42" s="167">
        <f>D42*E42</f>
        <v>38472</v>
      </c>
    </row>
    <row r="43" spans="1:6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6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6" ht="16.2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6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38472</v>
      </c>
    </row>
    <row r="47" spans="1:6" ht="16.2" thickTop="1" x14ac:dyDescent="0.3">
      <c r="A47" s="103"/>
      <c r="B47" s="103"/>
      <c r="C47" s="103"/>
      <c r="D47" s="103"/>
      <c r="E47" s="103"/>
      <c r="F47" s="153"/>
    </row>
    <row r="48" spans="1:6" ht="15.75" customHeight="1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87398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</row>
    <row r="52" spans="1:7" x14ac:dyDescent="0.3">
      <c r="A52" s="856" t="s">
        <v>120</v>
      </c>
      <c r="B52" s="856"/>
      <c r="D52" s="856" t="s">
        <v>122</v>
      </c>
      <c r="E52" s="856"/>
      <c r="F52" s="856"/>
      <c r="G52" s="9"/>
    </row>
    <row r="53" spans="1:7" x14ac:dyDescent="0.3">
      <c r="A53" s="741" t="s">
        <v>121</v>
      </c>
      <c r="B53" s="741"/>
      <c r="D53" s="741" t="s">
        <v>123</v>
      </c>
      <c r="E53" s="741"/>
      <c r="F53" s="741"/>
    </row>
  </sheetData>
  <mergeCells count="41">
    <mergeCell ref="A53:B53"/>
    <mergeCell ref="D53:F53"/>
    <mergeCell ref="A43:B43"/>
    <mergeCell ref="A44:B44"/>
    <mergeCell ref="A45:B45"/>
    <mergeCell ref="A46:E46"/>
    <mergeCell ref="A48:E48"/>
    <mergeCell ref="A52:B52"/>
    <mergeCell ref="D52:F52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6" orientation="portrait" r:id="rId1"/>
  <colBreaks count="1" manualBreakCount="1">
    <brk id="6" max="1048575" man="1"/>
  </colBreaks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9184-8557-42E2-80E8-32F83A19F2E9}">
  <sheetPr>
    <tabColor rgb="FFFFFF00"/>
  </sheetPr>
  <dimension ref="A1:I52"/>
  <sheetViews>
    <sheetView view="pageBreakPreview" topLeftCell="A31" zoomScale="70" zoomScaleNormal="100" zoomScaleSheetLayoutView="70" workbookViewId="0">
      <selection activeCell="A36" sqref="A36:F36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x14ac:dyDescent="0.3">
      <c r="A9" s="14" t="s">
        <v>73</v>
      </c>
      <c r="B9" s="1019" t="str">
        <f>'PRESUPUESTO OFICIAL (Entidad)'!C227</f>
        <v>DEMOLICIONES Y DESMONTE DE ELEMENTOS</v>
      </c>
      <c r="C9" s="885"/>
      <c r="D9" s="885"/>
      <c r="E9" s="851" t="s">
        <v>74</v>
      </c>
      <c r="F9" s="917" t="str">
        <f>'PRESUPUESTO OFICIAL (Entidad)'!D228</f>
        <v>M2</v>
      </c>
    </row>
    <row r="10" spans="1:8" x14ac:dyDescent="0.3">
      <c r="A10" s="915" t="s">
        <v>75</v>
      </c>
      <c r="B10" s="887" t="str">
        <f>'PRESUPUESTO OFICIAL (Entidad)'!C228</f>
        <v>Demolición placa de piso concreto e=0.10m, incluye retiro</v>
      </c>
      <c r="C10" s="887"/>
      <c r="D10" s="887"/>
      <c r="E10" s="851"/>
      <c r="F10" s="917"/>
    </row>
    <row r="11" spans="1:8" x14ac:dyDescent="0.3">
      <c r="A11" s="915"/>
      <c r="B11" s="56" t="s">
        <v>1176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23083.200000000001</v>
      </c>
      <c r="F15" s="192">
        <f t="shared" ref="F15:F19" si="0">D15*E15</f>
        <v>1154.1600000000001</v>
      </c>
    </row>
    <row r="16" spans="1:8" x14ac:dyDescent="0.3">
      <c r="A16" s="883" t="s">
        <v>1047</v>
      </c>
      <c r="B16" s="884"/>
      <c r="C16" s="158" t="s">
        <v>69</v>
      </c>
      <c r="D16" s="158">
        <v>0.05</v>
      </c>
      <c r="E16" s="193">
        <f>EQ!F24</f>
        <v>100000</v>
      </c>
      <c r="F16" s="192">
        <f t="shared" si="0"/>
        <v>5000</v>
      </c>
      <c r="H16" s="10">
        <f>H13*F16</f>
        <v>17650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6154.16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 t="s">
        <v>85</v>
      </c>
      <c r="B36" s="161">
        <v>0.04</v>
      </c>
      <c r="C36" s="158">
        <v>2</v>
      </c>
      <c r="D36" s="158">
        <f>B36*C36</f>
        <v>0.08</v>
      </c>
      <c r="E36" s="196">
        <f>+H36</f>
        <v>29166.666666666668</v>
      </c>
      <c r="F36" s="160">
        <f>D36*E36</f>
        <v>2333.3333333333335</v>
      </c>
      <c r="H36" s="1">
        <f>350000/C36/6</f>
        <v>29166.666666666668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2333.3333333333335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0.6</v>
      </c>
      <c r="F42" s="167">
        <f>D42*E42</f>
        <v>23083.200000000001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23083.200000000001</v>
      </c>
      <c r="H46" s="364">
        <f>F46*H13</f>
        <v>81483.695999999996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31571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3676-48B7-47B4-8F13-1CCE679D635A}">
  <sheetPr>
    <tabColor rgb="FFFFFF00"/>
  </sheetPr>
  <dimension ref="A1:I52"/>
  <sheetViews>
    <sheetView view="pageBreakPreview" topLeftCell="A31" zoomScale="70" zoomScaleNormal="100" zoomScaleSheetLayoutView="70" workbookViewId="0">
      <selection activeCell="P48" sqref="P48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x14ac:dyDescent="0.3">
      <c r="A9" s="14" t="s">
        <v>73</v>
      </c>
      <c r="B9" s="1019" t="str">
        <f>'PRESUPUESTO OFICIAL (Entidad)'!C227</f>
        <v>DEMOLICIONES Y DESMONTE DE ELEMENTOS</v>
      </c>
      <c r="C9" s="885"/>
      <c r="D9" s="885"/>
      <c r="E9" s="851" t="s">
        <v>74</v>
      </c>
      <c r="F9" s="917" t="str">
        <f>'PRESUPUESTO OFICIAL (Entidad)'!D229</f>
        <v>M2</v>
      </c>
    </row>
    <row r="10" spans="1:8" x14ac:dyDescent="0.3">
      <c r="A10" s="915" t="s">
        <v>75</v>
      </c>
      <c r="B10" s="887" t="str">
        <f>'PRESUPUESTO OFICIAL (Entidad)'!C229</f>
        <v>Demolición pañete muro</v>
      </c>
      <c r="C10" s="887"/>
      <c r="D10" s="887"/>
      <c r="E10" s="851"/>
      <c r="F10" s="917"/>
    </row>
    <row r="11" spans="1:8" x14ac:dyDescent="0.3">
      <c r="A11" s="915"/>
      <c r="B11" s="56" t="s">
        <v>1164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13080.480000000001</v>
      </c>
      <c r="F15" s="192">
        <f t="shared" ref="F15:F19" si="0">D15*E15</f>
        <v>654.02400000000011</v>
      </c>
    </row>
    <row r="16" spans="1:8" x14ac:dyDescent="0.3">
      <c r="A16" s="883"/>
      <c r="B16" s="884"/>
      <c r="C16" s="158"/>
      <c r="D16" s="158"/>
      <c r="E16" s="193"/>
      <c r="F16" s="192">
        <f t="shared" si="0"/>
        <v>0</v>
      </c>
      <c r="H16" s="10">
        <f>H13*F16</f>
        <v>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654.02400000000011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/>
      <c r="B36" s="161"/>
      <c r="C36" s="158"/>
      <c r="D36" s="158"/>
      <c r="E36" s="196"/>
      <c r="F36" s="160">
        <f>D36*E36</f>
        <v>0</v>
      </c>
      <c r="H36" s="1" t="e">
        <f>350000/C36/6</f>
        <v>#DIV/0!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0.34</v>
      </c>
      <c r="F42" s="167">
        <f>D42*E42</f>
        <v>13080.480000000001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13080.480000000001</v>
      </c>
      <c r="H46" s="364">
        <f>F46*H13</f>
        <v>46174.094400000002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13735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60DF-AF64-4DA4-9F1A-F9A889749F01}">
  <sheetPr>
    <tabColor rgb="FFFFFF00"/>
  </sheetPr>
  <dimension ref="A1:I52"/>
  <sheetViews>
    <sheetView view="pageBreakPreview" topLeftCell="A31" zoomScale="70" zoomScaleNormal="100" zoomScaleSheetLayoutView="70" workbookViewId="0">
      <selection activeCell="E43" sqref="E4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x14ac:dyDescent="0.3">
      <c r="A9" s="14" t="s">
        <v>73</v>
      </c>
      <c r="B9" s="1019" t="str">
        <f>'PRESUPUESTO OFICIAL (Entidad)'!C227</f>
        <v>DEMOLICIONES Y DESMONTE DE ELEMENTOS</v>
      </c>
      <c r="C9" s="885"/>
      <c r="D9" s="885"/>
      <c r="E9" s="851" t="s">
        <v>74</v>
      </c>
      <c r="F9" s="917" t="str">
        <f>'PRESUPUESTO OFICIAL (Entidad)'!D230</f>
        <v>UN</v>
      </c>
    </row>
    <row r="10" spans="1:8" x14ac:dyDescent="0.3">
      <c r="A10" s="915" t="s">
        <v>75</v>
      </c>
      <c r="B10" s="887" t="str">
        <f>'PRESUPUESTO OFICIAL (Entidad)'!C230</f>
        <v>Desmonte marcos y puertas</v>
      </c>
      <c r="C10" s="887"/>
      <c r="D10" s="887"/>
      <c r="E10" s="851"/>
      <c r="F10" s="917"/>
    </row>
    <row r="11" spans="1:8" x14ac:dyDescent="0.3">
      <c r="A11" s="915"/>
      <c r="B11" s="56" t="s">
        <v>1170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25391.52</v>
      </c>
      <c r="F15" s="192">
        <f t="shared" ref="F15:F19" si="0">D15*E15</f>
        <v>1269.576</v>
      </c>
    </row>
    <row r="16" spans="1:8" x14ac:dyDescent="0.3">
      <c r="A16" s="883"/>
      <c r="B16" s="884"/>
      <c r="C16" s="158"/>
      <c r="D16" s="158"/>
      <c r="E16" s="193"/>
      <c r="F16" s="192">
        <f t="shared" si="0"/>
        <v>0</v>
      </c>
      <c r="H16" s="10">
        <f>H13*F16</f>
        <v>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1269.576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/>
      <c r="B36" s="161"/>
      <c r="C36" s="158"/>
      <c r="D36" s="158"/>
      <c r="E36" s="196"/>
      <c r="F36" s="160">
        <f>D36*E36</f>
        <v>0</v>
      </c>
      <c r="H36" s="1" t="e">
        <f>350000/C36/6</f>
        <v>#DIV/0!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0.66</v>
      </c>
      <c r="F42" s="167">
        <f>D42*E42</f>
        <v>25391.52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25391.52</v>
      </c>
      <c r="H46" s="364">
        <f>F46*H13</f>
        <v>89632.065600000002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26661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F6384-469B-425C-972A-C64C67D97B38}">
  <sheetPr>
    <tabColor rgb="FFFFFF00"/>
  </sheetPr>
  <dimension ref="A1:I52"/>
  <sheetViews>
    <sheetView view="pageBreakPreview" topLeftCell="A16" zoomScale="70" zoomScaleNormal="100" zoomScaleSheetLayoutView="70" workbookViewId="0">
      <selection activeCell="E43" sqref="E43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x14ac:dyDescent="0.3">
      <c r="A9" s="14" t="s">
        <v>73</v>
      </c>
      <c r="B9" s="1019" t="str">
        <f>'PRESUPUESTO OFICIAL (Entidad)'!C227</f>
        <v>DEMOLICIONES Y DESMONTE DE ELEMENTOS</v>
      </c>
      <c r="C9" s="885"/>
      <c r="D9" s="885"/>
      <c r="E9" s="851" t="s">
        <v>74</v>
      </c>
      <c r="F9" s="917" t="str">
        <f>'PRESUPUESTO OFICIAL (Entidad)'!D231</f>
        <v>M2</v>
      </c>
    </row>
    <row r="10" spans="1:8" x14ac:dyDescent="0.3">
      <c r="A10" s="915" t="s">
        <v>75</v>
      </c>
      <c r="B10" s="887" t="str">
        <f>'PRESUPUESTO OFICIAL (Entidad)'!C231</f>
        <v>Desmonte ventanas</v>
      </c>
      <c r="C10" s="887"/>
      <c r="D10" s="887"/>
      <c r="E10" s="851"/>
      <c r="F10" s="917"/>
    </row>
    <row r="11" spans="1:8" x14ac:dyDescent="0.3">
      <c r="A11" s="915"/>
      <c r="B11" s="56" t="s">
        <v>1171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23083.200000000001</v>
      </c>
      <c r="F15" s="192">
        <f t="shared" ref="F15:F19" si="0">D15*E15</f>
        <v>1154.1600000000001</v>
      </c>
    </row>
    <row r="16" spans="1:8" x14ac:dyDescent="0.3">
      <c r="A16" s="883"/>
      <c r="B16" s="884"/>
      <c r="C16" s="158"/>
      <c r="D16" s="158"/>
      <c r="E16" s="193"/>
      <c r="F16" s="192">
        <f t="shared" si="0"/>
        <v>0</v>
      </c>
      <c r="H16" s="10">
        <f>H13*F16</f>
        <v>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1154.1600000000001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/>
      <c r="B36" s="161"/>
      <c r="C36" s="158"/>
      <c r="D36" s="158"/>
      <c r="E36" s="196"/>
      <c r="F36" s="160">
        <f>D36*E36</f>
        <v>0</v>
      </c>
      <c r="H36" s="1" t="e">
        <f>350000/C36/6</f>
        <v>#DIV/0!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0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0.6</v>
      </c>
      <c r="F42" s="167">
        <f>D42*E42</f>
        <v>23083.200000000001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23083.200000000001</v>
      </c>
      <c r="H46" s="364">
        <f>F46*H13</f>
        <v>81483.695999999996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24237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1DC1-7376-4F3A-8176-4EA3954055A5}">
  <sheetPr>
    <tabColor rgb="FFFFFF00"/>
  </sheetPr>
  <dimension ref="A1:I52"/>
  <sheetViews>
    <sheetView view="pageBreakPreview" topLeftCell="A34" zoomScale="70" zoomScaleNormal="100" zoomScaleSheetLayoutView="70" workbookViewId="0">
      <selection activeCell="J64" sqref="J64"/>
    </sheetView>
  </sheetViews>
  <sheetFormatPr baseColWidth="10" defaultColWidth="11.44140625" defaultRowHeight="15.6" x14ac:dyDescent="0.3"/>
  <cols>
    <col min="1" max="1" width="14" style="1" customWidth="1"/>
    <col min="2" max="2" width="23" style="1" customWidth="1"/>
    <col min="3" max="3" width="14.33203125" style="1" customWidth="1"/>
    <col min="4" max="4" width="14.6640625" style="1" customWidth="1"/>
    <col min="5" max="5" width="14.5546875" style="1" customWidth="1"/>
    <col min="6" max="6" width="13.88671875" style="181" customWidth="1"/>
    <col min="7" max="7" width="11.44140625" style="1"/>
    <col min="8" max="8" width="13.5546875" style="1" bestFit="1" customWidth="1"/>
    <col min="9" max="9" width="12.5546875" style="1" bestFit="1" customWidth="1"/>
    <col min="10" max="16384" width="11.44140625" style="1"/>
  </cols>
  <sheetData>
    <row r="1" spans="1:8" x14ac:dyDescent="0.3">
      <c r="A1" s="831"/>
      <c r="B1" s="831"/>
      <c r="C1" s="831"/>
      <c r="D1" s="831"/>
      <c r="E1" s="831"/>
      <c r="F1" s="831"/>
    </row>
    <row r="2" spans="1:8" x14ac:dyDescent="0.3">
      <c r="A2" s="831"/>
      <c r="B2" s="831"/>
      <c r="C2" s="831"/>
      <c r="D2" s="831"/>
      <c r="E2" s="831"/>
      <c r="F2" s="831"/>
    </row>
    <row r="3" spans="1:8" x14ac:dyDescent="0.3">
      <c r="A3" s="831"/>
      <c r="B3" s="831"/>
      <c r="C3" s="831"/>
      <c r="D3" s="831"/>
      <c r="E3" s="831"/>
      <c r="F3" s="831"/>
    </row>
    <row r="4" spans="1:8" x14ac:dyDescent="0.3">
      <c r="A4" s="831"/>
      <c r="B4" s="831"/>
      <c r="C4" s="831"/>
      <c r="D4" s="831"/>
      <c r="E4" s="831"/>
      <c r="F4" s="831"/>
    </row>
    <row r="5" spans="1:8" x14ac:dyDescent="0.3">
      <c r="A5" s="831"/>
      <c r="B5" s="831"/>
      <c r="C5" s="831"/>
      <c r="D5" s="831"/>
      <c r="E5" s="831"/>
      <c r="F5" s="831"/>
    </row>
    <row r="6" spans="1:8" x14ac:dyDescent="0.3">
      <c r="A6" s="831"/>
      <c r="B6" s="831"/>
      <c r="C6" s="831"/>
      <c r="D6" s="831"/>
      <c r="E6" s="831"/>
      <c r="F6" s="831"/>
    </row>
    <row r="7" spans="1:8" x14ac:dyDescent="0.3">
      <c r="A7" s="754" t="s">
        <v>72</v>
      </c>
      <c r="B7" s="754"/>
      <c r="C7" s="754"/>
      <c r="D7" s="754"/>
      <c r="E7" s="754"/>
      <c r="F7" s="754"/>
    </row>
    <row r="8" spans="1:8" x14ac:dyDescent="0.3">
      <c r="A8" s="103"/>
      <c r="B8" s="103"/>
      <c r="C8" s="103"/>
      <c r="D8" s="103"/>
      <c r="E8" s="103"/>
      <c r="F8" s="153"/>
    </row>
    <row r="9" spans="1:8" x14ac:dyDescent="0.3">
      <c r="A9" s="14" t="s">
        <v>73</v>
      </c>
      <c r="B9" s="1019" t="str">
        <f>'PRESUPUESTO OFICIAL (Entidad)'!C227</f>
        <v>DEMOLICIONES Y DESMONTE DE ELEMENTOS</v>
      </c>
      <c r="C9" s="885"/>
      <c r="D9" s="885"/>
      <c r="E9" s="851" t="s">
        <v>74</v>
      </c>
      <c r="F9" s="917" t="str">
        <f>'PRESUPUESTO OFICIAL (Entidad)'!D232</f>
        <v>M2</v>
      </c>
    </row>
    <row r="10" spans="1:8" x14ac:dyDescent="0.3">
      <c r="A10" s="915" t="s">
        <v>75</v>
      </c>
      <c r="B10" s="887" t="str">
        <f>'PRESUPUESTO OFICIAL (Entidad)'!C232</f>
        <v>Demolición muros e-0.15m, con retiro</v>
      </c>
      <c r="C10" s="887"/>
      <c r="D10" s="887"/>
      <c r="E10" s="851"/>
      <c r="F10" s="917"/>
    </row>
    <row r="11" spans="1:8" x14ac:dyDescent="0.3">
      <c r="A11" s="915"/>
      <c r="B11" s="56" t="s">
        <v>1172</v>
      </c>
      <c r="C11" s="56"/>
      <c r="D11" s="56"/>
      <c r="E11" s="29"/>
      <c r="F11" s="155"/>
    </row>
    <row r="12" spans="1:8" ht="16.2" thickBot="1" x14ac:dyDescent="0.35">
      <c r="A12" s="103"/>
      <c r="B12" s="103"/>
      <c r="C12" s="103"/>
      <c r="D12" s="103"/>
      <c r="E12" s="103"/>
      <c r="F12" s="153"/>
    </row>
    <row r="13" spans="1:8" s="34" customFormat="1" x14ac:dyDescent="0.3">
      <c r="A13" s="888" t="s">
        <v>76</v>
      </c>
      <c r="B13" s="889"/>
      <c r="C13" s="889"/>
      <c r="D13" s="889"/>
      <c r="E13" s="889"/>
      <c r="F13" s="890"/>
      <c r="H13" s="507">
        <f>'PRESUPUESTO OFICIAL (Entidad)'!E15</f>
        <v>3.53</v>
      </c>
    </row>
    <row r="14" spans="1:8" ht="15" customHeight="1" x14ac:dyDescent="0.3">
      <c r="A14" s="891" t="s">
        <v>48</v>
      </c>
      <c r="B14" s="892"/>
      <c r="C14" s="156" t="s">
        <v>23</v>
      </c>
      <c r="D14" s="156" t="s">
        <v>77</v>
      </c>
      <c r="E14" s="156" t="s">
        <v>78</v>
      </c>
      <c r="F14" s="157" t="s">
        <v>79</v>
      </c>
    </row>
    <row r="15" spans="1:8" ht="15" customHeight="1" x14ac:dyDescent="0.3">
      <c r="A15" s="893" t="s">
        <v>516</v>
      </c>
      <c r="B15" s="894"/>
      <c r="C15" s="158" t="s">
        <v>56</v>
      </c>
      <c r="D15" s="158">
        <v>0.05</v>
      </c>
      <c r="E15" s="191">
        <f>+F46</f>
        <v>17312.400000000001</v>
      </c>
      <c r="F15" s="192">
        <f t="shared" ref="F15:F19" si="0">D15*E15</f>
        <v>865.62000000000012</v>
      </c>
    </row>
    <row r="16" spans="1:8" x14ac:dyDescent="0.3">
      <c r="A16" s="883"/>
      <c r="B16" s="884"/>
      <c r="C16" s="158"/>
      <c r="D16" s="158"/>
      <c r="E16" s="193"/>
      <c r="F16" s="192">
        <f t="shared" si="0"/>
        <v>0</v>
      </c>
      <c r="H16" s="10">
        <f>H13*F16</f>
        <v>0</v>
      </c>
    </row>
    <row r="17" spans="1:6" x14ac:dyDescent="0.3">
      <c r="A17" s="883"/>
      <c r="B17" s="884"/>
      <c r="C17" s="158"/>
      <c r="D17" s="158"/>
      <c r="E17" s="193"/>
      <c r="F17" s="192">
        <f t="shared" si="0"/>
        <v>0</v>
      </c>
    </row>
    <row r="18" spans="1:6" x14ac:dyDescent="0.3">
      <c r="A18" s="883"/>
      <c r="B18" s="884"/>
      <c r="C18" s="158"/>
      <c r="D18" s="158"/>
      <c r="E18" s="193"/>
      <c r="F18" s="192">
        <f>D18*E18</f>
        <v>0</v>
      </c>
    </row>
    <row r="19" spans="1:6" ht="16.2" thickBot="1" x14ac:dyDescent="0.35">
      <c r="A19" s="898"/>
      <c r="B19" s="899"/>
      <c r="C19" s="163"/>
      <c r="D19" s="163"/>
      <c r="E19" s="194"/>
      <c r="F19" s="192">
        <f t="shared" si="0"/>
        <v>0</v>
      </c>
    </row>
    <row r="20" spans="1:6" ht="16.2" thickBot="1" x14ac:dyDescent="0.35">
      <c r="A20" s="900" t="s">
        <v>80</v>
      </c>
      <c r="B20" s="900"/>
      <c r="C20" s="900"/>
      <c r="D20" s="900"/>
      <c r="E20" s="900"/>
      <c r="F20" s="164">
        <f>SUM(F15:F19)</f>
        <v>865.62000000000012</v>
      </c>
    </row>
    <row r="21" spans="1:6" ht="16.8" thickTop="1" thickBot="1" x14ac:dyDescent="0.35">
      <c r="A21" s="103"/>
      <c r="B21" s="103"/>
      <c r="C21" s="103"/>
      <c r="D21" s="103"/>
      <c r="E21" s="103"/>
      <c r="F21" s="153"/>
    </row>
    <row r="22" spans="1:6" s="34" customFormat="1" x14ac:dyDescent="0.3">
      <c r="A22" s="895" t="s">
        <v>81</v>
      </c>
      <c r="B22" s="896"/>
      <c r="C22" s="896"/>
      <c r="D22" s="896"/>
      <c r="E22" s="896"/>
      <c r="F22" s="897"/>
    </row>
    <row r="23" spans="1:6" x14ac:dyDescent="0.3">
      <c r="A23" s="901" t="s">
        <v>48</v>
      </c>
      <c r="B23" s="902"/>
      <c r="C23" s="156" t="s">
        <v>21</v>
      </c>
      <c r="D23" s="156" t="s">
        <v>12</v>
      </c>
      <c r="E23" s="156" t="s">
        <v>82</v>
      </c>
      <c r="F23" s="157" t="s">
        <v>79</v>
      </c>
    </row>
    <row r="24" spans="1:6" x14ac:dyDescent="0.3">
      <c r="A24" s="903"/>
      <c r="B24" s="904"/>
      <c r="C24" s="156"/>
      <c r="D24" s="156"/>
      <c r="E24" s="166"/>
      <c r="F24" s="311">
        <f>D24*E24</f>
        <v>0</v>
      </c>
    </row>
    <row r="25" spans="1:6" x14ac:dyDescent="0.3">
      <c r="A25" s="903"/>
      <c r="B25" s="904"/>
      <c r="C25" s="156"/>
      <c r="D25" s="156"/>
      <c r="E25" s="166"/>
      <c r="F25" s="311">
        <f t="shared" ref="F25:F31" si="1">D25*E25</f>
        <v>0</v>
      </c>
    </row>
    <row r="26" spans="1:6" x14ac:dyDescent="0.3">
      <c r="A26" s="903"/>
      <c r="B26" s="904"/>
      <c r="C26" s="156"/>
      <c r="D26" s="156"/>
      <c r="E26" s="156"/>
      <c r="F26" s="311">
        <f t="shared" si="1"/>
        <v>0</v>
      </c>
    </row>
    <row r="27" spans="1:6" x14ac:dyDescent="0.3">
      <c r="A27" s="903"/>
      <c r="B27" s="904"/>
      <c r="C27" s="156"/>
      <c r="D27" s="156"/>
      <c r="E27" s="156"/>
      <c r="F27" s="311">
        <f t="shared" si="1"/>
        <v>0</v>
      </c>
    </row>
    <row r="28" spans="1:6" x14ac:dyDescent="0.3">
      <c r="A28" s="903"/>
      <c r="B28" s="904"/>
      <c r="C28" s="156"/>
      <c r="D28" s="156"/>
      <c r="E28" s="156"/>
      <c r="F28" s="311">
        <f t="shared" si="1"/>
        <v>0</v>
      </c>
    </row>
    <row r="29" spans="1:6" x14ac:dyDescent="0.3">
      <c r="A29" s="903"/>
      <c r="B29" s="904"/>
      <c r="C29" s="156"/>
      <c r="D29" s="156"/>
      <c r="E29" s="156"/>
      <c r="F29" s="311">
        <f t="shared" si="1"/>
        <v>0</v>
      </c>
    </row>
    <row r="30" spans="1:6" x14ac:dyDescent="0.3">
      <c r="A30" s="903"/>
      <c r="B30" s="904"/>
      <c r="C30" s="156"/>
      <c r="D30" s="156"/>
      <c r="E30" s="156"/>
      <c r="F30" s="311">
        <f t="shared" si="1"/>
        <v>0</v>
      </c>
    </row>
    <row r="31" spans="1:6" ht="16.2" thickBot="1" x14ac:dyDescent="0.35">
      <c r="A31" s="905"/>
      <c r="B31" s="906"/>
      <c r="C31" s="178"/>
      <c r="D31" s="178"/>
      <c r="E31" s="178"/>
      <c r="F31" s="312">
        <f t="shared" si="1"/>
        <v>0</v>
      </c>
    </row>
    <row r="32" spans="1:6" ht="16.2" thickBot="1" x14ac:dyDescent="0.35">
      <c r="A32" s="900" t="s">
        <v>84</v>
      </c>
      <c r="B32" s="900"/>
      <c r="C32" s="900"/>
      <c r="D32" s="900"/>
      <c r="E32" s="900"/>
      <c r="F32" s="195">
        <f>SUM(F24:F31)</f>
        <v>0</v>
      </c>
    </row>
    <row r="33" spans="1:9" ht="16.8" thickTop="1" thickBot="1" x14ac:dyDescent="0.35">
      <c r="A33" s="103"/>
      <c r="B33" s="103"/>
      <c r="C33" s="103"/>
      <c r="D33" s="103"/>
      <c r="E33" s="103"/>
      <c r="F33" s="153"/>
    </row>
    <row r="34" spans="1:9" x14ac:dyDescent="0.3">
      <c r="A34" s="895" t="s">
        <v>85</v>
      </c>
      <c r="B34" s="896"/>
      <c r="C34" s="896"/>
      <c r="D34" s="896"/>
      <c r="E34" s="896"/>
      <c r="F34" s="897"/>
    </row>
    <row r="35" spans="1:9" ht="31.2" x14ac:dyDescent="0.3">
      <c r="A35" s="169" t="s">
        <v>86</v>
      </c>
      <c r="B35" s="156" t="s">
        <v>94</v>
      </c>
      <c r="C35" s="158" t="s">
        <v>96</v>
      </c>
      <c r="D35" s="158" t="s">
        <v>97</v>
      </c>
      <c r="E35" s="158" t="s">
        <v>95</v>
      </c>
      <c r="F35" s="160" t="s">
        <v>82</v>
      </c>
    </row>
    <row r="36" spans="1:9" x14ac:dyDescent="0.3">
      <c r="A36" s="169" t="s">
        <v>85</v>
      </c>
      <c r="B36" s="161">
        <v>0.04</v>
      </c>
      <c r="C36" s="158">
        <v>2</v>
      </c>
      <c r="D36" s="158">
        <f>B36*C36</f>
        <v>0.08</v>
      </c>
      <c r="E36" s="196">
        <f>+H36</f>
        <v>29166.666666666668</v>
      </c>
      <c r="F36" s="160">
        <f>D36*E36</f>
        <v>2333.3333333333335</v>
      </c>
      <c r="H36" s="1">
        <f>350000/C36/6</f>
        <v>29166.666666666668</v>
      </c>
    </row>
    <row r="37" spans="1:9" ht="16.2" thickBot="1" x14ac:dyDescent="0.35">
      <c r="A37" s="171"/>
      <c r="B37" s="197"/>
      <c r="C37" s="163"/>
      <c r="D37" s="163"/>
      <c r="E37" s="163"/>
      <c r="F37" s="310">
        <f>C37*D37*E37</f>
        <v>0</v>
      </c>
    </row>
    <row r="38" spans="1:9" ht="16.2" thickBot="1" x14ac:dyDescent="0.35">
      <c r="A38" s="907" t="s">
        <v>90</v>
      </c>
      <c r="B38" s="907"/>
      <c r="C38" s="907"/>
      <c r="D38" s="907"/>
      <c r="E38" s="907"/>
      <c r="F38" s="198">
        <f>SUM(F36:F37)</f>
        <v>2333.3333333333335</v>
      </c>
    </row>
    <row r="39" spans="1:9" ht="16.8" thickTop="1" thickBot="1" x14ac:dyDescent="0.35">
      <c r="A39" s="103"/>
      <c r="B39" s="103"/>
      <c r="C39" s="103"/>
      <c r="D39" s="103"/>
      <c r="E39" s="103"/>
      <c r="F39" s="153"/>
    </row>
    <row r="40" spans="1:9" x14ac:dyDescent="0.3">
      <c r="A40" s="895" t="s">
        <v>91</v>
      </c>
      <c r="B40" s="896"/>
      <c r="C40" s="896"/>
      <c r="D40" s="896"/>
      <c r="E40" s="896"/>
      <c r="F40" s="897"/>
    </row>
    <row r="41" spans="1:9" x14ac:dyDescent="0.3">
      <c r="A41" s="891" t="s">
        <v>48</v>
      </c>
      <c r="B41" s="892"/>
      <c r="C41" s="156" t="s">
        <v>23</v>
      </c>
      <c r="D41" s="156" t="s">
        <v>378</v>
      </c>
      <c r="E41" s="156" t="s">
        <v>98</v>
      </c>
      <c r="F41" s="157" t="s">
        <v>79</v>
      </c>
    </row>
    <row r="42" spans="1:9" ht="15" customHeight="1" x14ac:dyDescent="0.3">
      <c r="A42" s="893" t="str">
        <f>M.O!B63</f>
        <v>MANO DE OBRA A (1 OF Y 1 AYUD)</v>
      </c>
      <c r="B42" s="894"/>
      <c r="C42" s="176" t="s">
        <v>43</v>
      </c>
      <c r="D42" s="177">
        <f>M.O!F70</f>
        <v>38472</v>
      </c>
      <c r="E42" s="156">
        <v>0.45</v>
      </c>
      <c r="F42" s="167">
        <f>D42*E42</f>
        <v>17312.400000000001</v>
      </c>
    </row>
    <row r="43" spans="1:9" x14ac:dyDescent="0.3">
      <c r="A43" s="883"/>
      <c r="B43" s="884"/>
      <c r="C43" s="176"/>
      <c r="D43" s="156"/>
      <c r="E43" s="156"/>
      <c r="F43" s="167">
        <f t="shared" ref="F43:F45" si="2">D43*E43</f>
        <v>0</v>
      </c>
    </row>
    <row r="44" spans="1:9" x14ac:dyDescent="0.3">
      <c r="A44" s="883"/>
      <c r="B44" s="884"/>
      <c r="C44" s="156"/>
      <c r="D44" s="156"/>
      <c r="E44" s="156"/>
      <c r="F44" s="167">
        <f t="shared" si="2"/>
        <v>0</v>
      </c>
    </row>
    <row r="45" spans="1:9" ht="15.75" customHeight="1" thickBot="1" x14ac:dyDescent="0.35">
      <c r="A45" s="898"/>
      <c r="B45" s="899"/>
      <c r="C45" s="178"/>
      <c r="D45" s="178"/>
      <c r="E45" s="178"/>
      <c r="F45" s="179">
        <f t="shared" si="2"/>
        <v>0</v>
      </c>
    </row>
    <row r="46" spans="1:9" ht="15.75" customHeight="1" thickBot="1" x14ac:dyDescent="0.35">
      <c r="A46" s="907" t="s">
        <v>92</v>
      </c>
      <c r="B46" s="907"/>
      <c r="C46" s="907"/>
      <c r="D46" s="907"/>
      <c r="E46" s="907"/>
      <c r="F46" s="175">
        <f>SUM(F42:F45)</f>
        <v>17312.400000000001</v>
      </c>
      <c r="H46" s="364">
        <f>F46*H13</f>
        <v>61112.772000000004</v>
      </c>
      <c r="I46" s="364"/>
    </row>
    <row r="47" spans="1:9" ht="15.75" customHeight="1" thickTop="1" x14ac:dyDescent="0.3">
      <c r="A47" s="103"/>
      <c r="B47" s="103"/>
      <c r="C47" s="103"/>
      <c r="D47" s="103"/>
      <c r="E47" s="103"/>
      <c r="F47" s="153"/>
    </row>
    <row r="48" spans="1:9" ht="16.2" thickBot="1" x14ac:dyDescent="0.35">
      <c r="A48" s="907" t="s">
        <v>93</v>
      </c>
      <c r="B48" s="907"/>
      <c r="C48" s="907"/>
      <c r="D48" s="907"/>
      <c r="E48" s="907"/>
      <c r="F48" s="180">
        <f>ROUND(SUM(F32+F46+F20+F38),0)</f>
        <v>20511</v>
      </c>
    </row>
    <row r="49" spans="1:7" ht="16.2" thickTop="1" x14ac:dyDescent="0.3">
      <c r="A49" s="103"/>
      <c r="B49" s="103"/>
      <c r="C49" s="103"/>
      <c r="D49" s="103"/>
      <c r="E49" s="103"/>
      <c r="F49" s="153"/>
    </row>
    <row r="50" spans="1:7" x14ac:dyDescent="0.3">
      <c r="A50" s="103"/>
      <c r="B50" s="103"/>
      <c r="C50" s="103"/>
      <c r="D50" s="103"/>
      <c r="E50" s="103"/>
      <c r="F50" s="153"/>
      <c r="G50" s="23"/>
    </row>
    <row r="51" spans="1:7" x14ac:dyDescent="0.3">
      <c r="A51" s="856" t="s">
        <v>120</v>
      </c>
      <c r="B51" s="856"/>
      <c r="D51" s="856" t="s">
        <v>122</v>
      </c>
      <c r="E51" s="856"/>
      <c r="F51" s="856"/>
      <c r="G51" s="24"/>
    </row>
    <row r="52" spans="1:7" x14ac:dyDescent="0.3">
      <c r="A52" s="741" t="s">
        <v>121</v>
      </c>
      <c r="B52" s="741"/>
      <c r="D52" s="741" t="s">
        <v>123</v>
      </c>
      <c r="E52" s="741"/>
      <c r="F52" s="741"/>
    </row>
  </sheetData>
  <mergeCells count="41">
    <mergeCell ref="A52:B52"/>
    <mergeCell ref="D52:F52"/>
    <mergeCell ref="A43:B43"/>
    <mergeCell ref="A44:B44"/>
    <mergeCell ref="A45:B45"/>
    <mergeCell ref="A46:E46"/>
    <mergeCell ref="A48:E48"/>
    <mergeCell ref="A51:B51"/>
    <mergeCell ref="D51:F51"/>
    <mergeCell ref="A42:B42"/>
    <mergeCell ref="A26:B26"/>
    <mergeCell ref="A27:B27"/>
    <mergeCell ref="A28:B28"/>
    <mergeCell ref="A29:B29"/>
    <mergeCell ref="A30:B30"/>
    <mergeCell ref="A31:B31"/>
    <mergeCell ref="A32:E32"/>
    <mergeCell ref="A34:F34"/>
    <mergeCell ref="A38:E38"/>
    <mergeCell ref="A40:F40"/>
    <mergeCell ref="A41:B41"/>
    <mergeCell ref="A25:B25"/>
    <mergeCell ref="A13:F13"/>
    <mergeCell ref="A14:B14"/>
    <mergeCell ref="A15:B15"/>
    <mergeCell ref="A16:B16"/>
    <mergeCell ref="A17:B17"/>
    <mergeCell ref="A18:B18"/>
    <mergeCell ref="A19:B19"/>
    <mergeCell ref="A20:E20"/>
    <mergeCell ref="A22:F22"/>
    <mergeCell ref="A23:B23"/>
    <mergeCell ref="A24:B24"/>
    <mergeCell ref="A1:F5"/>
    <mergeCell ref="A6:F6"/>
    <mergeCell ref="A7:F7"/>
    <mergeCell ref="B9:D9"/>
    <mergeCell ref="E9:E10"/>
    <mergeCell ref="F9:F10"/>
    <mergeCell ref="A10:A11"/>
    <mergeCell ref="B10:D10"/>
  </mergeCells>
  <pageMargins left="0.7" right="0.7" top="0.75" bottom="0.75" header="0.3" footer="0.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119</vt:i4>
      </vt:variant>
      <vt:variant>
        <vt:lpstr>Rangos con nombre</vt:lpstr>
      </vt:variant>
      <vt:variant>
        <vt:i4>120</vt:i4>
      </vt:variant>
    </vt:vector>
  </HeadingPairs>
  <TitlesOfParts>
    <vt:vector size="239" baseType="lpstr">
      <vt:lpstr>CRON</vt:lpstr>
      <vt:lpstr>PRESUPUESTO OFICIAL (Entidad)</vt:lpstr>
      <vt:lpstr>PROPUESTA ECONOMICA(Proponente)</vt:lpstr>
      <vt:lpstr>AIU-OK</vt:lpstr>
      <vt:lpstr>INTERVENTORIA</vt:lpstr>
      <vt:lpstr>M.C. </vt:lpstr>
      <vt:lpstr>M.O</vt:lpstr>
      <vt:lpstr>EQ</vt:lpstr>
      <vt:lpstr>MAT</vt:lpstr>
      <vt:lpstr>C. 1700 PSI</vt:lpstr>
      <vt:lpstr>C. 2000 PSI</vt:lpstr>
      <vt:lpstr>C. 2500 PSI</vt:lpstr>
      <vt:lpstr>C. 3000 PSI</vt:lpstr>
      <vt:lpstr>C. CICL</vt:lpstr>
      <vt:lpstr>M 1-3</vt:lpstr>
      <vt:lpstr>M 1-4</vt:lpstr>
      <vt:lpstr>A1,1-B1,1-C1,1-E1,1-F1,1</vt:lpstr>
      <vt:lpstr>A1,2</vt:lpstr>
      <vt:lpstr>A2,1-B2,1-C2,1-E2,2-F3,1</vt:lpstr>
      <vt:lpstr>A2,2-C2,2-E2,1-F3,2</vt:lpstr>
      <vt:lpstr>A3,1-C3,1-E3,1</vt:lpstr>
      <vt:lpstr>A3,2</vt:lpstr>
      <vt:lpstr>A3,3</vt:lpstr>
      <vt:lpstr>A3,4 </vt:lpstr>
      <vt:lpstr>A3,5-C3,5</vt:lpstr>
      <vt:lpstr>A3,6</vt:lpstr>
      <vt:lpstr>A4,1 -B4,1-C5,1-F6,1</vt:lpstr>
      <vt:lpstr>A4,2-F6,2</vt:lpstr>
      <vt:lpstr>A4,3-C5,2</vt:lpstr>
      <vt:lpstr>A5,1-C4,1</vt:lpstr>
      <vt:lpstr>A5,2</vt:lpstr>
      <vt:lpstr>A5,3</vt:lpstr>
      <vt:lpstr>A5,4</vt:lpstr>
      <vt:lpstr>A5,5-B5,4</vt:lpstr>
      <vt:lpstr>A6,1-C6,7</vt:lpstr>
      <vt:lpstr>A6,2-C6,2</vt:lpstr>
      <vt:lpstr>A6,3</vt:lpstr>
      <vt:lpstr>A6,4-B6,2-C6,3</vt:lpstr>
      <vt:lpstr>A6,5-C6,1</vt:lpstr>
      <vt:lpstr>A6,6-C6,6</vt:lpstr>
      <vt:lpstr>A6,7-C6,5</vt:lpstr>
      <vt:lpstr>A6,8-B6,4-C6,4</vt:lpstr>
      <vt:lpstr>A6,9-B6,5-C6,8</vt:lpstr>
      <vt:lpstr>A7,1-B7,1-F7,1</vt:lpstr>
      <vt:lpstr>A7,2-B7,2-B7,2</vt:lpstr>
      <vt:lpstr>A7,3-B7,3</vt:lpstr>
      <vt:lpstr>A7,4-B7,4</vt:lpstr>
      <vt:lpstr>A7,5-B7,5-F7,3</vt:lpstr>
      <vt:lpstr>A7,6-B7,6-F7,4</vt:lpstr>
      <vt:lpstr>A7,7-B7,7-F7,5</vt:lpstr>
      <vt:lpstr>A7,8-B7,8-F7,6</vt:lpstr>
      <vt:lpstr>A7,9-F7,7</vt:lpstr>
      <vt:lpstr>A7,10-B7,9</vt:lpstr>
      <vt:lpstr>A8,1-B9,1-C7,1-F8,1</vt:lpstr>
      <vt:lpstr>A9,1-C8,1-D2,1</vt:lpstr>
      <vt:lpstr>A9,2-C8,4</vt:lpstr>
      <vt:lpstr>A9,3</vt:lpstr>
      <vt:lpstr>A9,4</vt:lpstr>
      <vt:lpstr>A10,1-C9,2-F9,2</vt:lpstr>
      <vt:lpstr>A10,2-B10,2-C9,1</vt:lpstr>
      <vt:lpstr>A10,3-B10,3-C9,3-F9,3</vt:lpstr>
      <vt:lpstr>A10,4-B10,4-C9,4-F9,4</vt:lpstr>
      <vt:lpstr>A11,1-F10,1</vt:lpstr>
      <vt:lpstr>A11,2-F10,2</vt:lpstr>
      <vt:lpstr>A11,3</vt:lpstr>
      <vt:lpstr>A11,4</vt:lpstr>
      <vt:lpstr>A12,1-C11,1-F11,3</vt:lpstr>
      <vt:lpstr>A12,2-B12,1-C11,2-F11,4</vt:lpstr>
      <vt:lpstr>A13,1-C12,1</vt:lpstr>
      <vt:lpstr>A13,2</vt:lpstr>
      <vt:lpstr>A13,3-C12,2-F12,1</vt:lpstr>
      <vt:lpstr>A14,1-B14,1-C13,1-E4,1-F13,1</vt:lpstr>
      <vt:lpstr>B1,2-C1,2</vt:lpstr>
      <vt:lpstr>B3,1-F4,1</vt:lpstr>
      <vt:lpstr>B5,1-F5,1</vt:lpstr>
      <vt:lpstr>B5,2-F5,2</vt:lpstr>
      <vt:lpstr>B5,3</vt:lpstr>
      <vt:lpstr>B6,1</vt:lpstr>
      <vt:lpstr>B6,3</vt:lpstr>
      <vt:lpstr>B7,11</vt:lpstr>
      <vt:lpstr>B8,1</vt:lpstr>
      <vt:lpstr>B8,2</vt:lpstr>
      <vt:lpstr>B10,1</vt:lpstr>
      <vt:lpstr>B10,5</vt:lpstr>
      <vt:lpstr>B11,1,</vt:lpstr>
      <vt:lpstr>B11,2,</vt:lpstr>
      <vt:lpstr>B13,1</vt:lpstr>
      <vt:lpstr>C3,2</vt:lpstr>
      <vt:lpstr>C3,3</vt:lpstr>
      <vt:lpstr>C3,4</vt:lpstr>
      <vt:lpstr>C4,2</vt:lpstr>
      <vt:lpstr>C4,3</vt:lpstr>
      <vt:lpstr>C4,4</vt:lpstr>
      <vt:lpstr>C4,5</vt:lpstr>
      <vt:lpstr>C8,2-D2,2</vt:lpstr>
      <vt:lpstr>C8,3</vt:lpstr>
      <vt:lpstr>C10,1</vt:lpstr>
      <vt:lpstr>C10,2</vt:lpstr>
      <vt:lpstr>C10,3</vt:lpstr>
      <vt:lpstr>C12,3</vt:lpstr>
      <vt:lpstr>D1,1</vt:lpstr>
      <vt:lpstr>D3,1</vt:lpstr>
      <vt:lpstr>D3,2</vt:lpstr>
      <vt:lpstr>D3,3</vt:lpstr>
      <vt:lpstr>D3,4</vt:lpstr>
      <vt:lpstr>D3,5</vt:lpstr>
      <vt:lpstr>D3,6</vt:lpstr>
      <vt:lpstr>D4,1</vt:lpstr>
      <vt:lpstr>E3,2</vt:lpstr>
      <vt:lpstr>E3,3</vt:lpstr>
      <vt:lpstr>E3,4</vt:lpstr>
      <vt:lpstr>20X20</vt:lpstr>
      <vt:lpstr>LAD. VISTA</vt:lpstr>
      <vt:lpstr>A5,3 (2)</vt:lpstr>
      <vt:lpstr>F2,1</vt:lpstr>
      <vt:lpstr>F2,2</vt:lpstr>
      <vt:lpstr>F2,3</vt:lpstr>
      <vt:lpstr>F2,4</vt:lpstr>
      <vt:lpstr>F2,5</vt:lpstr>
      <vt:lpstr>'20X20'!Área_de_impresión</vt:lpstr>
      <vt:lpstr>'A1,1-B1,1-C1,1-E1,1-F1,1'!Área_de_impresión</vt:lpstr>
      <vt:lpstr>'A1,2'!Área_de_impresión</vt:lpstr>
      <vt:lpstr>'A10,1-C9,2-F9,2'!Área_de_impresión</vt:lpstr>
      <vt:lpstr>'A10,2-B10,2-C9,1'!Área_de_impresión</vt:lpstr>
      <vt:lpstr>'A10,3-B10,3-C9,3-F9,3'!Área_de_impresión</vt:lpstr>
      <vt:lpstr>'A10,4-B10,4-C9,4-F9,4'!Área_de_impresión</vt:lpstr>
      <vt:lpstr>'A11,1-F10,1'!Área_de_impresión</vt:lpstr>
      <vt:lpstr>'A11,2-F10,2'!Área_de_impresión</vt:lpstr>
      <vt:lpstr>'A11,3'!Área_de_impresión</vt:lpstr>
      <vt:lpstr>'A11,4'!Área_de_impresión</vt:lpstr>
      <vt:lpstr>'A12,1-C11,1-F11,3'!Área_de_impresión</vt:lpstr>
      <vt:lpstr>'A12,2-B12,1-C11,2-F11,4'!Área_de_impresión</vt:lpstr>
      <vt:lpstr>'A13,1-C12,1'!Área_de_impresión</vt:lpstr>
      <vt:lpstr>'A13,2'!Área_de_impresión</vt:lpstr>
      <vt:lpstr>'A13,3-C12,2-F12,1'!Área_de_impresión</vt:lpstr>
      <vt:lpstr>'A14,1-B14,1-C13,1-E4,1-F13,1'!Área_de_impresión</vt:lpstr>
      <vt:lpstr>'A2,1-B2,1-C2,1-E2,2-F3,1'!Área_de_impresión</vt:lpstr>
      <vt:lpstr>'A2,2-C2,2-E2,1-F3,2'!Área_de_impresión</vt:lpstr>
      <vt:lpstr>'A3,1-C3,1-E3,1'!Área_de_impresión</vt:lpstr>
      <vt:lpstr>'A3,2'!Área_de_impresión</vt:lpstr>
      <vt:lpstr>'A3,3'!Área_de_impresión</vt:lpstr>
      <vt:lpstr>'A3,4 '!Área_de_impresión</vt:lpstr>
      <vt:lpstr>'A3,5-C3,5'!Área_de_impresión</vt:lpstr>
      <vt:lpstr>'A3,6'!Área_de_impresión</vt:lpstr>
      <vt:lpstr>'A4,1 -B4,1-C5,1-F6,1'!Área_de_impresión</vt:lpstr>
      <vt:lpstr>'A4,2-F6,2'!Área_de_impresión</vt:lpstr>
      <vt:lpstr>'A4,3-C5,2'!Área_de_impresión</vt:lpstr>
      <vt:lpstr>'A5,1-C4,1'!Área_de_impresión</vt:lpstr>
      <vt:lpstr>'A5,2'!Área_de_impresión</vt:lpstr>
      <vt:lpstr>'A5,3'!Área_de_impresión</vt:lpstr>
      <vt:lpstr>'A5,3 (2)'!Área_de_impresión</vt:lpstr>
      <vt:lpstr>'A5,4'!Área_de_impresión</vt:lpstr>
      <vt:lpstr>'A5,5-B5,4'!Área_de_impresión</vt:lpstr>
      <vt:lpstr>'A6,1-C6,7'!Área_de_impresión</vt:lpstr>
      <vt:lpstr>'A6,2-C6,2'!Área_de_impresión</vt:lpstr>
      <vt:lpstr>'A6,3'!Área_de_impresión</vt:lpstr>
      <vt:lpstr>'A6,4-B6,2-C6,3'!Área_de_impresión</vt:lpstr>
      <vt:lpstr>'A6,5-C6,1'!Área_de_impresión</vt:lpstr>
      <vt:lpstr>'A6,6-C6,6'!Área_de_impresión</vt:lpstr>
      <vt:lpstr>'A6,7-C6,5'!Área_de_impresión</vt:lpstr>
      <vt:lpstr>'A6,8-B6,4-C6,4'!Área_de_impresión</vt:lpstr>
      <vt:lpstr>'A6,9-B6,5-C6,8'!Área_de_impresión</vt:lpstr>
      <vt:lpstr>'A7,10-B7,9'!Área_de_impresión</vt:lpstr>
      <vt:lpstr>'A7,1-B7,1-F7,1'!Área_de_impresión</vt:lpstr>
      <vt:lpstr>'A7,2-B7,2-B7,2'!Área_de_impresión</vt:lpstr>
      <vt:lpstr>'A7,3-B7,3'!Área_de_impresión</vt:lpstr>
      <vt:lpstr>'A7,4-B7,4'!Área_de_impresión</vt:lpstr>
      <vt:lpstr>'A7,5-B7,5-F7,3'!Área_de_impresión</vt:lpstr>
      <vt:lpstr>'A7,6-B7,6-F7,4'!Área_de_impresión</vt:lpstr>
      <vt:lpstr>'A7,7-B7,7-F7,5'!Área_de_impresión</vt:lpstr>
      <vt:lpstr>'A7,8-B7,8-F7,6'!Área_de_impresión</vt:lpstr>
      <vt:lpstr>'A7,9-F7,7'!Área_de_impresión</vt:lpstr>
      <vt:lpstr>'A8,1-B9,1-C7,1-F8,1'!Área_de_impresión</vt:lpstr>
      <vt:lpstr>'A9,1-C8,1-D2,1'!Área_de_impresión</vt:lpstr>
      <vt:lpstr>'A9,2-C8,4'!Área_de_impresión</vt:lpstr>
      <vt:lpstr>'A9,3'!Área_de_impresión</vt:lpstr>
      <vt:lpstr>'A9,4'!Área_de_impresión</vt:lpstr>
      <vt:lpstr>'AIU-OK'!Área_de_impresión</vt:lpstr>
      <vt:lpstr>'B1,2-C1,2'!Área_de_impresión</vt:lpstr>
      <vt:lpstr>'B10,1'!Área_de_impresión</vt:lpstr>
      <vt:lpstr>'B10,5'!Área_de_impresión</vt:lpstr>
      <vt:lpstr>'B11,1,'!Área_de_impresión</vt:lpstr>
      <vt:lpstr>'B11,2,'!Área_de_impresión</vt:lpstr>
      <vt:lpstr>'B13,1'!Área_de_impresión</vt:lpstr>
      <vt:lpstr>'B3,1-F4,1'!Área_de_impresión</vt:lpstr>
      <vt:lpstr>'B5,1-F5,1'!Área_de_impresión</vt:lpstr>
      <vt:lpstr>'B5,2-F5,2'!Área_de_impresión</vt:lpstr>
      <vt:lpstr>'B5,3'!Área_de_impresión</vt:lpstr>
      <vt:lpstr>'B6,1'!Área_de_impresión</vt:lpstr>
      <vt:lpstr>'B6,3'!Área_de_impresión</vt:lpstr>
      <vt:lpstr>'B7,11'!Área_de_impresión</vt:lpstr>
      <vt:lpstr>'B8,1'!Área_de_impresión</vt:lpstr>
      <vt:lpstr>'B8,2'!Área_de_impresión</vt:lpstr>
      <vt:lpstr>'C. 1700 PSI'!Área_de_impresión</vt:lpstr>
      <vt:lpstr>'C. 2000 PSI'!Área_de_impresión</vt:lpstr>
      <vt:lpstr>'C. 2500 PSI'!Área_de_impresión</vt:lpstr>
      <vt:lpstr>'C. 3000 PSI'!Área_de_impresión</vt:lpstr>
      <vt:lpstr>'C. CICL'!Área_de_impresión</vt:lpstr>
      <vt:lpstr>'C10,1'!Área_de_impresión</vt:lpstr>
      <vt:lpstr>'C10,2'!Área_de_impresión</vt:lpstr>
      <vt:lpstr>'C10,3'!Área_de_impresión</vt:lpstr>
      <vt:lpstr>'C12,3'!Área_de_impresión</vt:lpstr>
      <vt:lpstr>'C3,2'!Área_de_impresión</vt:lpstr>
      <vt:lpstr>'C3,3'!Área_de_impresión</vt:lpstr>
      <vt:lpstr>'C3,4'!Área_de_impresión</vt:lpstr>
      <vt:lpstr>'C4,2'!Área_de_impresión</vt:lpstr>
      <vt:lpstr>'C4,3'!Área_de_impresión</vt:lpstr>
      <vt:lpstr>'C4,4'!Área_de_impresión</vt:lpstr>
      <vt:lpstr>'C4,5'!Área_de_impresión</vt:lpstr>
      <vt:lpstr>'C8,2-D2,2'!Área_de_impresión</vt:lpstr>
      <vt:lpstr>'C8,3'!Área_de_impresión</vt:lpstr>
      <vt:lpstr>CRON!Área_de_impresión</vt:lpstr>
      <vt:lpstr>'D1,1'!Área_de_impresión</vt:lpstr>
      <vt:lpstr>'D3,1'!Área_de_impresión</vt:lpstr>
      <vt:lpstr>'D3,2'!Área_de_impresión</vt:lpstr>
      <vt:lpstr>'D3,3'!Área_de_impresión</vt:lpstr>
      <vt:lpstr>'D3,4'!Área_de_impresión</vt:lpstr>
      <vt:lpstr>'D3,5'!Área_de_impresión</vt:lpstr>
      <vt:lpstr>'D3,6'!Área_de_impresión</vt:lpstr>
      <vt:lpstr>'D4,1'!Área_de_impresión</vt:lpstr>
      <vt:lpstr>'E3,2'!Área_de_impresión</vt:lpstr>
      <vt:lpstr>'E3,3'!Área_de_impresión</vt:lpstr>
      <vt:lpstr>'E3,4'!Área_de_impresión</vt:lpstr>
      <vt:lpstr>EQ!Área_de_impresión</vt:lpstr>
      <vt:lpstr>'F2,1'!Área_de_impresión</vt:lpstr>
      <vt:lpstr>'F2,2'!Área_de_impresión</vt:lpstr>
      <vt:lpstr>'F2,3'!Área_de_impresión</vt:lpstr>
      <vt:lpstr>'F2,4'!Área_de_impresión</vt:lpstr>
      <vt:lpstr>'F2,5'!Área_de_impresión</vt:lpstr>
      <vt:lpstr>INTERVENTORIA!Área_de_impresión</vt:lpstr>
      <vt:lpstr>'LAD. VISTA'!Área_de_impresión</vt:lpstr>
      <vt:lpstr>'M 1-3'!Área_de_impresión</vt:lpstr>
      <vt:lpstr>'M 1-4'!Área_de_impresión</vt:lpstr>
      <vt:lpstr>'M.C. '!Área_de_impresión</vt:lpstr>
      <vt:lpstr>M.O!Área_de_impresión</vt:lpstr>
      <vt:lpstr>MAT!Área_de_impresión</vt:lpstr>
      <vt:lpstr>'PRESUPUESTO OFICIAL (Entidad)'!Área_de_impresión</vt:lpstr>
      <vt:lpstr>'PROPUESTA ECONOMICA(Proponente)'!Área_de_impresión</vt:lpstr>
      <vt:lpstr>CRON!Títulos_a_imprimir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TATIANA GUTIERREZ VILLAQUIRA</dc:creator>
  <cp:lastModifiedBy>andres roberto pardo ramos</cp:lastModifiedBy>
  <cp:lastPrinted>2026-10-07T20:11:52Z</cp:lastPrinted>
  <dcterms:created xsi:type="dcterms:W3CDTF">2024-04-03T20:52:44Z</dcterms:created>
  <dcterms:modified xsi:type="dcterms:W3CDTF">2026-10-09T21:31:31Z</dcterms:modified>
</cp:coreProperties>
</file>