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040" firstSheet="1" activeTab="1"/>
  </bookViews>
  <sheets>
    <sheet name="INICIO" sheetId="2" r:id="rId1"/>
    <sheet name="ESPECIFICACIONES TECNICAS (2)" sheetId="3" r:id="rId2"/>
  </sheets>
  <definedNames>
    <definedName name="_xlnm._FilterDatabase" localSheetId="1" hidden="1">'ESPECIFICACIONES TECNICAS (2)'!$A$1:$X$143</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41" i="3" l="1"/>
  <c r="J141" i="3"/>
  <c r="I31" i="3" l="1"/>
  <c r="N36" i="3"/>
  <c r="J120" i="3" l="1"/>
  <c r="N139" i="3" l="1"/>
  <c r="L139" i="3"/>
  <c r="I139" i="3"/>
  <c r="J139" i="3" s="1"/>
  <c r="N74" i="3"/>
  <c r="L74" i="3"/>
  <c r="I74" i="3"/>
  <c r="J74" i="3" s="1"/>
  <c r="A59" i="3" l="1"/>
  <c r="A60" i="3"/>
  <c r="A61" i="3"/>
  <c r="A62" i="3"/>
  <c r="A63" i="3"/>
  <c r="A64" i="3"/>
  <c r="A65" i="3"/>
  <c r="A66" i="3"/>
  <c r="A67" i="3"/>
  <c r="A68" i="3"/>
  <c r="A69" i="3"/>
  <c r="A70" i="3"/>
  <c r="A71" i="3"/>
  <c r="A72" i="3"/>
  <c r="E31" i="3"/>
  <c r="M74" i="3"/>
  <c r="A9" i="3" l="1"/>
  <c r="A15" i="3"/>
  <c r="A16" i="3"/>
  <c r="A38" i="3"/>
  <c r="A54" i="3"/>
  <c r="A55" i="3"/>
  <c r="A73" i="3"/>
  <c r="J56" i="3" l="1"/>
  <c r="J19" i="3"/>
  <c r="J18" i="3"/>
  <c r="J17" i="3"/>
  <c r="J10" i="3"/>
  <c r="M66" i="3" l="1"/>
  <c r="K66" i="3"/>
  <c r="M60" i="3"/>
  <c r="K60" i="3"/>
  <c r="M126" i="3"/>
  <c r="K126" i="3"/>
  <c r="I126" i="3"/>
  <c r="I43" i="3"/>
  <c r="I33" i="3"/>
  <c r="M116" i="3"/>
  <c r="M135" i="3"/>
  <c r="M79" i="3"/>
  <c r="M29" i="3"/>
  <c r="K46" i="3"/>
  <c r="K20" i="3"/>
  <c r="M115" i="3"/>
  <c r="M112" i="3" l="1"/>
  <c r="M97" i="3"/>
  <c r="K97" i="3"/>
  <c r="I97" i="3"/>
  <c r="K96" i="3"/>
  <c r="I96" i="3"/>
  <c r="M96" i="3"/>
  <c r="I87" i="3"/>
  <c r="M87" i="3"/>
  <c r="K87" i="3"/>
  <c r="M63" i="3"/>
  <c r="M57" i="3"/>
  <c r="M51" i="3"/>
  <c r="S120" i="3"/>
  <c r="T120" i="3" s="1"/>
  <c r="Q120" i="3"/>
  <c r="O120" i="3"/>
  <c r="P120" i="3" s="1"/>
  <c r="M143" i="3"/>
  <c r="K143" i="3"/>
  <c r="K142" i="3"/>
  <c r="M138" i="3"/>
  <c r="K138" i="3"/>
  <c r="I138" i="3"/>
  <c r="K137" i="3"/>
  <c r="I137" i="3"/>
  <c r="M137" i="3"/>
  <c r="M136" i="3"/>
  <c r="K136" i="3"/>
  <c r="I136" i="3"/>
  <c r="M128" i="3"/>
  <c r="K128" i="3"/>
  <c r="I128" i="3"/>
  <c r="M127" i="3"/>
  <c r="K127" i="3"/>
  <c r="I127" i="3"/>
  <c r="M124" i="3"/>
  <c r="K124" i="3"/>
  <c r="I124" i="3"/>
  <c r="M98" i="3"/>
  <c r="K98" i="3"/>
  <c r="I98" i="3"/>
  <c r="M93" i="3"/>
  <c r="K93" i="3"/>
  <c r="I93" i="3"/>
  <c r="M84" i="3"/>
  <c r="K84" i="3"/>
  <c r="I84" i="3"/>
  <c r="M83" i="3"/>
  <c r="K83" i="3"/>
  <c r="I83" i="3"/>
  <c r="M82" i="3"/>
  <c r="K82" i="3"/>
  <c r="I82" i="3"/>
  <c r="M81" i="3"/>
  <c r="K81" i="3"/>
  <c r="I81" i="3"/>
  <c r="M72" i="3"/>
  <c r="K72" i="3"/>
  <c r="I72" i="3"/>
  <c r="I71" i="3"/>
  <c r="M70" i="3"/>
  <c r="K70" i="3"/>
  <c r="I70" i="3"/>
  <c r="M69" i="3"/>
  <c r="K69" i="3"/>
  <c r="I69" i="3"/>
  <c r="K50" i="3"/>
  <c r="I50" i="3"/>
  <c r="M49" i="3"/>
  <c r="K49" i="3"/>
  <c r="I49" i="3"/>
  <c r="M41" i="3"/>
  <c r="K41" i="3"/>
  <c r="I41" i="3"/>
  <c r="M35" i="3"/>
  <c r="K35" i="3"/>
  <c r="I35" i="3"/>
  <c r="M21" i="3"/>
  <c r="K21" i="3"/>
  <c r="I21" i="3"/>
  <c r="U120" i="3" l="1"/>
  <c r="R120" i="3"/>
  <c r="P23" i="3"/>
  <c r="M23" i="3"/>
  <c r="I23" i="3"/>
  <c r="K23" i="3" s="1"/>
  <c r="I20" i="3"/>
  <c r="K24" i="3"/>
  <c r="J5" i="3" l="1"/>
  <c r="J6" i="3"/>
  <c r="J7" i="3"/>
  <c r="J8" i="3"/>
  <c r="J4" i="3"/>
  <c r="S8" i="3"/>
  <c r="T8" i="3" s="1"/>
  <c r="Q8" i="3"/>
  <c r="O8" i="3"/>
  <c r="P8" i="3" s="1"/>
  <c r="S7" i="3"/>
  <c r="T7" i="3" s="1"/>
  <c r="Q7" i="3"/>
  <c r="O7" i="3"/>
  <c r="P7" i="3" s="1"/>
  <c r="S6" i="3"/>
  <c r="T6" i="3" s="1"/>
  <c r="Q6" i="3"/>
  <c r="O6" i="3"/>
  <c r="P6" i="3" s="1"/>
  <c r="S5" i="3"/>
  <c r="Q5" i="3"/>
  <c r="O5" i="3"/>
  <c r="P5" i="3" s="1"/>
  <c r="S4" i="3"/>
  <c r="Q4" i="3"/>
  <c r="O4" i="3"/>
  <c r="P4" i="3" s="1"/>
  <c r="S10" i="3"/>
  <c r="T10" i="3" s="1"/>
  <c r="Q10" i="3"/>
  <c r="O10" i="3"/>
  <c r="P10" i="3" s="1"/>
  <c r="S133" i="3"/>
  <c r="Q133" i="3"/>
  <c r="O133" i="3"/>
  <c r="P133" i="3" s="1"/>
  <c r="S91" i="3"/>
  <c r="T91" i="3" s="1"/>
  <c r="Q91" i="3"/>
  <c r="O91" i="3"/>
  <c r="P91" i="3" s="1"/>
  <c r="S56" i="3"/>
  <c r="T56" i="3" s="1"/>
  <c r="Q56" i="3"/>
  <c r="O56" i="3"/>
  <c r="P56" i="3" s="1"/>
  <c r="S19" i="3"/>
  <c r="T19" i="3" s="1"/>
  <c r="Q19" i="3"/>
  <c r="O19" i="3"/>
  <c r="P19" i="3" s="1"/>
  <c r="S18" i="3"/>
  <c r="Q18" i="3"/>
  <c r="O18" i="3"/>
  <c r="P18" i="3" s="1"/>
  <c r="S17" i="3"/>
  <c r="T17" i="3" s="1"/>
  <c r="Q17" i="3"/>
  <c r="O17" i="3"/>
  <c r="P17" i="3" s="1"/>
  <c r="S14" i="3"/>
  <c r="T14" i="3" s="1"/>
  <c r="Q14" i="3"/>
  <c r="O14" i="3"/>
  <c r="P14" i="3" s="1"/>
  <c r="J11" i="3"/>
  <c r="U5" i="3" l="1"/>
  <c r="R7" i="3"/>
  <c r="R4" i="3"/>
  <c r="U133" i="3"/>
  <c r="R5" i="3"/>
  <c r="R6" i="3"/>
  <c r="R18" i="3"/>
  <c r="U17" i="3"/>
  <c r="U10" i="3"/>
  <c r="U4" i="3"/>
  <c r="R19" i="3"/>
  <c r="U8" i="3"/>
  <c r="U56" i="3"/>
  <c r="R133" i="3"/>
  <c r="U6" i="3"/>
  <c r="U18" i="3"/>
  <c r="U7" i="3"/>
  <c r="T5" i="3"/>
  <c r="T4" i="3"/>
  <c r="R8" i="3"/>
  <c r="R10" i="3"/>
  <c r="U19" i="3"/>
  <c r="U14" i="3"/>
  <c r="R14" i="3"/>
  <c r="R56" i="3"/>
  <c r="T18" i="3"/>
  <c r="R17" i="3"/>
  <c r="U91" i="3"/>
  <c r="R91" i="3"/>
  <c r="T133" i="3"/>
  <c r="L133" i="3" l="1"/>
  <c r="L91" i="3"/>
  <c r="L84" i="3"/>
  <c r="N133" i="3"/>
  <c r="N92" i="3"/>
  <c r="N91" i="3"/>
  <c r="J133" i="3"/>
  <c r="J125" i="3"/>
  <c r="J95" i="3"/>
  <c r="J92" i="3"/>
  <c r="J91" i="3"/>
  <c r="J37" i="3"/>
  <c r="J36" i="3"/>
  <c r="M11" i="3" l="1"/>
  <c r="N11" i="3" s="1"/>
  <c r="K11" i="3"/>
  <c r="L11" i="3" l="1"/>
  <c r="O11" i="3"/>
  <c r="P11" i="3" s="1"/>
  <c r="S11" i="3"/>
  <c r="T11" i="3" s="1"/>
  <c r="Q11" i="3"/>
  <c r="M129" i="3"/>
  <c r="N129" i="3" s="1"/>
  <c r="K129" i="3"/>
  <c r="L129" i="3" s="1"/>
  <c r="I129" i="3"/>
  <c r="M100" i="3"/>
  <c r="N100" i="3" s="1"/>
  <c r="K100" i="3"/>
  <c r="L100" i="3" s="1"/>
  <c r="I100" i="3"/>
  <c r="N84" i="3"/>
  <c r="M85" i="3"/>
  <c r="N85" i="3" s="1"/>
  <c r="K85" i="3"/>
  <c r="L85" i="3" s="1"/>
  <c r="I85" i="3"/>
  <c r="M125" i="3"/>
  <c r="N125" i="3" s="1"/>
  <c r="K125" i="3"/>
  <c r="M95" i="3"/>
  <c r="N95" i="3" s="1"/>
  <c r="M108" i="3"/>
  <c r="N108" i="3" s="1"/>
  <c r="K108" i="3"/>
  <c r="L108" i="3" s="1"/>
  <c r="I108" i="3"/>
  <c r="M131" i="3"/>
  <c r="N131" i="3" s="1"/>
  <c r="K131" i="3"/>
  <c r="L131" i="3" s="1"/>
  <c r="I131" i="3"/>
  <c r="M106" i="3"/>
  <c r="N106" i="3" s="1"/>
  <c r="K106" i="3"/>
  <c r="L106" i="3" s="1"/>
  <c r="I106" i="3"/>
  <c r="M53" i="3"/>
  <c r="N53" i="3" s="1"/>
  <c r="K53" i="3"/>
  <c r="L53" i="3" s="1"/>
  <c r="I53" i="3"/>
  <c r="N113" i="3"/>
  <c r="K113" i="3"/>
  <c r="L113" i="3" s="1"/>
  <c r="K112" i="3"/>
  <c r="L112" i="3" s="1"/>
  <c r="M141" i="3"/>
  <c r="N141" i="3" s="1"/>
  <c r="K141" i="3"/>
  <c r="L141" i="3" s="1"/>
  <c r="I141" i="3"/>
  <c r="M134" i="3"/>
  <c r="N134" i="3" s="1"/>
  <c r="K134" i="3"/>
  <c r="L134" i="3" s="1"/>
  <c r="I134" i="3"/>
  <c r="M78" i="3"/>
  <c r="N78" i="3" s="1"/>
  <c r="K78" i="3"/>
  <c r="L78" i="3" s="1"/>
  <c r="I78" i="3"/>
  <c r="M30" i="3"/>
  <c r="N30" i="3" s="1"/>
  <c r="K30" i="3"/>
  <c r="L30" i="3" s="1"/>
  <c r="I30" i="3"/>
  <c r="M28" i="3"/>
  <c r="N28" i="3" s="1"/>
  <c r="K28" i="3"/>
  <c r="L28" i="3" s="1"/>
  <c r="I28" i="3"/>
  <c r="M22" i="3"/>
  <c r="N22" i="3" s="1"/>
  <c r="K22" i="3"/>
  <c r="L22" i="3" s="1"/>
  <c r="I22" i="3"/>
  <c r="M12" i="3"/>
  <c r="N12" i="3" s="1"/>
  <c r="K12" i="3"/>
  <c r="L12" i="3" s="1"/>
  <c r="I12" i="3"/>
  <c r="M105" i="3"/>
  <c r="N105" i="3" s="1"/>
  <c r="K105" i="3"/>
  <c r="L105" i="3" s="1"/>
  <c r="I105" i="3"/>
  <c r="M104" i="3"/>
  <c r="N104" i="3" s="1"/>
  <c r="K104" i="3"/>
  <c r="L104" i="3" s="1"/>
  <c r="I104" i="3"/>
  <c r="M103" i="3"/>
  <c r="N103" i="3" s="1"/>
  <c r="K103" i="3"/>
  <c r="L103" i="3" s="1"/>
  <c r="I103" i="3"/>
  <c r="I112" i="3"/>
  <c r="M102" i="3"/>
  <c r="N102" i="3" s="1"/>
  <c r="K102" i="3"/>
  <c r="L102" i="3" s="1"/>
  <c r="I102" i="3"/>
  <c r="L96" i="3"/>
  <c r="K95" i="3"/>
  <c r="K92" i="3"/>
  <c r="M132" i="3"/>
  <c r="N132" i="3" s="1"/>
  <c r="K132" i="3"/>
  <c r="L132" i="3" s="1"/>
  <c r="I132" i="3"/>
  <c r="M109" i="3"/>
  <c r="N109" i="3" s="1"/>
  <c r="K109" i="3"/>
  <c r="L109" i="3" s="1"/>
  <c r="I109" i="3"/>
  <c r="M130" i="3"/>
  <c r="N130" i="3" s="1"/>
  <c r="K130" i="3"/>
  <c r="L130" i="3" s="1"/>
  <c r="M46" i="3"/>
  <c r="N46" i="3" s="1"/>
  <c r="I130" i="3"/>
  <c r="I46" i="3"/>
  <c r="L46" i="3"/>
  <c r="M107" i="3"/>
  <c r="N107" i="3" s="1"/>
  <c r="K107" i="3"/>
  <c r="L107" i="3" s="1"/>
  <c r="I107" i="3"/>
  <c r="M43" i="3"/>
  <c r="N43" i="3" s="1"/>
  <c r="L97" i="3"/>
  <c r="N97" i="3"/>
  <c r="K33" i="3"/>
  <c r="K32" i="3"/>
  <c r="L32" i="3" s="1"/>
  <c r="I32" i="3"/>
  <c r="K31" i="3"/>
  <c r="K43" i="3"/>
  <c r="M42" i="3"/>
  <c r="N42" i="3" s="1"/>
  <c r="I42" i="3"/>
  <c r="K42" i="3"/>
  <c r="L42" i="3" s="1"/>
  <c r="K44" i="3"/>
  <c r="L44" i="3" s="1"/>
  <c r="M34" i="3"/>
  <c r="N34" i="3" s="1"/>
  <c r="K117" i="3"/>
  <c r="L117" i="3" s="1"/>
  <c r="K116" i="3"/>
  <c r="L116" i="3" s="1"/>
  <c r="K115" i="3"/>
  <c r="L115" i="3" s="1"/>
  <c r="I117" i="3"/>
  <c r="I116" i="3"/>
  <c r="I115" i="3"/>
  <c r="M99" i="3"/>
  <c r="N99" i="3" s="1"/>
  <c r="K99" i="3"/>
  <c r="L99" i="3" s="1"/>
  <c r="I99" i="3"/>
  <c r="M101" i="3"/>
  <c r="N101" i="3" s="1"/>
  <c r="K101" i="3"/>
  <c r="L101" i="3" s="1"/>
  <c r="I101" i="3"/>
  <c r="M94" i="3"/>
  <c r="N94" i="3" s="1"/>
  <c r="K94" i="3"/>
  <c r="L94" i="3" s="1"/>
  <c r="I94" i="3"/>
  <c r="K63" i="3"/>
  <c r="L63" i="3" s="1"/>
  <c r="I63" i="3"/>
  <c r="K57" i="3"/>
  <c r="L57" i="3" s="1"/>
  <c r="I57" i="3"/>
  <c r="M88" i="3"/>
  <c r="N88" i="3" s="1"/>
  <c r="K88" i="3"/>
  <c r="L88" i="3" s="1"/>
  <c r="I88" i="3"/>
  <c r="M71" i="3"/>
  <c r="N71" i="3" s="1"/>
  <c r="K71" i="3"/>
  <c r="M90" i="3"/>
  <c r="N90" i="3" s="1"/>
  <c r="K90" i="3"/>
  <c r="L90" i="3" s="1"/>
  <c r="I90" i="3"/>
  <c r="M67" i="3"/>
  <c r="N67" i="3" s="1"/>
  <c r="K67" i="3"/>
  <c r="L67" i="3" s="1"/>
  <c r="I67" i="3"/>
  <c r="M61" i="3"/>
  <c r="N61" i="3" s="1"/>
  <c r="K61" i="3"/>
  <c r="L61" i="3" s="1"/>
  <c r="I61" i="3"/>
  <c r="M89" i="3"/>
  <c r="N89" i="3" s="1"/>
  <c r="K89" i="3"/>
  <c r="L89" i="3" s="1"/>
  <c r="I89" i="3"/>
  <c r="N66" i="3"/>
  <c r="L66" i="3"/>
  <c r="I66" i="3"/>
  <c r="N60" i="3"/>
  <c r="L60" i="3"/>
  <c r="I60" i="3"/>
  <c r="M40" i="3"/>
  <c r="N40" i="3" s="1"/>
  <c r="K40" i="3"/>
  <c r="L40" i="3" s="1"/>
  <c r="I40" i="3"/>
  <c r="M111" i="3"/>
  <c r="N111" i="3" s="1"/>
  <c r="K111" i="3"/>
  <c r="L111" i="3" s="1"/>
  <c r="I111" i="3"/>
  <c r="M110" i="3"/>
  <c r="N110" i="3" s="1"/>
  <c r="K110" i="3"/>
  <c r="L110" i="3" s="1"/>
  <c r="I110" i="3"/>
  <c r="M39" i="3"/>
  <c r="N39" i="3" s="1"/>
  <c r="K39" i="3"/>
  <c r="L39" i="3" s="1"/>
  <c r="I39" i="3"/>
  <c r="N135" i="3"/>
  <c r="K135" i="3"/>
  <c r="L135" i="3" s="1"/>
  <c r="I135" i="3"/>
  <c r="N79" i="3"/>
  <c r="K79" i="3"/>
  <c r="L79" i="3" s="1"/>
  <c r="I79" i="3"/>
  <c r="N29" i="3"/>
  <c r="K29" i="3"/>
  <c r="L29" i="3" s="1"/>
  <c r="I29" i="3"/>
  <c r="M20" i="3"/>
  <c r="L20" i="3"/>
  <c r="M52" i="3"/>
  <c r="N52" i="3" s="1"/>
  <c r="K52" i="3"/>
  <c r="L52" i="3" s="1"/>
  <c r="I52" i="3"/>
  <c r="K51" i="3"/>
  <c r="L51" i="3" s="1"/>
  <c r="I51" i="3"/>
  <c r="M118" i="3"/>
  <c r="N118" i="3" s="1"/>
  <c r="K118" i="3"/>
  <c r="L118" i="3" s="1"/>
  <c r="I118" i="3"/>
  <c r="M44" i="3"/>
  <c r="N44" i="3" s="1"/>
  <c r="I44" i="3"/>
  <c r="I114" i="3"/>
  <c r="M114" i="3"/>
  <c r="N114" i="3" s="1"/>
  <c r="K114" i="3"/>
  <c r="L114" i="3" s="1"/>
  <c r="K34" i="3"/>
  <c r="L34" i="3" s="1"/>
  <c r="I34" i="3"/>
  <c r="I25" i="3"/>
  <c r="K25" i="3"/>
  <c r="L25" i="3" s="1"/>
  <c r="M25" i="3"/>
  <c r="N25" i="3" s="1"/>
  <c r="M121" i="3"/>
  <c r="N121" i="3" s="1"/>
  <c r="K121" i="3"/>
  <c r="L121" i="3" s="1"/>
  <c r="I121" i="3"/>
  <c r="M75" i="3"/>
  <c r="N75" i="3" s="1"/>
  <c r="K75" i="3"/>
  <c r="L75" i="3" s="1"/>
  <c r="I75" i="3"/>
  <c r="M80" i="3"/>
  <c r="N80" i="3" s="1"/>
  <c r="K80" i="3"/>
  <c r="L80" i="3" s="1"/>
  <c r="I80" i="3"/>
  <c r="M48" i="3"/>
  <c r="N48" i="3" s="1"/>
  <c r="K48" i="3"/>
  <c r="L48" i="3" s="1"/>
  <c r="I48" i="3"/>
  <c r="M45" i="3"/>
  <c r="N45" i="3" s="1"/>
  <c r="K45" i="3"/>
  <c r="L45" i="3" s="1"/>
  <c r="I45" i="3"/>
  <c r="M123" i="3"/>
  <c r="N123" i="3" s="1"/>
  <c r="K123" i="3"/>
  <c r="L123" i="3" s="1"/>
  <c r="I123" i="3"/>
  <c r="M77" i="3"/>
  <c r="N77" i="3" s="1"/>
  <c r="K77" i="3"/>
  <c r="L77" i="3" s="1"/>
  <c r="I77" i="3"/>
  <c r="M140" i="3"/>
  <c r="N140" i="3" s="1"/>
  <c r="K140" i="3"/>
  <c r="L140" i="3" s="1"/>
  <c r="I140" i="3"/>
  <c r="M122" i="3"/>
  <c r="N122" i="3" s="1"/>
  <c r="K122" i="3"/>
  <c r="L122" i="3" s="1"/>
  <c r="I122" i="3"/>
  <c r="M119" i="3"/>
  <c r="N119" i="3" s="1"/>
  <c r="K119" i="3"/>
  <c r="L119" i="3" s="1"/>
  <c r="I119" i="3"/>
  <c r="M76" i="3"/>
  <c r="N76" i="3" s="1"/>
  <c r="K76" i="3"/>
  <c r="L76" i="3" s="1"/>
  <c r="I76" i="3"/>
  <c r="M27" i="3"/>
  <c r="N27" i="3" s="1"/>
  <c r="K27" i="3"/>
  <c r="L27" i="3" s="1"/>
  <c r="I27" i="3"/>
  <c r="M26" i="3"/>
  <c r="N26" i="3" s="1"/>
  <c r="K26" i="3"/>
  <c r="L26" i="3" s="1"/>
  <c r="I26" i="3"/>
  <c r="M47" i="3"/>
  <c r="N47" i="3" s="1"/>
  <c r="K47" i="3"/>
  <c r="L47" i="3" s="1"/>
  <c r="I47" i="3"/>
  <c r="M86" i="3"/>
  <c r="N86" i="3" s="1"/>
  <c r="K86" i="3"/>
  <c r="L86" i="3" s="1"/>
  <c r="I86" i="3"/>
  <c r="I68" i="3"/>
  <c r="K68" i="3"/>
  <c r="L68" i="3" s="1"/>
  <c r="M68" i="3"/>
  <c r="N68" i="3" s="1"/>
  <c r="M64" i="3"/>
  <c r="N64" i="3" s="1"/>
  <c r="K64" i="3"/>
  <c r="L64" i="3" s="1"/>
  <c r="I64" i="3"/>
  <c r="M65" i="3"/>
  <c r="N65" i="3" s="1"/>
  <c r="L65" i="3"/>
  <c r="I65" i="3"/>
  <c r="M59" i="3"/>
  <c r="N59" i="3" s="1"/>
  <c r="L59" i="3"/>
  <c r="I59" i="3"/>
  <c r="M58" i="3"/>
  <c r="N58" i="3" s="1"/>
  <c r="K58" i="3"/>
  <c r="L58" i="3" s="1"/>
  <c r="I58" i="3"/>
  <c r="A58" i="3" s="1"/>
  <c r="L136" i="3"/>
  <c r="N136" i="3"/>
  <c r="L137" i="3"/>
  <c r="N137" i="3"/>
  <c r="L138" i="3"/>
  <c r="N138" i="3"/>
  <c r="L142" i="3"/>
  <c r="N142" i="3"/>
  <c r="L143" i="3"/>
  <c r="N143" i="3"/>
  <c r="L124" i="3"/>
  <c r="N124" i="3"/>
  <c r="L126" i="3"/>
  <c r="N126" i="3"/>
  <c r="L127" i="3"/>
  <c r="N127" i="3"/>
  <c r="L128" i="3"/>
  <c r="N128" i="3"/>
  <c r="N96" i="3"/>
  <c r="L98" i="3"/>
  <c r="N98" i="3"/>
  <c r="N112" i="3"/>
  <c r="N115" i="3"/>
  <c r="N116" i="3"/>
  <c r="N117" i="3"/>
  <c r="L120" i="3"/>
  <c r="N120" i="3"/>
  <c r="L93" i="3"/>
  <c r="N93" i="3"/>
  <c r="L81" i="3"/>
  <c r="N81" i="3"/>
  <c r="L82" i="3"/>
  <c r="N82" i="3"/>
  <c r="L83" i="3"/>
  <c r="N83" i="3"/>
  <c r="L87" i="3"/>
  <c r="N87" i="3"/>
  <c r="L49" i="3"/>
  <c r="N49" i="3"/>
  <c r="L50" i="3"/>
  <c r="N50" i="3"/>
  <c r="N51" i="3"/>
  <c r="N57" i="3"/>
  <c r="L62" i="3"/>
  <c r="N62" i="3"/>
  <c r="N63" i="3"/>
  <c r="L69" i="3"/>
  <c r="N69" i="3"/>
  <c r="L70" i="3"/>
  <c r="N70" i="3"/>
  <c r="L72" i="3"/>
  <c r="N72" i="3"/>
  <c r="N32" i="3"/>
  <c r="N33" i="3"/>
  <c r="L35" i="3"/>
  <c r="N35" i="3"/>
  <c r="N37" i="3"/>
  <c r="L41" i="3"/>
  <c r="N41" i="3"/>
  <c r="L21" i="3"/>
  <c r="N21" i="3"/>
  <c r="L23" i="3"/>
  <c r="N23" i="3"/>
  <c r="L24" i="3"/>
  <c r="N24" i="3"/>
  <c r="L33" i="3" l="1"/>
  <c r="L43" i="3"/>
  <c r="L71" i="3"/>
  <c r="N20" i="3"/>
  <c r="N31" i="3"/>
  <c r="L31" i="3"/>
  <c r="O127" i="3"/>
  <c r="P127" i="3" s="1"/>
  <c r="S127" i="3"/>
  <c r="T127" i="3" s="1"/>
  <c r="Q127" i="3"/>
  <c r="J127" i="3"/>
  <c r="S137" i="3"/>
  <c r="T137" i="3" s="1"/>
  <c r="Q137" i="3"/>
  <c r="O137" i="3"/>
  <c r="P137" i="3" s="1"/>
  <c r="J137" i="3"/>
  <c r="Q140" i="3"/>
  <c r="O140" i="3"/>
  <c r="P140" i="3" s="1"/>
  <c r="S140" i="3"/>
  <c r="J140" i="3"/>
  <c r="O44" i="3"/>
  <c r="S44" i="3"/>
  <c r="T44" i="3" s="1"/>
  <c r="Q44" i="3"/>
  <c r="J44" i="3"/>
  <c r="S79" i="3"/>
  <c r="Q79" i="3"/>
  <c r="O79" i="3"/>
  <c r="P79" i="3" s="1"/>
  <c r="J79" i="3"/>
  <c r="S89" i="3"/>
  <c r="T89" i="3" s="1"/>
  <c r="Q89" i="3"/>
  <c r="O89" i="3"/>
  <c r="P89" i="3" s="1"/>
  <c r="J89" i="3"/>
  <c r="S92" i="3"/>
  <c r="T92" i="3" s="1"/>
  <c r="Q92" i="3"/>
  <c r="O92" i="3"/>
  <c r="P92" i="3" s="1"/>
  <c r="L92" i="3"/>
  <c r="S103" i="3"/>
  <c r="T103" i="3" s="1"/>
  <c r="Q103" i="3"/>
  <c r="O103" i="3"/>
  <c r="P103" i="3" s="1"/>
  <c r="J103" i="3"/>
  <c r="Q134" i="3"/>
  <c r="O134" i="3"/>
  <c r="P134" i="3" s="1"/>
  <c r="S134" i="3"/>
  <c r="T134" i="3" s="1"/>
  <c r="J134" i="3"/>
  <c r="S113" i="3"/>
  <c r="T113" i="3" s="1"/>
  <c r="Q113" i="3"/>
  <c r="O113" i="3"/>
  <c r="P113" i="3" s="1"/>
  <c r="J113" i="3"/>
  <c r="S131" i="3"/>
  <c r="T131" i="3" s="1"/>
  <c r="Q131" i="3"/>
  <c r="O131" i="3"/>
  <c r="P131" i="3" s="1"/>
  <c r="J131" i="3"/>
  <c r="S21" i="3"/>
  <c r="T21" i="3" s="1"/>
  <c r="Q21" i="3"/>
  <c r="O21" i="3"/>
  <c r="P21" i="3" s="1"/>
  <c r="J21" i="3"/>
  <c r="S98" i="3"/>
  <c r="T98" i="3" s="1"/>
  <c r="Q98" i="3"/>
  <c r="O98" i="3"/>
  <c r="P98" i="3" s="1"/>
  <c r="J98" i="3"/>
  <c r="O143" i="3"/>
  <c r="P143" i="3" s="1"/>
  <c r="S143" i="3"/>
  <c r="T143" i="3" s="1"/>
  <c r="Q143" i="3"/>
  <c r="J143" i="3"/>
  <c r="Q26" i="3"/>
  <c r="S26" i="3"/>
  <c r="T26" i="3" s="1"/>
  <c r="O26" i="3"/>
  <c r="P26" i="3" s="1"/>
  <c r="J26" i="3"/>
  <c r="Q45" i="3"/>
  <c r="O45" i="3"/>
  <c r="P45" i="3" s="1"/>
  <c r="S45" i="3"/>
  <c r="T45" i="3" s="1"/>
  <c r="J45" i="3"/>
  <c r="S110" i="3"/>
  <c r="Q110" i="3"/>
  <c r="O110" i="3"/>
  <c r="P110" i="3" s="1"/>
  <c r="J110" i="3"/>
  <c r="Q90" i="3"/>
  <c r="O90" i="3"/>
  <c r="P90" i="3" s="1"/>
  <c r="S90" i="3"/>
  <c r="T90" i="3" s="1"/>
  <c r="J90" i="3"/>
  <c r="O115" i="3"/>
  <c r="P115" i="3" s="1"/>
  <c r="S115" i="3"/>
  <c r="T115" i="3" s="1"/>
  <c r="Q115" i="3"/>
  <c r="J115" i="3"/>
  <c r="Q32" i="3"/>
  <c r="O32" i="3"/>
  <c r="P32" i="3" s="1"/>
  <c r="S32" i="3"/>
  <c r="T32" i="3" s="1"/>
  <c r="J32" i="3"/>
  <c r="O107" i="3"/>
  <c r="P107" i="3" s="1"/>
  <c r="S107" i="3"/>
  <c r="T107" i="3" s="1"/>
  <c r="Q107" i="3"/>
  <c r="J107" i="3"/>
  <c r="S95" i="3"/>
  <c r="Q95" i="3"/>
  <c r="O95" i="3"/>
  <c r="P95" i="3" s="1"/>
  <c r="L95" i="3"/>
  <c r="Q12" i="3"/>
  <c r="O12" i="3"/>
  <c r="P12" i="3" s="1"/>
  <c r="S12" i="3"/>
  <c r="T12" i="3" s="1"/>
  <c r="J12" i="3"/>
  <c r="Q85" i="3"/>
  <c r="O85" i="3"/>
  <c r="P85" i="3" s="1"/>
  <c r="S85" i="3"/>
  <c r="T85" i="3" s="1"/>
  <c r="J85" i="3"/>
  <c r="Q129" i="3"/>
  <c r="O129" i="3"/>
  <c r="P129" i="3" s="1"/>
  <c r="S129" i="3"/>
  <c r="T129" i="3" s="1"/>
  <c r="J129" i="3"/>
  <c r="O23" i="3"/>
  <c r="S23" i="3"/>
  <c r="T23" i="3" s="1"/>
  <c r="Q23" i="3"/>
  <c r="J23" i="3"/>
  <c r="S81" i="3"/>
  <c r="T81" i="3" s="1"/>
  <c r="Q81" i="3"/>
  <c r="O81" i="3"/>
  <c r="P81" i="3" s="1"/>
  <c r="J81" i="3"/>
  <c r="S124" i="3"/>
  <c r="Q124" i="3"/>
  <c r="O124" i="3"/>
  <c r="P124" i="3" s="1"/>
  <c r="J124" i="3"/>
  <c r="Q47" i="3"/>
  <c r="S47" i="3"/>
  <c r="T47" i="3" s="1"/>
  <c r="O47" i="3"/>
  <c r="P47" i="3" s="1"/>
  <c r="J47" i="3"/>
  <c r="O123" i="3"/>
  <c r="P123" i="3" s="1"/>
  <c r="S123" i="3"/>
  <c r="T123" i="3" s="1"/>
  <c r="Q123" i="3"/>
  <c r="J123" i="3"/>
  <c r="O35" i="3"/>
  <c r="P35" i="3" s="1"/>
  <c r="S35" i="3"/>
  <c r="T35" i="3" s="1"/>
  <c r="Q35" i="3"/>
  <c r="J35" i="3"/>
  <c r="O69" i="3"/>
  <c r="P69" i="3" s="1"/>
  <c r="S69" i="3"/>
  <c r="T69" i="3" s="1"/>
  <c r="Q69" i="3"/>
  <c r="J69" i="3"/>
  <c r="S93" i="3"/>
  <c r="T93" i="3" s="1"/>
  <c r="Q93" i="3"/>
  <c r="O93" i="3"/>
  <c r="P93" i="3" s="1"/>
  <c r="J93" i="3"/>
  <c r="S139" i="3"/>
  <c r="T139" i="3" s="1"/>
  <c r="Q139" i="3"/>
  <c r="O139" i="3"/>
  <c r="P139" i="3" s="1"/>
  <c r="S59" i="3"/>
  <c r="O59" i="3"/>
  <c r="P59" i="3" s="1"/>
  <c r="Q59" i="3"/>
  <c r="J59" i="3"/>
  <c r="Q41" i="3"/>
  <c r="O41" i="3"/>
  <c r="P41" i="3" s="1"/>
  <c r="S41" i="3"/>
  <c r="J41" i="3"/>
  <c r="O50" i="3"/>
  <c r="P50" i="3" s="1"/>
  <c r="Q50" i="3"/>
  <c r="S50" i="3"/>
  <c r="T50" i="3" s="1"/>
  <c r="J50" i="3"/>
  <c r="S83" i="3"/>
  <c r="T83" i="3" s="1"/>
  <c r="Q83" i="3"/>
  <c r="O83" i="3"/>
  <c r="P83" i="3" s="1"/>
  <c r="J83" i="3"/>
  <c r="S116" i="3"/>
  <c r="T116" i="3" s="1"/>
  <c r="Q116" i="3"/>
  <c r="O116" i="3"/>
  <c r="P116" i="3" s="1"/>
  <c r="J116" i="3"/>
  <c r="S109" i="3"/>
  <c r="T109" i="3" s="1"/>
  <c r="Q109" i="3"/>
  <c r="O109" i="3"/>
  <c r="P109" i="3" s="1"/>
  <c r="J109" i="3"/>
  <c r="S96" i="3"/>
  <c r="T96" i="3" s="1"/>
  <c r="Q96" i="3"/>
  <c r="O96" i="3"/>
  <c r="P96" i="3" s="1"/>
  <c r="J96" i="3"/>
  <c r="S30" i="3"/>
  <c r="T30" i="3" s="1"/>
  <c r="Q30" i="3"/>
  <c r="O30" i="3"/>
  <c r="P30" i="3" s="1"/>
  <c r="J30" i="3"/>
  <c r="S53" i="3"/>
  <c r="T53" i="3" s="1"/>
  <c r="Q53" i="3"/>
  <c r="O53" i="3"/>
  <c r="P53" i="3" s="1"/>
  <c r="J53" i="3"/>
  <c r="O57" i="3"/>
  <c r="P57" i="3" s="1"/>
  <c r="S57" i="3"/>
  <c r="T57" i="3" s="1"/>
  <c r="Q57" i="3"/>
  <c r="J57" i="3"/>
  <c r="Q117" i="3"/>
  <c r="O117" i="3"/>
  <c r="P117" i="3" s="1"/>
  <c r="S117" i="3"/>
  <c r="T117" i="3" s="1"/>
  <c r="J117" i="3"/>
  <c r="S42" i="3"/>
  <c r="T42" i="3" s="1"/>
  <c r="O42" i="3"/>
  <c r="P42" i="3" s="1"/>
  <c r="Q42" i="3"/>
  <c r="J42" i="3"/>
  <c r="Q33" i="3"/>
  <c r="S33" i="3"/>
  <c r="T33" i="3" s="1"/>
  <c r="O33" i="3"/>
  <c r="P33" i="3" s="1"/>
  <c r="J33" i="3"/>
  <c r="S104" i="3"/>
  <c r="T104" i="3" s="1"/>
  <c r="Q104" i="3"/>
  <c r="O104" i="3"/>
  <c r="P104" i="3" s="1"/>
  <c r="J104" i="3"/>
  <c r="S141" i="3"/>
  <c r="Q141" i="3"/>
  <c r="O141" i="3"/>
  <c r="P141" i="3" s="1"/>
  <c r="S108" i="3"/>
  <c r="T108" i="3" s="1"/>
  <c r="Q108" i="3"/>
  <c r="O108" i="3"/>
  <c r="P108" i="3" s="1"/>
  <c r="J108" i="3"/>
  <c r="S37" i="3"/>
  <c r="T37" i="3" s="1"/>
  <c r="Q37" i="3"/>
  <c r="O37" i="3"/>
  <c r="P37" i="3" s="1"/>
  <c r="L37" i="3"/>
  <c r="Q65" i="3"/>
  <c r="O65" i="3"/>
  <c r="P65" i="3" s="1"/>
  <c r="S65" i="3"/>
  <c r="T65" i="3" s="1"/>
  <c r="J65" i="3"/>
  <c r="S68" i="3"/>
  <c r="T68" i="3" s="1"/>
  <c r="Q68" i="3"/>
  <c r="O68" i="3"/>
  <c r="P68" i="3" s="1"/>
  <c r="J68" i="3"/>
  <c r="S119" i="3"/>
  <c r="T119" i="3" s="1"/>
  <c r="Q119" i="3"/>
  <c r="O119" i="3"/>
  <c r="P119" i="3" s="1"/>
  <c r="J119" i="3"/>
  <c r="S75" i="3"/>
  <c r="T75" i="3" s="1"/>
  <c r="Q75" i="3"/>
  <c r="O75" i="3"/>
  <c r="P75" i="3" s="1"/>
  <c r="J75" i="3"/>
  <c r="O25" i="3"/>
  <c r="P25" i="3" s="1"/>
  <c r="S25" i="3"/>
  <c r="T25" i="3" s="1"/>
  <c r="Q25" i="3"/>
  <c r="J25" i="3"/>
  <c r="S118" i="3"/>
  <c r="T118" i="3" s="1"/>
  <c r="Q118" i="3"/>
  <c r="O118" i="3"/>
  <c r="P118" i="3" s="1"/>
  <c r="J118" i="3"/>
  <c r="S20" i="3"/>
  <c r="T20" i="3" s="1"/>
  <c r="O20" i="3"/>
  <c r="Q20" i="3"/>
  <c r="J20" i="3"/>
  <c r="Q60" i="3"/>
  <c r="O60" i="3"/>
  <c r="P60" i="3" s="1"/>
  <c r="S60" i="3"/>
  <c r="T60" i="3" s="1"/>
  <c r="J60" i="3"/>
  <c r="S87" i="3"/>
  <c r="T87" i="3" s="1"/>
  <c r="Q87" i="3"/>
  <c r="O87" i="3"/>
  <c r="P87" i="3" s="1"/>
  <c r="J87" i="3"/>
  <c r="S101" i="3"/>
  <c r="T101" i="3" s="1"/>
  <c r="Q101" i="3"/>
  <c r="O101" i="3"/>
  <c r="P101" i="3" s="1"/>
  <c r="J101" i="3"/>
  <c r="S24" i="3"/>
  <c r="T24" i="3" s="1"/>
  <c r="Q24" i="3"/>
  <c r="O24" i="3"/>
  <c r="P24" i="3" s="1"/>
  <c r="J24" i="3"/>
  <c r="O72" i="3"/>
  <c r="P72" i="3" s="1"/>
  <c r="S72" i="3"/>
  <c r="Q72" i="3"/>
  <c r="J72" i="3"/>
  <c r="O62" i="3"/>
  <c r="P62" i="3" s="1"/>
  <c r="S62" i="3"/>
  <c r="T62" i="3" s="1"/>
  <c r="Q62" i="3"/>
  <c r="J62" i="3"/>
  <c r="Q49" i="3"/>
  <c r="O49" i="3"/>
  <c r="P49" i="3" s="1"/>
  <c r="S49" i="3"/>
  <c r="T49" i="3" s="1"/>
  <c r="J49" i="3"/>
  <c r="S82" i="3"/>
  <c r="T82" i="3" s="1"/>
  <c r="Q82" i="3"/>
  <c r="O82" i="3"/>
  <c r="P82" i="3" s="1"/>
  <c r="J82" i="3"/>
  <c r="S126" i="3"/>
  <c r="T126" i="3" s="1"/>
  <c r="Q126" i="3"/>
  <c r="O126" i="3"/>
  <c r="P126" i="3" s="1"/>
  <c r="J126" i="3"/>
  <c r="S136" i="3"/>
  <c r="T136" i="3" s="1"/>
  <c r="Q136" i="3"/>
  <c r="O136" i="3"/>
  <c r="P136" i="3" s="1"/>
  <c r="J136" i="3"/>
  <c r="S77" i="3"/>
  <c r="T77" i="3" s="1"/>
  <c r="Q77" i="3"/>
  <c r="O77" i="3"/>
  <c r="P77" i="3" s="1"/>
  <c r="J77" i="3"/>
  <c r="S135" i="3"/>
  <c r="T135" i="3" s="1"/>
  <c r="Q135" i="3"/>
  <c r="O135" i="3"/>
  <c r="P135" i="3" s="1"/>
  <c r="J135" i="3"/>
  <c r="S70" i="3"/>
  <c r="T70" i="3" s="1"/>
  <c r="Q70" i="3"/>
  <c r="O70" i="3"/>
  <c r="P70" i="3" s="1"/>
  <c r="J70" i="3"/>
  <c r="S142" i="3"/>
  <c r="T142" i="3" s="1"/>
  <c r="Q142" i="3"/>
  <c r="O142" i="3"/>
  <c r="P142" i="3" s="1"/>
  <c r="J142" i="3"/>
  <c r="Q58" i="3"/>
  <c r="S58" i="3"/>
  <c r="T58" i="3" s="1"/>
  <c r="O58" i="3"/>
  <c r="P58" i="3" s="1"/>
  <c r="J58" i="3"/>
  <c r="Q27" i="3"/>
  <c r="O27" i="3"/>
  <c r="P27" i="3" s="1"/>
  <c r="S27" i="3"/>
  <c r="T27" i="3" s="1"/>
  <c r="J27" i="3"/>
  <c r="S48" i="3"/>
  <c r="T48" i="3" s="1"/>
  <c r="O48" i="3"/>
  <c r="P48" i="3" s="1"/>
  <c r="Q48" i="3"/>
  <c r="J48" i="3"/>
  <c r="S111" i="3"/>
  <c r="Q111" i="3"/>
  <c r="O111" i="3"/>
  <c r="J111" i="3"/>
  <c r="Q71" i="3"/>
  <c r="O71" i="3"/>
  <c r="P71" i="3" s="1"/>
  <c r="S71" i="3"/>
  <c r="T71" i="3" s="1"/>
  <c r="J71" i="3"/>
  <c r="O102" i="3"/>
  <c r="P102" i="3" s="1"/>
  <c r="S102" i="3"/>
  <c r="Q102" i="3"/>
  <c r="J102" i="3"/>
  <c r="S22" i="3"/>
  <c r="T22" i="3" s="1"/>
  <c r="Q22" i="3"/>
  <c r="O22" i="3"/>
  <c r="P22" i="3" s="1"/>
  <c r="J22" i="3"/>
  <c r="S84" i="3"/>
  <c r="T84" i="3" s="1"/>
  <c r="Q84" i="3"/>
  <c r="O84" i="3"/>
  <c r="P84" i="3" s="1"/>
  <c r="J84" i="3"/>
  <c r="R11" i="3"/>
  <c r="U11" i="3"/>
  <c r="S86" i="3"/>
  <c r="Q86" i="3"/>
  <c r="O86" i="3"/>
  <c r="P86" i="3" s="1"/>
  <c r="J86" i="3"/>
  <c r="S34" i="3"/>
  <c r="T34" i="3" s="1"/>
  <c r="Q34" i="3"/>
  <c r="O34" i="3"/>
  <c r="P34" i="3" s="1"/>
  <c r="J34" i="3"/>
  <c r="Q61" i="3"/>
  <c r="S61" i="3"/>
  <c r="T61" i="3" s="1"/>
  <c r="O61" i="3"/>
  <c r="P61" i="3" s="1"/>
  <c r="J61" i="3"/>
  <c r="O36" i="3"/>
  <c r="P36" i="3" s="1"/>
  <c r="S36" i="3"/>
  <c r="T36" i="3" s="1"/>
  <c r="Q36" i="3"/>
  <c r="L36" i="3"/>
  <c r="S74" i="3"/>
  <c r="T74" i="3" s="1"/>
  <c r="Q74" i="3"/>
  <c r="O74" i="3"/>
  <c r="P74" i="3" s="1"/>
  <c r="S128" i="3"/>
  <c r="T128" i="3" s="1"/>
  <c r="Q128" i="3"/>
  <c r="O128" i="3"/>
  <c r="P128" i="3" s="1"/>
  <c r="J128" i="3"/>
  <c r="S138" i="3"/>
  <c r="T138" i="3" s="1"/>
  <c r="Q138" i="3"/>
  <c r="O138" i="3"/>
  <c r="P138" i="3" s="1"/>
  <c r="J138" i="3"/>
  <c r="S64" i="3"/>
  <c r="T64" i="3" s="1"/>
  <c r="O64" i="3"/>
  <c r="P64" i="3" s="1"/>
  <c r="Q64" i="3"/>
  <c r="J64" i="3"/>
  <c r="S122" i="3"/>
  <c r="T122" i="3" s="1"/>
  <c r="Q122" i="3"/>
  <c r="O122" i="3"/>
  <c r="P122" i="3" s="1"/>
  <c r="J122" i="3"/>
  <c r="O121" i="3"/>
  <c r="P121" i="3" s="1"/>
  <c r="S121" i="3"/>
  <c r="T121" i="3" s="1"/>
  <c r="Q121" i="3"/>
  <c r="J121" i="3"/>
  <c r="S51" i="3"/>
  <c r="T51" i="3" s="1"/>
  <c r="Q51" i="3"/>
  <c r="O51" i="3"/>
  <c r="P51" i="3" s="1"/>
  <c r="J51" i="3"/>
  <c r="S29" i="3"/>
  <c r="T29" i="3" s="1"/>
  <c r="Q29" i="3"/>
  <c r="O29" i="3"/>
  <c r="P29" i="3" s="1"/>
  <c r="J29" i="3"/>
  <c r="Q66" i="3"/>
  <c r="S66" i="3"/>
  <c r="T66" i="3" s="1"/>
  <c r="O66" i="3"/>
  <c r="P66" i="3" s="1"/>
  <c r="J66" i="3"/>
  <c r="S63" i="3"/>
  <c r="T63" i="3" s="1"/>
  <c r="Q63" i="3"/>
  <c r="O63" i="3"/>
  <c r="P63" i="3" s="1"/>
  <c r="J63" i="3"/>
  <c r="Q99" i="3"/>
  <c r="O99" i="3"/>
  <c r="P99" i="3" s="1"/>
  <c r="S99" i="3"/>
  <c r="T99" i="3" s="1"/>
  <c r="J99" i="3"/>
  <c r="S43" i="3"/>
  <c r="T43" i="3" s="1"/>
  <c r="Q43" i="3"/>
  <c r="O43" i="3"/>
  <c r="P43" i="3" s="1"/>
  <c r="J43" i="3"/>
  <c r="O97" i="3"/>
  <c r="P97" i="3" s="1"/>
  <c r="S97" i="3"/>
  <c r="T97" i="3" s="1"/>
  <c r="Q97" i="3"/>
  <c r="J97" i="3"/>
  <c r="S46" i="3"/>
  <c r="T46" i="3" s="1"/>
  <c r="Q46" i="3"/>
  <c r="O46" i="3"/>
  <c r="P46" i="3" s="1"/>
  <c r="J46" i="3"/>
  <c r="S132" i="3"/>
  <c r="T132" i="3" s="1"/>
  <c r="Q132" i="3"/>
  <c r="O132" i="3"/>
  <c r="P132" i="3" s="1"/>
  <c r="J132" i="3"/>
  <c r="Q78" i="3"/>
  <c r="O78" i="3"/>
  <c r="P78" i="3" s="1"/>
  <c r="S78" i="3"/>
  <c r="J78" i="3"/>
  <c r="S106" i="3"/>
  <c r="T106" i="3" s="1"/>
  <c r="Q106" i="3"/>
  <c r="O106" i="3"/>
  <c r="P106" i="3" s="1"/>
  <c r="J106" i="3"/>
  <c r="O39" i="3"/>
  <c r="P39" i="3" s="1"/>
  <c r="S39" i="3"/>
  <c r="T39" i="3" s="1"/>
  <c r="Q39" i="3"/>
  <c r="J39" i="3"/>
  <c r="O67" i="3"/>
  <c r="P67" i="3" s="1"/>
  <c r="S67" i="3"/>
  <c r="T67" i="3" s="1"/>
  <c r="Q67" i="3"/>
  <c r="J67" i="3"/>
  <c r="S130" i="3"/>
  <c r="T130" i="3" s="1"/>
  <c r="Q130" i="3"/>
  <c r="O130" i="3"/>
  <c r="P130" i="3" s="1"/>
  <c r="J130" i="3"/>
  <c r="S105" i="3"/>
  <c r="T105" i="3" s="1"/>
  <c r="Q105" i="3"/>
  <c r="O105" i="3"/>
  <c r="P105" i="3" s="1"/>
  <c r="J105" i="3"/>
  <c r="S100" i="3"/>
  <c r="T100" i="3" s="1"/>
  <c r="Q100" i="3"/>
  <c r="O100" i="3"/>
  <c r="P100" i="3" s="1"/>
  <c r="J100" i="3"/>
  <c r="O76" i="3"/>
  <c r="P76" i="3" s="1"/>
  <c r="S76" i="3"/>
  <c r="T76" i="3" s="1"/>
  <c r="Q76" i="3"/>
  <c r="J76" i="3"/>
  <c r="S80" i="3"/>
  <c r="T80" i="3" s="1"/>
  <c r="Q80" i="3"/>
  <c r="O80" i="3"/>
  <c r="J80" i="3"/>
  <c r="S114" i="3"/>
  <c r="T114" i="3" s="1"/>
  <c r="Q114" i="3"/>
  <c r="O114" i="3"/>
  <c r="P114" i="3" s="1"/>
  <c r="J114" i="3"/>
  <c r="S52" i="3"/>
  <c r="T52" i="3" s="1"/>
  <c r="Q52" i="3"/>
  <c r="O52" i="3"/>
  <c r="J52" i="3"/>
  <c r="S40" i="3"/>
  <c r="T40" i="3" s="1"/>
  <c r="Q40" i="3"/>
  <c r="O40" i="3"/>
  <c r="P40" i="3" s="1"/>
  <c r="J40" i="3"/>
  <c r="O88" i="3"/>
  <c r="S88" i="3"/>
  <c r="T88" i="3" s="1"/>
  <c r="Q88" i="3"/>
  <c r="J88" i="3"/>
  <c r="S94" i="3"/>
  <c r="Q94" i="3"/>
  <c r="O94" i="3"/>
  <c r="P94" i="3" s="1"/>
  <c r="J94" i="3"/>
  <c r="S31" i="3"/>
  <c r="T31" i="3" s="1"/>
  <c r="Q31" i="3"/>
  <c r="O31" i="3"/>
  <c r="P31" i="3" s="1"/>
  <c r="J31" i="3"/>
  <c r="S112" i="3"/>
  <c r="T112" i="3" s="1"/>
  <c r="Q112" i="3"/>
  <c r="O112" i="3"/>
  <c r="P112" i="3" s="1"/>
  <c r="J112" i="3"/>
  <c r="Q28" i="3"/>
  <c r="O28" i="3"/>
  <c r="S28" i="3"/>
  <c r="T28" i="3" s="1"/>
  <c r="J28" i="3"/>
  <c r="O125" i="3"/>
  <c r="P125" i="3" s="1"/>
  <c r="S125" i="3"/>
  <c r="T125" i="3" s="1"/>
  <c r="Q125" i="3"/>
  <c r="L125" i="3"/>
  <c r="A147" i="3" l="1"/>
  <c r="A148" i="3"/>
  <c r="A149" i="3"/>
  <c r="A150" i="3"/>
  <c r="R102" i="3"/>
  <c r="R72" i="3"/>
  <c r="R110" i="3"/>
  <c r="R79" i="3"/>
  <c r="U28" i="3"/>
  <c r="U44" i="3"/>
  <c r="R41" i="3"/>
  <c r="U52" i="3"/>
  <c r="U80" i="3"/>
  <c r="U20" i="3"/>
  <c r="R124" i="3"/>
  <c r="R28" i="3"/>
  <c r="P28" i="3"/>
  <c r="R100" i="3"/>
  <c r="U100" i="3"/>
  <c r="U43" i="3"/>
  <c r="R43" i="3"/>
  <c r="R128" i="3"/>
  <c r="U128" i="3"/>
  <c r="R111" i="3"/>
  <c r="P111" i="3"/>
  <c r="U143" i="3"/>
  <c r="R143" i="3"/>
  <c r="U84" i="3"/>
  <c r="R84" i="3"/>
  <c r="U102" i="3"/>
  <c r="T102" i="3"/>
  <c r="U142" i="3"/>
  <c r="R142" i="3"/>
  <c r="U70" i="3"/>
  <c r="R70" i="3"/>
  <c r="U135" i="3"/>
  <c r="R135" i="3"/>
  <c r="U136" i="3"/>
  <c r="R136" i="3"/>
  <c r="U82" i="3"/>
  <c r="R82" i="3"/>
  <c r="R24" i="3"/>
  <c r="U24" i="3"/>
  <c r="R87" i="3"/>
  <c r="U87" i="3"/>
  <c r="R20" i="3"/>
  <c r="P20" i="3"/>
  <c r="U119" i="3"/>
  <c r="R119" i="3"/>
  <c r="U37" i="3"/>
  <c r="R37" i="3"/>
  <c r="R141" i="3"/>
  <c r="U141" i="3"/>
  <c r="U53" i="3"/>
  <c r="R53" i="3"/>
  <c r="U96" i="3"/>
  <c r="R96" i="3"/>
  <c r="U116" i="3"/>
  <c r="R116" i="3"/>
  <c r="R50" i="3"/>
  <c r="U50" i="3"/>
  <c r="R139" i="3"/>
  <c r="U93" i="3"/>
  <c r="R93" i="3"/>
  <c r="R95" i="3"/>
  <c r="U131" i="3"/>
  <c r="R131" i="3"/>
  <c r="U92" i="3"/>
  <c r="R92" i="3"/>
  <c r="U89" i="3"/>
  <c r="R89" i="3"/>
  <c r="U137" i="3"/>
  <c r="R137" i="3"/>
  <c r="R88" i="3"/>
  <c r="P88" i="3"/>
  <c r="U111" i="3"/>
  <c r="T111" i="3"/>
  <c r="R65" i="3"/>
  <c r="U65" i="3"/>
  <c r="R33" i="3"/>
  <c r="U33" i="3"/>
  <c r="R117" i="3"/>
  <c r="U117" i="3"/>
  <c r="U139" i="3"/>
  <c r="U47" i="3"/>
  <c r="R47" i="3"/>
  <c r="R85" i="3"/>
  <c r="U85" i="3"/>
  <c r="U95" i="3"/>
  <c r="T95" i="3"/>
  <c r="U32" i="3"/>
  <c r="R32" i="3"/>
  <c r="U90" i="3"/>
  <c r="R90" i="3"/>
  <c r="R45" i="3"/>
  <c r="U45" i="3"/>
  <c r="U134" i="3"/>
  <c r="R134" i="3"/>
  <c r="R44" i="3"/>
  <c r="P44" i="3"/>
  <c r="R31" i="3"/>
  <c r="U31" i="3"/>
  <c r="R130" i="3"/>
  <c r="U130" i="3"/>
  <c r="U63" i="3"/>
  <c r="R63" i="3"/>
  <c r="R34" i="3"/>
  <c r="U34" i="3"/>
  <c r="R78" i="3"/>
  <c r="U125" i="3"/>
  <c r="R125" i="3"/>
  <c r="U76" i="3"/>
  <c r="R76" i="3"/>
  <c r="U67" i="3"/>
  <c r="R67" i="3"/>
  <c r="U97" i="3"/>
  <c r="R97" i="3"/>
  <c r="U27" i="3"/>
  <c r="R27" i="3"/>
  <c r="U112" i="3"/>
  <c r="R112" i="3"/>
  <c r="R94" i="3"/>
  <c r="U40" i="3"/>
  <c r="R40" i="3"/>
  <c r="R114" i="3"/>
  <c r="U114" i="3"/>
  <c r="U105" i="3"/>
  <c r="R105" i="3"/>
  <c r="R106" i="3"/>
  <c r="U106" i="3"/>
  <c r="R132" i="3"/>
  <c r="U132" i="3"/>
  <c r="U51" i="3"/>
  <c r="R51" i="3"/>
  <c r="R122" i="3"/>
  <c r="U122" i="3"/>
  <c r="U138" i="3"/>
  <c r="R138" i="3"/>
  <c r="U74" i="3"/>
  <c r="R74" i="3"/>
  <c r="R86" i="3"/>
  <c r="U29" i="3"/>
  <c r="R29" i="3"/>
  <c r="R62" i="3"/>
  <c r="U62" i="3"/>
  <c r="U35" i="3"/>
  <c r="R35" i="3"/>
  <c r="U99" i="3"/>
  <c r="R99" i="3"/>
  <c r="U66" i="3"/>
  <c r="R66" i="3"/>
  <c r="U61" i="3"/>
  <c r="R61" i="3"/>
  <c r="U86" i="3"/>
  <c r="T86" i="3"/>
  <c r="U48" i="3"/>
  <c r="R48" i="3"/>
  <c r="U42" i="3"/>
  <c r="R42" i="3"/>
  <c r="R57" i="3"/>
  <c r="U57" i="3"/>
  <c r="R59" i="3"/>
  <c r="U69" i="3"/>
  <c r="R69" i="3"/>
  <c r="U123" i="3"/>
  <c r="R123" i="3"/>
  <c r="U23" i="3"/>
  <c r="R23" i="3"/>
  <c r="R107" i="3"/>
  <c r="U107" i="3"/>
  <c r="U115" i="3"/>
  <c r="R115" i="3"/>
  <c r="U140" i="3"/>
  <c r="T140" i="3"/>
  <c r="U127" i="3"/>
  <c r="R127" i="3"/>
  <c r="U25" i="3"/>
  <c r="R25" i="3"/>
  <c r="U94" i="3"/>
  <c r="T94" i="3"/>
  <c r="U22" i="3"/>
  <c r="R22" i="3"/>
  <c r="U77" i="3"/>
  <c r="R77" i="3"/>
  <c r="U126" i="3"/>
  <c r="R126" i="3"/>
  <c r="U72" i="3"/>
  <c r="T72" i="3"/>
  <c r="U101" i="3"/>
  <c r="R101" i="3"/>
  <c r="R118" i="3"/>
  <c r="U118" i="3"/>
  <c r="U75" i="3"/>
  <c r="R75" i="3"/>
  <c r="U68" i="3"/>
  <c r="R68" i="3"/>
  <c r="U108" i="3"/>
  <c r="R108" i="3"/>
  <c r="U104" i="3"/>
  <c r="R104" i="3"/>
  <c r="U30" i="3"/>
  <c r="R30" i="3"/>
  <c r="U109" i="3"/>
  <c r="R109" i="3"/>
  <c r="U83" i="3"/>
  <c r="R83" i="3"/>
  <c r="R81" i="3"/>
  <c r="U81" i="3"/>
  <c r="U98" i="3"/>
  <c r="R98" i="3"/>
  <c r="R21" i="3"/>
  <c r="U21" i="3"/>
  <c r="R113" i="3"/>
  <c r="U113" i="3"/>
  <c r="R103" i="3"/>
  <c r="U103" i="3"/>
  <c r="R46" i="3"/>
  <c r="U46" i="3"/>
  <c r="U41" i="3"/>
  <c r="T41" i="3"/>
  <c r="U88" i="3"/>
  <c r="R52" i="3"/>
  <c r="P52" i="3"/>
  <c r="R80" i="3"/>
  <c r="P80" i="3"/>
  <c r="U39" i="3"/>
  <c r="R39" i="3"/>
  <c r="U78" i="3"/>
  <c r="T78" i="3"/>
  <c r="U121" i="3"/>
  <c r="R121" i="3"/>
  <c r="U64" i="3"/>
  <c r="R64" i="3"/>
  <c r="R36" i="3"/>
  <c r="U36" i="3"/>
  <c r="U71" i="3"/>
  <c r="R71" i="3"/>
  <c r="R58" i="3"/>
  <c r="U58" i="3"/>
  <c r="R49" i="3"/>
  <c r="U49" i="3"/>
  <c r="U60" i="3"/>
  <c r="R60" i="3"/>
  <c r="U59" i="3"/>
  <c r="T59" i="3"/>
  <c r="U124" i="3"/>
  <c r="T124" i="3"/>
  <c r="U129" i="3"/>
  <c r="R129" i="3"/>
  <c r="U12" i="3"/>
  <c r="R12" i="3"/>
  <c r="U110" i="3"/>
  <c r="T110" i="3"/>
  <c r="R26" i="3"/>
  <c r="U26" i="3"/>
  <c r="U79" i="3"/>
  <c r="T79" i="3"/>
  <c r="R140" i="3"/>
  <c r="P147" i="3" l="1"/>
  <c r="P148" i="3" s="1"/>
  <c r="P149" i="3" s="1"/>
  <c r="T147" i="3"/>
  <c r="T148" i="3" s="1"/>
  <c r="T149" i="3" s="1"/>
</calcChain>
</file>

<file path=xl/sharedStrings.xml><?xml version="1.0" encoding="utf-8"?>
<sst xmlns="http://schemas.openxmlformats.org/spreadsheetml/2006/main" count="975" uniqueCount="500">
  <si>
    <t>FORMATO SOLICITUD DE COTIZACIÓN</t>
  </si>
  <si>
    <t>ALCALDÍA LOCAL DE ENGATIVA</t>
  </si>
  <si>
    <t>ADVERTENCIA</t>
  </si>
  <si>
    <t>La cotización recibida servira de base para la elaboración de un estudio de mercado, y por tanto, no constituye en si misma una oferta y consecuentemente NO obliga a ninguna de las partes.</t>
  </si>
  <si>
    <t>OBJETO</t>
  </si>
  <si>
    <t xml:space="preserve">PRESTAR LOS SERVICIOS PARA LA IMPLEMENTACIÓN DE ACCIONES ENCAMINADAS AL FORTALECIMIENTO DE CAPACIDADES COMUNITARIAS Y CIUDADANAS PARA LA PROMOCIÓN DE LA CORRESPONSABILIDAD EN LA GESTIÓN DE LA SEGURIDAD Y LA CONVIVENCIA, LA APROPIACIÓN DEL CÓDIGO NACIONAL DE SEGURIDAD Y CONVIVENCIA CIUDADANA Y LA APLICACIÓN DE ENFOQUES RESTAURATIVOS PARA LA PROMOCIÓN DE LA JUSTICIA Y EL CUIDADO DEL ESPACIO PÚBLICO Y EL MEDIO AMBIENTE.
</t>
  </si>
  <si>
    <t>VALIDEZ DE LA CONTRATACIÓN</t>
  </si>
  <si>
    <t>Se solicita que la cotización tenga validez minimo 3 Meses a partir de su expedición.</t>
  </si>
  <si>
    <t>ESPECIFICACIONES TECNICAS</t>
  </si>
  <si>
    <t>Para visualizar las especificaciones tecnicas dirijase a la pestaña Especificaciones Tecnicas</t>
  </si>
  <si>
    <t>CONDICIONES DE CONTRATACIÓN</t>
  </si>
  <si>
    <t>PLAZO</t>
  </si>
  <si>
    <t>CODIGOS UNSPSC</t>
  </si>
  <si>
    <t xml:space="preserve">SEGMENTO </t>
  </si>
  <si>
    <t>FAMILIA</t>
  </si>
  <si>
    <t>CLASE</t>
  </si>
  <si>
    <t xml:space="preserve">NOMBRE </t>
  </si>
  <si>
    <t>GESTION DE PROYECTOS</t>
  </si>
  <si>
    <t>DESARROLLO RECURSOS HUMANOS</t>
  </si>
  <si>
    <t>SERVICIOS DE PERSONAL TEMPORAL</t>
  </si>
  <si>
    <t>PUBLICIDAD IMPRESA</t>
  </si>
  <si>
    <t xml:space="preserve">PUBLICIDAD EN DIFUSION </t>
  </si>
  <si>
    <t>SERVICIOS EDUCATIVOS ESPECIALIZADOS</t>
  </si>
  <si>
    <t>SERVICIOS DE CATERING</t>
  </si>
  <si>
    <t xml:space="preserve">DESARROLLO SOCIAL Y SERVICIOS </t>
  </si>
  <si>
    <t>CULTURA</t>
  </si>
  <si>
    <t>ORGANIZACIONES NO GUBERNAMENTALES</t>
  </si>
  <si>
    <t>Solicita y elabora:</t>
  </si>
  <si>
    <t>Profesional de Planeación FDLE</t>
  </si>
  <si>
    <t>Revisó:</t>
  </si>
  <si>
    <t>ÍTEM</t>
  </si>
  <si>
    <t>MATERIALES E INSUMOS</t>
  </si>
  <si>
    <t>DESCRIPCIÓN</t>
  </si>
  <si>
    <t xml:space="preserve">CANTIDAD </t>
  </si>
  <si>
    <t>Unidad de medida</t>
  </si>
  <si>
    <t>Tiempo</t>
  </si>
  <si>
    <t>COMPONENTE GENERAL</t>
  </si>
  <si>
    <t>Recurso Humano - Coordinación General</t>
  </si>
  <si>
    <t>COORDINADOR GENERAL</t>
  </si>
  <si>
    <t>Profesional ciencias sociales y/o ciencias de la educación. Con un título de especialización en gerencia de servicios sociales. Profesional con mínimo CINCO (5) años de experiencia certificada. Dentro de la experiencia general se debe acreditar experiencia Específica de mínimo TRES (3) años en la ejecución de proyectos sociales.</t>
  </si>
  <si>
    <t>Unidades</t>
  </si>
  <si>
    <t>Meses</t>
  </si>
  <si>
    <t>PROFESIONAL DE APOYO - COMP. 1-2</t>
  </si>
  <si>
    <t>Profesional en ingenieria con experiencia profesional certificada de un años en gestión de proyectos de dotación técnologica e instalación de sistemas de seguridad</t>
  </si>
  <si>
    <t>PROFESIONAL DE APOYO - COMP. 3</t>
  </si>
  <si>
    <t>Profesional en áreas de las ciencias sociales con experiencia mínima de un año en proyectos sociales enfocados en prevención del delito y fortalecimiento de comercio seguro</t>
  </si>
  <si>
    <t>PROFESIONAL DE APOYO - COMP. 4</t>
  </si>
  <si>
    <t>Profesional en áreas de las ciencias sociales con experiencia mínima de un año en proyectos sociales enfocados en resolución de conflictos</t>
  </si>
  <si>
    <t>TÉCNICO ADMINISTRATIVO</t>
  </si>
  <si>
    <t>Técnico o Tecnólogo en gestión administrativa, gestión documental y/o archivística con un año de experiencia relacionada en gestión documental y seguimiento a proyectos de inversión.</t>
  </si>
  <si>
    <t>Presentación Pública</t>
  </si>
  <si>
    <t>LOCACIÓN</t>
  </si>
  <si>
    <t>Dias</t>
  </si>
  <si>
    <t>APOYO LOGISTICO</t>
  </si>
  <si>
    <t xml:space="preserve">Bachiller con seis meses de experiencia en acompañamiento a jornadas de protocolo y apoyo logistico a eventos de baja complejidad. </t>
  </si>
  <si>
    <t>Días</t>
  </si>
  <si>
    <t>INTERPRETE DE SEÑAS</t>
  </si>
  <si>
    <t>Interprete de lenguas de señas colombiana con experiencia mínima de seis (06) meses en servicios de interpretación de eventos.</t>
  </si>
  <si>
    <t>Día</t>
  </si>
  <si>
    <t>PRODUCCIONES D&amp;R</t>
  </si>
  <si>
    <t>LISTADOS DE ASISTENCIA</t>
  </si>
  <si>
    <t>Listados de asistencia, impresos a doble cara en papel bond tamaño carta 21.6 x 27.9 cm a blanco y negro.</t>
  </si>
  <si>
    <t>COMERCIAL PAPELERA</t>
  </si>
  <si>
    <t>AUROS</t>
  </si>
  <si>
    <t>APOYO GRÁFICO</t>
  </si>
  <si>
    <t>PLAN DE MEDIOS</t>
  </si>
  <si>
    <t>PLAN DE MEDIOS
ITEM NO OFERTABLE</t>
  </si>
  <si>
    <t>Implementación del Plan de Medios a desarrollar por parte del contratista, en el cual se deberá implementar en la localidad de Engativá con las siguientes caracteristicas:
- Uso de canales de comunicación segun se requiera: Medios impresos, Piezas Gráficas, Redes sociales, Radio Comunitario, Prensa Local, canales de whatsapp
- Plan de Medios Digital</t>
  </si>
  <si>
    <t>GLOBAL</t>
  </si>
  <si>
    <t>2262 - Fortaleciendo capacidades ciudadanas para que Engativá Camine Segura</t>
  </si>
  <si>
    <t>2262 - Meta 3228</t>
  </si>
  <si>
    <t>Componente 1 - Fortaleciendo la Seguridad de Mi Barrio y Mi Comunidad</t>
  </si>
  <si>
    <t>PROFESIONAL DE APOYO - CAPACITADOR</t>
  </si>
  <si>
    <t>Perfil de ciencias sociales, de derecho o afines, con dos años de experiencia profesional en temas relacionados con seguridad y defensa nacional, al igual que en formación en Código Penal y Código Nacional de Seguridad, Convivencia y Justicia</t>
  </si>
  <si>
    <t>Mes</t>
  </si>
  <si>
    <t>TÉCNICO DE APOYO</t>
  </si>
  <si>
    <t>Técnico en sistemas con dos años de experiencia relacionada y certificada en materia de manejo e instalación de sistemas de video vigilancia</t>
  </si>
  <si>
    <t>AUXILIAR ADMINISTRATIVO - ETAPA DE INSCRIPCIÓN</t>
  </si>
  <si>
    <t>Bachiller con experiencia mínima de un año en atención al usuario y servicio al cliente</t>
  </si>
  <si>
    <t>Personas</t>
  </si>
  <si>
    <t>CARTELES DE CONVOCATORIA</t>
  </si>
  <si>
    <t>Impresión de pieza gráfica con las siguientes caracteristicas
- Tamaño: 1/4 de pliego (35 × 50 cm)
- Papel: Propalcote mate
- Gramaje: 200 g/m²
- Impresión: Offset a full color (4x0)
- Color: CMYK
- Acabado: sin laminado o barniz UV
- Orientación: vertical
- Sangrado: 5 mm</t>
  </si>
  <si>
    <t>ZOOM CREATIVO 2025</t>
  </si>
  <si>
    <t>FUNDACIÓN GESTIÓN SOCIAL CON PROPÓSITO</t>
  </si>
  <si>
    <t>ASESOL</t>
  </si>
  <si>
    <t>MODULO DE INSCRIPCIÓN</t>
  </si>
  <si>
    <t>Compra de Punto de inscripción conformado por los siguientes elementos:
1. Modulo de inscripción:
- Dimensiones: Areá mínima (2m X 2m); Altura (2,20m a 2,50 m) 
- Estructura: modular/ desarmable
- Material: Aluminio, PVC o madera liviana
- Incluye superficie de apoyo (mostrador o mesa frontal)
- 3 a 4 Sillas
- Multitoma (6 puntos) y extensión electrica de mínimo 15 m de distancia.  
- Incluye pieza gráfica impresa de la convocatoria.</t>
  </si>
  <si>
    <t>FORMULARIO DE INSCRIPCIÓN</t>
  </si>
  <si>
    <t>Diseño e impresión de formularios de inscripción, impresos a doble cara en papel bond tamaño carta 21.6 x 27.9 cm a blanco y negro.
El paquete deberá incluir los siguientes formatos:
- Carta de radicación de postulante.
- Formato de inscripción, identificación y georeferenciación.</t>
  </si>
  <si>
    <t>SOBRE DE MANILA</t>
  </si>
  <si>
    <t>ESTACIÓN DE CAFÉ</t>
  </si>
  <si>
    <t>EVENTO CAPITAL</t>
  </si>
  <si>
    <t>EL CAFETAL</t>
  </si>
  <si>
    <t>LA VITTORIA</t>
  </si>
  <si>
    <t>REFRIGERIO</t>
  </si>
  <si>
    <t>PRODUCTO SOLIDO PRINCIPAL: Sándwich de jamón y queso de 300gms
UNA FRUTA DE TEMPORADA TIPO: Fruta individual (manzana, mandarina o pera)
BEBIDA TIPO: Mínimo 200 ml de contenido (envase tetra pack y/o botella plástica desechable) que contenga 14%
de fruta, 4,5% de calorías, sin conservantes ni sabores artificiales.
Nota: No bebidas azucaradas o procesados.
el refrigerio debe estar en empaque individual en bandeja elaborada en cartón 100 % reciclable y biodegradable,
debe ser balanceado y responder a la normatividad vigente en lo que corresponde a las características
organolépticas de conservación. Este debe incluir la transporte y entrega en el sitio de las reuniones</t>
  </si>
  <si>
    <t>ALMUERZO</t>
  </si>
  <si>
    <t>Almuerzo tipo box lunch. Cada almuerzo deberá contar con:
- Proteina (120 a 150 g)  (Opción entre pollo, res, cerdo u opción vegetariana)
- Acompañamiento de carbohidrato principal (120 a 150 g)
- Acompañamiento de vegetal o ensalada (80 a 100 g) 
- Postre individual (60 a 80 g) (Opción entre fruta fresca, torta individual, galleta o postre frio)
- Bebida individual (250 a 350 ml) (Envase tetra pack y/o botella plastica desechable)
- Empaque con tapa a base de bagazo de caña, carton craft o envase biodragradable.
- Incluye: Servilleta, set de cubiertos desechables biodegradables y sobre de sal y aderezo.
Incluye transporte y logistica de distribución durante la jornada</t>
  </si>
  <si>
    <t>Impresión de Listados de asistencia, impresos a doble cara en papel bond tamaño carta 21.6 x 27.9 cm a blanco y negro.</t>
  </si>
  <si>
    <t>CERTIFICADO DE PARTICIPACIÓN</t>
  </si>
  <si>
    <t>Diseño e impresión de certificado de participación con las siguientes caracteristicas:
- Impreso en papel opalina (250 g) tamaño carta (21,6 x 27,9 cm) en orientación horizontal.
- Cumplimiento con las caracteristicas de diseño y marca institucional establecidos por la oficina de prensa de la Alcaldía Local de Engativá</t>
  </si>
  <si>
    <t>MACRODEPORTES</t>
  </si>
  <si>
    <t>PAQUETE DE GEOREFERENCIACIÓN E INSTALACIÓN</t>
  </si>
  <si>
    <t>Diseño e impresión de Paquete de georeferenciación, impresos a doble cara en papel bond tamaño carta 21.6 x 27.9 cm a blanco y negro.
El paquete deberá incluir los siguientes formatos:
- Formato de georeferenciación (01 unidad).
- Formato de consentimiento (06 unidades).
- Formato de entrega de dotación e instalación</t>
  </si>
  <si>
    <t>CAMARAS DE SEGURIDAD</t>
  </si>
  <si>
    <r>
      <rPr>
        <sz val="11"/>
        <color rgb="FF000000"/>
        <rFont val="Arial Narrow"/>
      </rPr>
      <t xml:space="preserve">Compra de cámaras de seguridad con los siguientes aspectos:
</t>
    </r>
    <r>
      <rPr>
        <b/>
        <sz val="11"/>
        <color rgb="FF000000"/>
        <rFont val="Arial Narrow"/>
      </rPr>
      <t xml:space="preserve">
Especificaciones generales:
</t>
    </r>
    <r>
      <rPr>
        <sz val="11"/>
        <color rgb="FF000000"/>
        <rFont val="Arial Narrow"/>
      </rPr>
      <t xml:space="preserve">- Tipo: Bullet (Bala) Exterior
- Resolución: 8 MP/4K
- Visión Nocturna: IR (30 m mínimo)
- Protección IP67 (resistencia a lluvia y polvo)
- Lente 2,8 mm o 3,6 mm
- Sensor: CMOS
- Alimentación: 12V
</t>
    </r>
    <r>
      <rPr>
        <b/>
        <sz val="11"/>
        <color rgb="FF000000"/>
        <rFont val="Arial Narrow"/>
      </rPr>
      <t xml:space="preserve">
Incluye transporte donde se indique por parte del FONDO DE DESARROLLO LOCAL DE ENGATIVÁ</t>
    </r>
  </si>
  <si>
    <t>CRC COMUNICACIONES</t>
  </si>
  <si>
    <t>INTEGRALTECNOLOGIA</t>
  </si>
  <si>
    <t>DVR</t>
  </si>
  <si>
    <r>
      <rPr>
        <sz val="11"/>
        <color rgb="FF000000"/>
        <rFont val="Arial Narrow"/>
      </rPr>
      <t xml:space="preserve">Compra de DVR con los siguientes aspectos:
</t>
    </r>
    <r>
      <rPr>
        <b/>
        <sz val="11"/>
        <color rgb="FF000000"/>
        <rFont val="Arial Narrow"/>
      </rPr>
      <t xml:space="preserve">
Especificaciones generales:
</t>
    </r>
    <r>
      <rPr>
        <sz val="11"/>
        <color rgb="FF000000"/>
        <rFont val="Arial Narrow"/>
      </rPr>
      <t xml:space="preserve">- Sistema de 8 canales
- Compatibilidad TVI/AHD/CVI/CVBS
- Salida HDMI y VGA (mínimo)
- Compresión H,265
- Conexión RJ45 para internet
- 2 Puertos USB
- Soporte de disco duro de hasta 6 Tb
</t>
    </r>
    <r>
      <rPr>
        <b/>
        <sz val="11"/>
        <color rgb="FF000000"/>
        <rFont val="Arial Narrow"/>
      </rPr>
      <t xml:space="preserve">Elementos adicionales:
</t>
    </r>
    <r>
      <rPr>
        <sz val="11"/>
        <color rgb="FF000000"/>
        <rFont val="Arial Narrow"/>
      </rPr>
      <t xml:space="preserve">- Caja de seguridad metálica tipo Rack para protección de DVR (1 unidad)
- Cable ethernet con salidas de conexión (10 metros)
- Mouse con conexión usb (1 unidad)
- Cable HDMI de 10 metros (2 Unidades)
</t>
    </r>
    <r>
      <rPr>
        <b/>
        <sz val="11"/>
        <color rgb="FF000000"/>
        <rFont val="Arial Narrow"/>
      </rPr>
      <t>Incluye transporte donde se indique por parte del FONDO DE DESARROLLO LOCAL DE ENGATIVÁ</t>
    </r>
  </si>
  <si>
    <t>DISCO DURO</t>
  </si>
  <si>
    <t>MONITOR</t>
  </si>
  <si>
    <r>
      <rPr>
        <sz val="11"/>
        <color rgb="FF000000"/>
        <rFont val="Arial Narrow"/>
      </rPr>
      <t xml:space="preserve">Compra de monitor con las siguientes especificaciones:
- Tamano: 32 pulgadas
- Resolución 4K UHD (3840X2160)
- Panel IPS
- Brillo 300 - 350 cd/m2
- Relación de contraste: 1300:1 o superior
- Conectividad HDMI y Display port
- Frecuencia de actualización 75-100 Hz
- Angulo de visión: 178 grados horizontal y 178 grados vertical
</t>
    </r>
    <r>
      <rPr>
        <b/>
        <sz val="11"/>
        <color rgb="FF000000"/>
        <rFont val="Arial Narrow"/>
      </rPr>
      <t xml:space="preserve">
Incluye transporte donde se indique por parte del FONDO DE DESARROLLO LOCAL DE ENGATIVÁ</t>
    </r>
  </si>
  <si>
    <t xml:space="preserve">SPEED LOGIC </t>
  </si>
  <si>
    <t>DOT TECHNOLOGY</t>
  </si>
  <si>
    <t>ALKOMPRAR</t>
  </si>
  <si>
    <t>SISTEMA DE ALARMA</t>
  </si>
  <si>
    <r>
      <rPr>
        <sz val="11"/>
        <color rgb="FF000000"/>
        <rFont val="Arial Narrow"/>
      </rPr>
      <t xml:space="preserve">Compra de sisitema de alarma comprendido por los siguientes elementos:
</t>
    </r>
    <r>
      <rPr>
        <b/>
        <sz val="11"/>
        <color rgb="FF000000"/>
        <rFont val="Arial Narrow"/>
      </rPr>
      <t xml:space="preserve">Central de control (1 por sistema de alarma)
</t>
    </r>
    <r>
      <rPr>
        <sz val="11"/>
        <color rgb="FF000000"/>
        <rFont val="Arial Narrow"/>
      </rPr>
      <t xml:space="preserve">- Pantalla LCD de 2,3 pulgadas (mínimo)
- Soporte para mínimo 40 botones inhalambricos
- Configuración remota mediante SMS, aplicación covil o plataforma web
- Capacidad de envío de alertas a 8 números celulares
- Activación mediante boton de panico, aplicación movil, llamada perdida o SMS
- Modem GSM cuatribanda 850/900/1800/1900 Mhz o conexión wifi/internet
- Visualización de calidad de señal GSM o conectividad de red
- Salida a relevo para activación de sirena 110V o 12V
- Tiempo de activación programable
- Entrada para bateria de respaldo 12V
</t>
    </r>
    <r>
      <rPr>
        <b/>
        <sz val="11"/>
        <color rgb="FF000000"/>
        <rFont val="Arial Narrow"/>
      </rPr>
      <t xml:space="preserve">Sirena comunitaria (2 por sistema de alarma)
</t>
    </r>
    <r>
      <rPr>
        <sz val="11"/>
        <color rgb="FF000000"/>
        <rFont val="Arial Narrow"/>
      </rPr>
      <t xml:space="preserve">- Potencia mínima: 100-300 W
- Nivel de sonido mínimo: 120 a 130 dB
- Alimentación 110V o 12V
- Uso exterior con protección contra condiciones climaticas
- Carcasa metalica o material antivandalico
- Opción de baliza o luz estroboscopica para señalización visual
</t>
    </r>
    <r>
      <rPr>
        <b/>
        <sz val="11"/>
        <color rgb="FF000000"/>
        <rFont val="Arial Narrow"/>
      </rPr>
      <t xml:space="preserve">Botones de pánico (6 por sistema de alarma)
</t>
    </r>
    <r>
      <rPr>
        <sz val="11"/>
        <color rgb="FF000000"/>
        <rFont val="Arial Narrow"/>
      </rPr>
      <t xml:space="preserve">- Tecnologica inalámbrica RF
- Frecuencia 433 MHz o superior.
- Alcance mínimo de 70 metros en linea de vista
- Identificación individual del dispositivo
- Sistema anticlonación
- Diseño portatil tipo control remoto o llavero
</t>
    </r>
    <r>
      <rPr>
        <b/>
        <sz val="11"/>
        <color rgb="FF000000"/>
        <rFont val="Arial Narrow"/>
      </rPr>
      <t xml:space="preserve">Aplicación movil: Compatible con dispositivos Android e IOS.
</t>
    </r>
    <r>
      <rPr>
        <sz val="11"/>
        <color rgb="FF000000"/>
        <rFont val="Arial Narrow"/>
      </rPr>
      <t xml:space="preserve">
</t>
    </r>
    <r>
      <rPr>
        <b/>
        <sz val="11"/>
        <color rgb="FF000000"/>
        <rFont val="Arial Narrow"/>
      </rPr>
      <t xml:space="preserve">Sistema de alimentación y respaldo
</t>
    </r>
    <r>
      <rPr>
        <sz val="11"/>
        <color rgb="FF000000"/>
        <rFont val="Arial Narrow"/>
      </rPr>
      <t xml:space="preserve">- Alimentación principal 110V AC
- Bateria de respado 12V - Mínimo 7 Ah
- Autonomía mínima de 8 a 12 horas en caso de falla electrica
- Protección contra sobrecarga y cortocircuito
</t>
    </r>
    <r>
      <rPr>
        <b/>
        <sz val="11"/>
        <color rgb="FF000000"/>
        <rFont val="Arial Narrow"/>
      </rPr>
      <t>Incluye transporte donde se indique por parte del FONDO DE DESARROLLO LOCAL DE ENGATIVÁ</t>
    </r>
  </si>
  <si>
    <t>Paquetes</t>
  </si>
  <si>
    <t>ELEMENTOS DE CONEXIÓN</t>
  </si>
  <si>
    <t>KIT DE INSTALACIÓN</t>
  </si>
  <si>
    <t>Componente 2 - Formación para laPrevención de Riesgos en Seguridad y Convivencia Ciudadana</t>
  </si>
  <si>
    <t>PIEZAS TIPO FLYER</t>
  </si>
  <si>
    <t>Impresión de Flyer informativo, tamaño media carta (14 x 21,6 cm), impresión policromía por una cara en papel propalcote de 115 g o superior, resolución mínima de 300 dpi, con sangrado de 3 mm y diseño acorde a lineamientos de identidad gráfica institucional suministrados por la Alcaldía Local de Engativá.</t>
  </si>
  <si>
    <t>GELPER</t>
  </si>
  <si>
    <t>DESING EXPRESS</t>
  </si>
  <si>
    <t>TONO GRÁFICO DIGITAL</t>
  </si>
  <si>
    <t>PENDON ROLL-UP</t>
  </si>
  <si>
    <t>Impresión de Pendón tipo roll up de 85 x 200 cm, estructura retráctil en aluminio, impresión digital a full color en lona banner o material sintético de alta resistencia, con sistema de enrollado en base, mástil de soporte y bolsa de transporte.</t>
  </si>
  <si>
    <t>TECNICREAR 2025</t>
  </si>
  <si>
    <t>ASESOL COTIZACIÓN SALUD</t>
  </si>
  <si>
    <t>FUNDACIÓN COLOMBIA ÚTIL</t>
  </si>
  <si>
    <t>STIKER INFORMATIVO</t>
  </si>
  <si>
    <t>Impresión de Sticker informativo circular de 3 cm de diámetro, elaborado en vinilo adhesivo de alta calidad, impresión digital a full color con resolución mínima de 300 dpi, acabado brillante y corte troquelado de precisión. Diseñado para adherirse a superficies lisas y garantizar durabilidad y legibilidad.</t>
  </si>
  <si>
    <t>COMPUTADOR</t>
  </si>
  <si>
    <t>Compra de computador portátil con procesador Intel Core i5 de 10ª generación o superior, memoria RAM de 8GB DDR4 (ampliable a 16GB), unidad de estado sólido (SSD) de mínimo 256GB, gráficos integrados Intel UHD/Iris Xe, salida HDMI para conexión a proyector Full HD, sistema operativo Windows 11 profesional (64‑bits) preinstalado y conectividad USB 3.0, USB‑C y red LAN.</t>
  </si>
  <si>
    <t>CLIKEA</t>
  </si>
  <si>
    <t>SITECSAS</t>
  </si>
  <si>
    <t>FALABELLA</t>
  </si>
  <si>
    <t>PROYECTOR</t>
  </si>
  <si>
    <t>Compra de proyector multimedia con resolución nativa Full HD (1920 × 1080), brillo mínimo de 3.000 lúmenes ANSI, relación de contraste mínima de 10.000:1, relación de aspecto 16:9, capacidad de proyección entre 30 y 300 pulgadas, corrección trapezoidal vertical y horizontal, conectividad HDMI y USB, altavoz integrado, vida útil de lámpara mínima de 6.000 horas, apto para proyección de imágenes en superficies aproximadas de 2 m de alto por 3 m de ancho.</t>
  </si>
  <si>
    <t>SASAUDIVISUALES</t>
  </si>
  <si>
    <t>JFM TECHNOLOGY</t>
  </si>
  <si>
    <t>PARLANTE PORTATIL</t>
  </si>
  <si>
    <t>Compra de sistema de sonido portátil PA activo de mínimo 300 W RMS, con entrada de micrófono por cable (XLR/TRS) y línea/Aux, altavoces de 2 vías 50 Hz‑18 kHz, control de volumen independiente, batería recargable mayor a 6 horas y portabilidad.
Debe incluir cables, manual técnico y garantía mínima de 12 meses, entregándose probado y funcional.</t>
  </si>
  <si>
    <t>AVPRO COLOMBIA</t>
  </si>
  <si>
    <t>PROSOUND SAS</t>
  </si>
  <si>
    <t>ERA ELECTRONICA</t>
  </si>
  <si>
    <t>ESTACIÓN DE ENERGIA</t>
  </si>
  <si>
    <t>Compra de estación de energía portátil de mínimo 700 Wh, con tomas AC de onda sinusoidal pura (≥500 W nominal, pico ≥1000 W), puertos USB y DC, protección contra sobrecarga, cortocircuito y sobrecalentamiento, indicadores de batería y ventilación eficiente. Debe ser transportable (asas o ruedas) y recargable por AC, vehículo 12 V o panel solar, incluyendo cables y manual.</t>
  </si>
  <si>
    <t xml:space="preserve">ALKOSTO </t>
  </si>
  <si>
    <t>dronenerdslatam</t>
  </si>
  <si>
    <t>skymotion</t>
  </si>
  <si>
    <t>EXTENSIÓN</t>
  </si>
  <si>
    <t>Compra de extensión eléctrica de 15 m con cable de cobre calibre mínimo 14 AWG (2,5 mm²) con aislamiento reforzado, con enchufe macho con toma a tierra</t>
  </si>
  <si>
    <t>OLIMPICA</t>
  </si>
  <si>
    <t>LEVALLEJO</t>
  </si>
  <si>
    <t>MULTITOMA</t>
  </si>
  <si>
    <t>Compra de multitoma hembra de 5-6 salidas con toma a tierra, capaz de soportar corriente mínima de 10 A y equipada con protección térmica contra sobrecarga y cortocircuito. La multitoma debe incluir protección contra sobretensión opcional para los equipos electrónicos sensibles y cumplir con normas de seguridad certificadas.</t>
  </si>
  <si>
    <t>MUNDILUZ</t>
  </si>
  <si>
    <t>EASY</t>
  </si>
  <si>
    <t>JUMBO</t>
  </si>
  <si>
    <t>PANTALLA</t>
  </si>
  <si>
    <t>Compra de pantalla para proyector Full HD de 80 a 120 pulgadas de diagonal (16:9), con superficie blanca mate o gris antirreflectante, ganancia 1.0–1.2, ángulo de visión amplio y soporte manual o trípode portátil</t>
  </si>
  <si>
    <t xml:space="preserve">FLAMINGO </t>
  </si>
  <si>
    <t>HOMECENTER</t>
  </si>
  <si>
    <t xml:space="preserve">KATRONIX </t>
  </si>
  <si>
    <t>ELEMENTOS DE APOYO</t>
  </si>
  <si>
    <t xml:space="preserve">Compra de elementos generales de uso:
- Microfonos dinámicos con cable y patrón cardioide (2 unidades)
- Mouse optico o laser USB (1 unidad)
- Memorias USB de 16GB (2 Unidades)
- Cable de audio Jack de 3,5 mm o RCA (1 unidad)
- Cable HDMI de 5 metros mínimo (1 unidad) </t>
  </si>
  <si>
    <t>DADO DIDACTICO</t>
  </si>
  <si>
    <t>Compra de un dado didactico con las siguientes caracteristicas:
• Tamaño: pequeño o mediano, entre 7 cm o más de arista, fácil de manipular con ambas manos.
• Material: plástico resistente o goma EVA, seguro para niños y adultos.
• Acabado: borde liso, no cortante, con números o símbolos legibles.
• Color: multicolor o con contraste suficiente para identificación rápida de caras.
• Peso: ligero, para facilitar lanzamiento y manejo con ambas manos.</t>
  </si>
  <si>
    <t>POST-IT</t>
  </si>
  <si>
    <t>Compra de Post-It con las siguientes caracteristicas:
• Cantidad: mínimo 100 hojas por paquete.
• Tamaño: 7,5 cm × 7,5 cm o equivalente estándar.
• Adhesivo: removible, sin dejar residuos, con buena adherencia en papel, madera o superficies lisas.
• Color: preferiblemente multicolor o llamativo para visibilidad.
• Material: papel reciclable o de buena calidad para escritura con bolígrafo, marcador o lápiz.</t>
  </si>
  <si>
    <t xml:space="preserve">Grafitos </t>
  </si>
  <si>
    <t>falabela</t>
  </si>
  <si>
    <t>MARCADORES BORRABLES</t>
  </si>
  <si>
    <t>Compra de Caja contenedora de cuatro marcadores de tinta borrable a base de alcohol o agua, con punta de fibra resistente de 0,5 a 2 mm según modelo; cuerpo cilíndrico de plástico con tapa de cierre seguro; tinta recargable y borrable en pizarras blancas, vidrio y superficies no porosas; colores disponibles generalmente negro, azul, rojo y verde.</t>
  </si>
  <si>
    <t xml:space="preserve">Exito </t>
  </si>
  <si>
    <t xml:space="preserve">comercial papeleria 24 </t>
  </si>
  <si>
    <t xml:space="preserve">carrulla </t>
  </si>
  <si>
    <t>BALON DE GOMA</t>
  </si>
  <si>
    <t>Compra de Balón de goma rebotable de 15–20 cm de diámetro y 150–250 g, fabricado en goma flexible, antideslizante y no tóxica, con capacidad de rebote en superficies planas, colores visibles y seguro para manipulación con ambas manos por niños, resistente a golpes y uso frecuente en interiores y exteriores.</t>
  </si>
  <si>
    <t>deportesregol.</t>
  </si>
  <si>
    <t>tienda.excelsport</t>
  </si>
  <si>
    <t>2539 - Seguridad y convivencia para Engativá</t>
  </si>
  <si>
    <t>2539 - Meta 3235</t>
  </si>
  <si>
    <t>Componente 3 - Mi Comercio Seguro</t>
  </si>
  <si>
    <t>ENCUESTADORES/SENSIBILIZADORES</t>
  </si>
  <si>
    <t>Bachilleres con experiencia mínima de un año en servicio al cliente y promoción de campañas puerta a puerta, en el que se cuente con mínimo seis meses de experiencia relacionada con el desarrollo de encuestas a personas de manera presencial.</t>
  </si>
  <si>
    <t>CHALECOS</t>
  </si>
  <si>
    <r>
      <rPr>
        <sz val="11"/>
        <color rgb="FF000000"/>
        <rFont val="Arial Narrow"/>
      </rPr>
      <t xml:space="preserve">Compra de chaleco tipo térmico y resistente al agua:
</t>
    </r>
    <r>
      <rPr>
        <b/>
        <sz val="11"/>
        <color rgb="FF000000"/>
        <rFont val="Arial Narrow"/>
      </rPr>
      <t>Material</t>
    </r>
    <r>
      <rPr>
        <sz val="11"/>
        <color rgb="FF000000"/>
        <rFont val="Arial Narrow"/>
      </rPr>
      <t xml:space="preserve">:
- Exterior: Poliéster o nylon resistente al agua (waterproof) de alta durabilidad.
- Interior: Forro térmico o acolchado de poliéster que retenga el calor.
</t>
    </r>
    <r>
      <rPr>
        <b/>
        <sz val="11"/>
        <color rgb="FF000000"/>
        <rFont val="Arial Narrow"/>
      </rPr>
      <t>Caracteristicas</t>
    </r>
    <r>
      <rPr>
        <sz val="11"/>
        <color rgb="FF000000"/>
        <rFont val="Arial Narrow"/>
      </rPr>
      <t>:
- Corte cómodo y ergonómico que permita libertad de movimiento.
- Cierre frontal con cremallera resistente de alta calidad.
- Cuello alto para protección contra el viento y frío.
- Bolsillos delanteros con cierre o velcro para almacenamiento seguro.
- Opcional: Capucha plegable y ajustable, si es para exteriores.
- Costuras reforzadas y resistentes a la fricción y al uso constante.
- Incluye estampado de logos correspondiente al componente y de identificación de la Alcaldía Local de Engativá</t>
    </r>
  </si>
  <si>
    <t>DWORK</t>
  </si>
  <si>
    <t>DOTACIONES Y UNIFORMES</t>
  </si>
  <si>
    <t>CAMISAS BLANCAS</t>
  </si>
  <si>
    <r>
      <rPr>
        <sz val="11"/>
        <color rgb="FF000000"/>
        <rFont val="Arial Narrow"/>
      </rPr>
      <t xml:space="preserve">Compra de Camisa blanca con las siguientes caracteristicas:
</t>
    </r>
    <r>
      <rPr>
        <b/>
        <sz val="11"/>
        <color rgb="FF000000"/>
        <rFont val="Arial Narrow"/>
      </rPr>
      <t xml:space="preserve">
Material:
</t>
    </r>
    <r>
      <rPr>
        <sz val="11"/>
        <color rgb="FF000000"/>
        <rFont val="Arial Narrow"/>
      </rPr>
      <t xml:space="preserve">- Algodón 100% o mezcla de algodón con poliéster (para mayor durabilidad y facilidad de lavado).
- Tela transpirable, suave al tacto y resistente al desgaste.
</t>
    </r>
    <r>
      <rPr>
        <b/>
        <sz val="11"/>
        <color rgb="FF000000"/>
        <rFont val="Arial Narrow"/>
      </rPr>
      <t>Diseño</t>
    </r>
    <r>
      <rPr>
        <sz val="11"/>
        <color rgb="FF000000"/>
        <rFont val="Arial Narrow"/>
      </rPr>
      <t>:
- Corte clásico.
- Cuello estructurado tipo clásico o inglés.
- Mangas largas con puños ajustables con botones.
- Cierre frontal con botones resistentes, de buena calidad.
- Espalda lisa o con pinzas para mejor ajuste y comodidad.
- Incluye estampado de logos correspondiente al componente y de identificación de la Alcaldía Local de Engativá</t>
    </r>
  </si>
  <si>
    <t>LOS CABALLEROS</t>
  </si>
  <si>
    <t>SI COLLEGE</t>
  </si>
  <si>
    <t>MACONGA</t>
  </si>
  <si>
    <t>GORRAS</t>
  </si>
  <si>
    <r>
      <t xml:space="preserve">Compra de Gorras blancas con las siguientes caracteristicas
</t>
    </r>
    <r>
      <rPr>
        <b/>
        <sz val="11"/>
        <color rgb="FF000000"/>
        <rFont val="Arial Narrow"/>
        <family val="2"/>
      </rPr>
      <t xml:space="preserve">Material:
</t>
    </r>
    <r>
      <rPr>
        <sz val="11"/>
        <color rgb="FF000000"/>
        <rFont val="Arial Narrow"/>
        <family val="2"/>
      </rPr>
      <t xml:space="preserve">- Confeccionada en algodón, poliéster o mezcla de ambos para mayor durabilidad y comodidad.
- Tela ligera, transpirable y resistente al desgaste.
</t>
    </r>
    <r>
      <rPr>
        <b/>
        <sz val="11"/>
        <color rgb="FF000000"/>
        <rFont val="Arial Narrow"/>
        <family val="2"/>
      </rPr>
      <t xml:space="preserve">Diseño:
</t>
    </r>
    <r>
      <rPr>
        <sz val="11"/>
        <color rgb="FF000000"/>
        <rFont val="Arial Narrow"/>
        <family val="2"/>
      </rPr>
      <t xml:space="preserve">- Estilo clásico de cinco o seis paneles.
- Visera curva o plana según preferencia.
- Parte trasera con ajuste regulable (velcro, hebilla metálica o plástico) para diferentes tallas.
</t>
    </r>
    <r>
      <rPr>
        <b/>
        <sz val="11"/>
        <color rgb="FF000000"/>
        <rFont val="Arial Narrow"/>
        <family val="2"/>
      </rPr>
      <t xml:space="preserve">Acabado y confección:
</t>
    </r>
    <r>
      <rPr>
        <sz val="11"/>
        <color rgb="FF000000"/>
        <rFont val="Arial Narrow"/>
        <family val="2"/>
      </rPr>
      <t>- Costuras reforzadas en paneles y visera para mayor resistencia.
- Interior con banda absorbente.
- Botón superior opcional en el centro de la gorra.
- Incluye estampado de logos correspondiente al componente y de identificación de la Alcaldía Local de Engativá</t>
    </r>
  </si>
  <si>
    <t>BRANDDU</t>
  </si>
  <si>
    <t>PUBLICITAR</t>
  </si>
  <si>
    <t>CARNET DE IDENTIFICACIÓN</t>
  </si>
  <si>
    <r>
      <t xml:space="preserve">Compra de carnet de identificación con las siguientes caracteristicas
</t>
    </r>
    <r>
      <rPr>
        <b/>
        <sz val="11"/>
        <color rgb="FF000000"/>
        <rFont val="Arial Narrow"/>
        <family val="2"/>
      </rPr>
      <t xml:space="preserve">
Material:</t>
    </r>
    <r>
      <rPr>
        <sz val="11"/>
        <color rgb="FF000000"/>
        <rFont val="Arial Narrow"/>
        <family val="2"/>
      </rPr>
      <t xml:space="preserve">
- Plástico PVC de alta resistencia, flexible y durable.
- Grosor estándar entre 0.76 mm y 1 mm para mayor durabilidad.
</t>
    </r>
    <r>
      <rPr>
        <b/>
        <sz val="11"/>
        <color rgb="FF000000"/>
        <rFont val="Arial Narrow"/>
        <family val="2"/>
      </rPr>
      <t xml:space="preserve">Diseño y acabado:
</t>
    </r>
    <r>
      <rPr>
        <sz val="11"/>
        <color rgb="FF000000"/>
        <rFont val="Arial Narrow"/>
        <family val="2"/>
      </rPr>
      <t>- Rectangular, tamaño estándar 8.5 cm x 5.4 cm (tamaño tarjeta de crédito).
- Impresión a color o monocromática con alta definición.
- Superficie laminada para protección contra rayones, humedad y desgaste.
- Espacio para foto del titular, nombre completo, cargo, identificación y logotipo institucional del contratista y el proceso.</t>
    </r>
  </si>
  <si>
    <t>CRECE SAS</t>
  </si>
  <si>
    <t xml:space="preserve">CLINICA VETERINARIA ANIMAL CITY SAS </t>
  </si>
  <si>
    <t>PORTACARNET</t>
  </si>
  <si>
    <r>
      <t xml:space="preserve">Compra de portacarnet con las siguientes caracteristicas:
</t>
    </r>
    <r>
      <rPr>
        <b/>
        <sz val="11"/>
        <color rgb="FF000000"/>
        <rFont val="Arial Narrow"/>
        <family val="2"/>
      </rPr>
      <t xml:space="preserve">
Material:
</t>
    </r>
    <r>
      <rPr>
        <sz val="11"/>
        <color rgb="FF000000"/>
        <rFont val="Arial Narrow"/>
        <family val="2"/>
      </rPr>
      <t xml:space="preserve">- PVC, polipropileno, acrílico o vinilo transparente resistente.
</t>
    </r>
    <r>
      <rPr>
        <b/>
        <sz val="11"/>
        <color rgb="FF000000"/>
        <rFont val="Arial Narrow"/>
        <family val="2"/>
      </rPr>
      <t xml:space="preserve">Diseño y funcionalidad:
</t>
    </r>
    <r>
      <rPr>
        <sz val="11"/>
        <color rgb="FF000000"/>
        <rFont val="Arial Narrow"/>
        <family val="2"/>
      </rPr>
      <t>- Transparente para visualizar la información sin retirar el carnet.
- Ranura superior o lateral para enganchar cordón, clip o gancho retráctil.
- Posibilidad de incluir clip metálico, pin o cordón para colgar del cuello.</t>
    </r>
  </si>
  <si>
    <t>KOJAK GRAPHIC</t>
  </si>
  <si>
    <t>SUESCUN</t>
  </si>
  <si>
    <t>GRAFITOS</t>
  </si>
  <si>
    <t>VEHICULO</t>
  </si>
  <si>
    <t>Alquiler (5 horas por jornada) de vehiculo tipo camioneta con capacidad para 5 a 8 personas, modelo 2016 en adelante, con aire acondicionado. Debe contar con documentación al día (SOAT y revisión técnico-mecánica) y cumplir con los requisitos técnicos del Ministerio de Transporte según la resolución 3753 de 2015.
Si se transportan niños, el vehículo debe incluir dispositivos de seguridad apropiados (cinturones o sillas según la norma NTC 2919:1991) y los permisos especiales necesarios.</t>
  </si>
  <si>
    <t>Jornadas</t>
  </si>
  <si>
    <r>
      <t>Compra de Camisa blanca con las siguientes caracteristicas:</t>
    </r>
    <r>
      <rPr>
        <b/>
        <sz val="11"/>
        <color rgb="FF000000"/>
        <rFont val="Arial Narrow"/>
        <family val="2"/>
      </rPr>
      <t xml:space="preserve">
Material:
</t>
    </r>
    <r>
      <rPr>
        <sz val="11"/>
        <color rgb="FF000000"/>
        <rFont val="Arial Narrow"/>
        <family val="2"/>
      </rPr>
      <t xml:space="preserve">- Algodón 100% o mezcla de algodón con poliéster (para mayor durabilidad y facilidad de lavado).
- Tela transpirable, suave al tacto y resistente al desgaste.
</t>
    </r>
    <r>
      <rPr>
        <b/>
        <sz val="11"/>
        <color rgb="FF000000"/>
        <rFont val="Arial Narrow"/>
        <family val="2"/>
      </rPr>
      <t>Diseño</t>
    </r>
    <r>
      <rPr>
        <sz val="11"/>
        <color rgb="FF000000"/>
        <rFont val="Arial Narrow"/>
        <family val="2"/>
      </rPr>
      <t>:
- Corte clásico.
- Cuello estructurado tipo clásico o inglés.
- Mangas largas con puños ajustables con botones.
- Cierre frontal con botones resistentes, de buena calidad.
- Espalda lisa o con pinzas para mejor ajuste y comodidad.
- Incluye estampado de logos correspondiente al componente y de identificación de la Alcaldía Local de Engativá</t>
    </r>
  </si>
  <si>
    <t>BOLSA TIPO TULA</t>
  </si>
  <si>
    <t>Compra de bolsa tipo Tula o bolso tipo morral con las siguientes caracteristicas:
Material: Tela ecológica, lona o poliéster resistente.
Tamaño: Aproximadamente 35 x 40 cm.
Diseño: Con cordón ajustable y estampado alusivo al proyecto "MI COMERCIO SEGURO"</t>
  </si>
  <si>
    <t>MEDIOS LORD</t>
  </si>
  <si>
    <t xml:space="preserve">NEITH COMERCIALIZADORA </t>
  </si>
  <si>
    <t>CUADERNO TIPO AGENDA</t>
  </si>
  <si>
    <t>Diseño e Impresión de libretas con las siguientes caracteristicas: 
- Tamaño: 14 cm x 21.5 cm cerrado 
- Páginas: 100 impresión a 1 tintas 
- Papel: bond de 90 gr. 
- Carátula en propalcote de 200 gr. Impresión 4x4 tintas Cosida con dos anchos al caballete. 
Debe incluir la imagen institucional Alcaldía Local de Engativá y tres separadores en propalcote de 90 gramos</t>
  </si>
  <si>
    <t>ESFEROS</t>
  </si>
  <si>
    <t xml:space="preserve">Compra y diseño de Esfero o bolígrafo de tinta gel de punta superfina (0.5 mm). con bola de carburo de tungsteno o acero, resistente al desgaste.Tinta de gel a base de agua de color negro y cuerpo en plástico con diseño ergonomico con mensajes alusivos a la estrategia "Mi Comercio Seguro". </t>
  </si>
  <si>
    <t>POSTER</t>
  </si>
  <si>
    <t>Impresión de pieza gráfica tipo poster con las siguientes caracteristicas
- Tamaño: 1/8 de pliego (21 cm × 14,8 cm)
- Papel: Propalcote mate
- Gramaje: 200 g/m²
- Impresión: Offset a full color (4x0)
- Color: CMYK
- Acabado: sin laminado o barniz UV
- Orientación: vertical
- Sangrado: 5 mm</t>
  </si>
  <si>
    <t>D.O. NEITH</t>
  </si>
  <si>
    <t>MACRODEPORTES 2026</t>
  </si>
  <si>
    <t>Sticker informativo de dimensiones 13,9 cm x 10,8 cm, elaborado en vinilo adhesivo de alta calidad, impresión digital a full color con resolución mínima de 300 dpi, acabado brillante y corte troquelado de precisión. Diseñado para adherirse a superficies lisas y garantizar durabilidad y legibilidad.</t>
  </si>
  <si>
    <t>2539 - Meta 3234</t>
  </si>
  <si>
    <t>Componente 4 - Fortalciendo Espacios para la Promoción del Acceso a la Justicia</t>
  </si>
  <si>
    <t xml:space="preserve">Alquiler de estación de café con capacidad para suministrar bebidas calientes. Deberá contar con las siguientes especificaciones:
- Capacidad para 30 personas
- Debe contar con dispensadores térmicos de café y agua caliente, vasos ecologicos biodegradables (capacidad entre 6 y 8 Oz), mezcladores ecológicos biodegradables (12 a 14 cm), sobres individuales de azucar o endulsante y sobres individuales de crema y té.
- Debe contar con bandejas de productos de panaderia variados.
- Incluirá mesa de servicio, mantel o faldon, recipientes para sobres y mezcladores, servilletas y basureras cercanas. 
Incluye persona de servicio y costos de desplazamiento de montaje y desmonte respectivo. </t>
  </si>
  <si>
    <t>Refrigerio debidamente empacado en bolsa o caja ecologica y comprendido por:
- Carbohidato de 300 g, empaquetado en bolsa sellada
- Bebida: Mínimo 200 ml de contenido (envase tetra pack y/o botella plástica desechable)
- Fruta entera de cosecha 
- Dulce o caramelo</t>
  </si>
  <si>
    <t>COMPUTADOR PORTATIL</t>
  </si>
  <si>
    <t>Compra de Computador portátil con procesador Intel Core i5 de 10ª generación o superior, memoria RAM de 8GB DDR4 (ampliable a 16GB), unidad de estado sólido (SSD) de mínimo 256GB, gráficos integrados Intel UHD/Iris Xe, salida HDMI para conexión a proyector Full HD, sistema operativo Windows 11 profesional (64‑bits) preinstalado y conectividad USB 3.0, USB‑C y red LAN.</t>
  </si>
  <si>
    <t>AP COMPUTADORES</t>
  </si>
  <si>
    <t xml:space="preserve">FALABELLA </t>
  </si>
  <si>
    <t>COMPULAGO</t>
  </si>
  <si>
    <t>LICENCIA OFFICE 2021</t>
  </si>
  <si>
    <t>Compra de licencia Microsoft Office 2021 Home &amp; Student: Licencia permanente para 1 usuario / 1 dispositivo (PC o Mac). Incluye aplicaciones Microsoft Word, Microsoft Excel y Microsoft PowerPoint. Compatible con Windows 10, Windows 11 y macOS.</t>
  </si>
  <si>
    <t>IMPRESORA MULTIFUNCIONAL</t>
  </si>
  <si>
    <t>Compra de impresora multifuncional de inyección de tinta con sistema de tanques recargables CMYK de alta capacidad (70–150 ml por color), rendimiento aproximado de 6.000 páginas en negro y 7.500 páginas a color, resolución de impresión de hasta 4800 × 1200 dpi, velocidad de 10–15 ppm en negro y 5–10 ppm en color, escáner plano de 1200 × 2400 dpi compatible con PDF, JPEG, TIFF y PNG, funciones de copiado con zoom 25–400%, conectividad USB 2.0/3.0, Wi-Fi, Wi-Fi Direct y compatibilidad con impresión móvil (AirPrint, Google Cloud Print, Mopria), pantalla LCD táctil con botones de función rápida, bandeja de entrada de 100–250 hojas y salida de 50–100 hojas, soporte para formatos A4, A5, Carta y 10×15 cm, impresión dúplex automática opcional, bajo consumo energético (10–15 W operación, &lt;2 W reposo), dimensiones 375 × 300 × 180 mm y peso aproximado de 4–6 kg.</t>
  </si>
  <si>
    <t>ESCRITORIO DE OFICINA</t>
  </si>
  <si>
    <t>Compra de Escritorio de oficina individual recto, con tablero de MDF o aglomerado laminado resistente a rayones y humedad, bordes de PVC o ABS y estructura metálica o de madera maciza. Dimensiones aproximadas: 120–180 cm de ancho, 60–80 cm de profundidad y 72–75 cm de altura, con espacio ergonómico para piernas y teclado. Capacidad de carga de 80–120 kg distribuidos, con cajones o lockers integrados (opcionales), canaletas para gestión de cables y acabados en madera, blanco, gris o negro. Incluye niveladores para estabilidad, fácil montaje y mantenimiento, con superficie apta para computadoras, monitores y documentos.</t>
  </si>
  <si>
    <t>SILLA EJECUTIVA</t>
  </si>
  <si>
    <t>Compra de Silla ejecutiva/operativa de oficina con respaldo medio-alto en malla transpirable y asiento acolchado con espuma de densidad media cubierta en tela negra, apoyabrazos fijos de plástico resistente y base giratoria de cinco radios en acero cromado con ruedas de 360° para movilidad sobre superficies duras o alfombra ligera. Incluye ajuste de altura del asiento mediante pistón a gas y respaldo con ligera inclinación limitada, con dimensiones aproximadas de altura total 95–105 cm, altura del asiento 45–55 cm, ancho del asiento 50–55 cm, profundidad del asiento 50–55 cm y altura del respaldo 50–60 cm. Capacidad de carga de 100–120 kg, acabado cromado en base, diseño moderno y profesional, giratoria 360° y superficie transpirable para confort en uso prolongado.</t>
  </si>
  <si>
    <t>SILLA OPERATIVA</t>
  </si>
  <si>
    <t>Compra de Silla operativa o de visita con estructura fija de cuatro patas en acero tubular pintado, asiento y respaldo acolchados con espuma de densidad media y tapizados en tela negra resistente al desgaste, respaldo ligeramente curvado para soporte lumbar básico y asiento con bordes redondeados. capacidad de carga aproximada de 100 kg y acabado duradero para uso prolongado.</t>
  </si>
  <si>
    <t xml:space="preserve">HOMECENTER </t>
  </si>
  <si>
    <t>ergopro</t>
  </si>
  <si>
    <t>Compra de Multitoma hembra de 5-6 salidas con toma a tierra, capaz de soportar corriente mínima de 10 A y equipada con protección térmica contra sobrecarga y cortocircuito. La multitoma debe incluir protección contra sobretensión opcional para los equipos electrónicos sensibles y cumplir con normas de seguridad certificadas.</t>
  </si>
  <si>
    <t>CHAQUETA</t>
  </si>
  <si>
    <t>IZACK STORE</t>
  </si>
  <si>
    <t>PENDON</t>
  </si>
  <si>
    <t>Pendón publicitario tipo araña (X-banner) portátil y auto‑soportado, con varillas flexibles de fibra de vidrio o aluminio ligero y conector central resistente que mantiene la tensión del banner. Dimensiones aproximadas del banner de 60–80 cm de ancho por 160–200 cm de alto, fabricado en lona vinílica, poliéster o tela sintética resistente, con impresión digital a full color y bordes reforzados con ojales o fundas para su fijación. Base con sistema de tensado en “X” o trípode ajustable y antideslizante, ligero (≤ 2 kg) y de fácil armado/desarmado sin herramientas, incluye opción de funda de transporte. Impresión a color de alta resolución (mínimo 1440 dpi), resistente a rayos UV y humedad según material, ideal para uso en interiores o exteriores protegidos, ferias, stands, exhibiciones, promociones y eventos corporativos, con accesorios opcionales como bolsa de transporte, kit de montaje rápido y repuestos de varillas.</t>
  </si>
  <si>
    <t>RESMAS DE PAPEL CARTA</t>
  </si>
  <si>
    <t>Compra de Resma de papel para impresión estándar en formato carta (216 × 279 mm), con gramaje de 75–90 g/m², espesor de 0,1–0,11 mm por hoja, y blancura de 90–98 CIE, por 500 hojas</t>
  </si>
  <si>
    <t>papeleriasuescun</t>
  </si>
  <si>
    <t xml:space="preserve"> Papelería La Gran 12</t>
  </si>
  <si>
    <t>lagarza</t>
  </si>
  <si>
    <t>RESMAS DE PAPEL OFICIO</t>
  </si>
  <si>
    <t>Compra de Resma de papel para impresión estándar en formato carta oficio (216 × 356 mm), con gramaje de 75–90 g/m², espesor de 0,1–0,11 mm por hoja, y blancura de 90–98 CIE, por 500 hojas</t>
  </si>
  <si>
    <t>CAJA DE ESFEROS</t>
  </si>
  <si>
    <t>Compra de Esfero o bolígrafo de tinta gel de punta superfina (0.5 mm). con bola de carburo de tungsteno o acero, resistente al desgaste.Tinta de gel a base de agua de color negro y cuerpo en plástico con diseño ergonomico con mensajes alusivos a la Alcaldía Local de Engativá (Caja X 36 Unidades).</t>
  </si>
  <si>
    <t>HUELLERO</t>
  </si>
  <si>
    <t>Compra de Huellero dactilar en tinta para captura de huellas digitales sobre papel, con almohadilla redonda de tinta negra recargable y tapa de protección.</t>
  </si>
  <si>
    <t xml:space="preserve">Pelikancolombia </t>
  </si>
  <si>
    <t xml:space="preserve">trazzos </t>
  </si>
  <si>
    <t>CINTA GRUESA TRANSPARENTE</t>
  </si>
  <si>
    <t>Compra de Cinta adhesiva transparente de alta resistencia, elaborada en película de polipropileno biorientado (BOPP) o material equivalente, con adhesivo acrílico o hot melt de alta adherencia que garantice fijación firme sobre superficies como papel, cartón, plástico y materiales lisos. Debe contar con ancho aproximado entre 48 mm y 50 mm (cinta gruesa) y longitud mínima de 40 a 100 metros por rollo, con espesor mínimo de 40 micras que proporcione buena resistencia a la tensión y al rasgado.</t>
  </si>
  <si>
    <t>papyser</t>
  </si>
  <si>
    <t>ferricentro.</t>
  </si>
  <si>
    <t>CAJA DE CLIPS SENCILLO</t>
  </si>
  <si>
    <t>Compra de Caja de clips sencillo: Caja de clips metálicos tipo “sencillo” o “normal”, fabricados en acero con recubrimiento anticorrosión; tamaño estándar de 28 mm a 50 mm según modelo; acabado liso o cromado x 100 unidades</t>
  </si>
  <si>
    <t xml:space="preserve">EXITO </t>
  </si>
  <si>
    <t xml:space="preserve">CARULLA </t>
  </si>
  <si>
    <t xml:space="preserve">CARTELENLINEA </t>
  </si>
  <si>
    <t>CAJA DE CLIPS MARIPOSA</t>
  </si>
  <si>
    <t>Compra de Caja de clips mariposa: Caja de clips metálicos tipo “mariposa” o “binder clip”, fabricados en acero con recubrimiento anticorrosión y brazos de acero niquelado; tamaño estándar desde 19 mm hasta 51 mm según modelo; acabado negro o cromado x 50 unidades.</t>
  </si>
  <si>
    <t>cartelenlinea</t>
  </si>
  <si>
    <t>detalshop</t>
  </si>
  <si>
    <t>papelerialagran12</t>
  </si>
  <si>
    <t>CARPETAS</t>
  </si>
  <si>
    <t>Compra de Carpetas tamaño oficio (216 × 340 mm): tipo carpeta de cartón kraft, con material resistente y rigidez media, perforadas para sistema de sujetadores o broches metálicos internos; color natural kraft; acabado mate, aptas para organizar y archivar documentos sueltos, capacidad de almacenamiento de 50 a 200 hojas (Paquete por 50 Unidades).</t>
  </si>
  <si>
    <t>GANCHOS DE PLASTICO</t>
  </si>
  <si>
    <t>Compra de Ganchos de plástico para carpetas  fabricados en polipropileno rígido, sistema de cierre tradicional con desplazamiento de bisagra, compatibles con perforaciones estándar de la carpeta y capacidad de sujetar entre 250 hojas según grosor (Paquete x 20 unidades</t>
  </si>
  <si>
    <t>garabatospapeleria</t>
  </si>
  <si>
    <t>cartelenlinea.</t>
  </si>
  <si>
    <t>elchiquitindelospreciosbajos</t>
  </si>
  <si>
    <t>MARCADORES PERMANENTES</t>
  </si>
  <si>
    <t>Compra de Caja contenedora de diez marcadores de tinta permanente, con punta de fibra resistente de 0,5 a 2 mm según modelo; tinta de secado rápido, indeleble sobre papel, cartón, plástico, metal y vidrio; cuerpo cilíndrico de plástico con tapa de cierre seguro para evitar secado; disponible en colores negro, azul, rojo.</t>
  </si>
  <si>
    <t xml:space="preserve">Panamericana </t>
  </si>
  <si>
    <t xml:space="preserve">Jumbo </t>
  </si>
  <si>
    <t>RESALTADORES</t>
  </si>
  <si>
    <t>Compra de Caja contenedora de cuatro resaltadores fluorescentes, con punta biselada o de fibra de 2 a 5 mm según modelo, cuerpo de plástico con tapa de cierre seguro para evitar secado; tinta a base de alcohol o agua, de secado rápido y alta visibilidad sobre papel; colores típicos amarillo, rosa, verde, azul y naranja.</t>
  </si>
  <si>
    <t>eurosupermercado</t>
  </si>
  <si>
    <t>GRAPADORA</t>
  </si>
  <si>
    <t>Compra de Grapadora de uso manual o semi-automática, diseñada para unir papel mediante grapas; capacidad de grapado de 10 a 50 hojas según modelo; alimentador y base de metal o plástico resistente; grapas estándar tipo 26/6 o 24/6; mecanismo de palanca o gatillo para operación sencilla y ergonómica; base antideslizante para estabilidad; tamaño compacto para escritorio; incluye depósito para grapas usadas y recarga fácil de grapas; apta para uso en oficinas, escuelas y trabajos administrativos.</t>
  </si>
  <si>
    <t>jonan</t>
  </si>
  <si>
    <t>GRAPAS</t>
  </si>
  <si>
    <t>Compra de Grapas de acero galvanizado o cromado, compatibles con grapadoras de escritorio estándar tipo 26/6 o 24/6; tamaño aproximado de 6 mm de longitud de pata y 24–26 mm de ancho según modelo; acabado liso para evitar atascos y asegurar grapado uniforme; diseñadas para unir 10 a 50 hojas de papel de gramaje 70–90 g/m²; aptas para uso en oficina, escuela o trabajos administrativos; embalaje en caja de cartón o plástico para almacenamiento seguro y fácil recarga (Paquete x 1000 unidades).</t>
  </si>
  <si>
    <t xml:space="preserve">Carulla </t>
  </si>
  <si>
    <t>EXITO</t>
  </si>
  <si>
    <t xml:space="preserve">Cartelenlinea </t>
  </si>
  <si>
    <t>PERFORADORA</t>
  </si>
  <si>
    <t>Compra de Perforadora de escritorio con capacidad de perforar hasta 20–30 hojas de papel por pasada, diseñada para orificios estándar de 2,5–3 mm separados 8 cm (distancia centro a centro) según norma A4/Oficio; estructura metálica o plástica resistente, con palanca ergonómica para facilitar la operación; bandeja recolectora de confeti extraíble; base antideslizante para estabilidad; tamaño compacto para uso en oficina, escuela o archivo; mecanismo seguro para evitar lesiones y compatible con papel de gramaje 70–90 g/m².</t>
  </si>
  <si>
    <t>tyuimportaciones.</t>
  </si>
  <si>
    <t>QUITAGRAPAS</t>
  </si>
  <si>
    <t>Compra de Quitagrapas manual de acero con mango ergonómico de plástico antideslizante, punta en forma de palanca para extraer grapas tipo 24/6 y 26/6 sin dañar el papel, compacto y portátil para escritorio u oficina, resistente al uso repetido y fácil de manipular.</t>
  </si>
  <si>
    <t xml:space="preserve">papelerianemo </t>
  </si>
  <si>
    <t>LAPICES</t>
  </si>
  <si>
    <t>Compra de Caja contenedora de lápices de grafito No. 2 (HB), madera de alta calidad, rectos y lisos, con mina de 6–7 mm de diámetro para escritura y dibujo uniforme (Caja x 12 unidades)</t>
  </si>
  <si>
    <t>BORRADORES</t>
  </si>
  <si>
    <t>Compra de Caja de borradores de goma o caucho sintético, libres de PVC y no tóxicos, tamaño aproximado 4–6 cm × 1,5–2,5 cm × 0,8–1,5 cm, diseñados para borrar lápices de grafito No. 2 (HB) (Caja x 12 unidades)</t>
  </si>
  <si>
    <t>suescun</t>
  </si>
  <si>
    <t xml:space="preserve">grafitos </t>
  </si>
  <si>
    <t>pgrancentral</t>
  </si>
  <si>
    <t>TAJALAPIZ</t>
  </si>
  <si>
    <t>Compra de Caja de tajalápices de metal, fabricados en acero o aleación resistente, con cuchilla de acero inoxidable para corte preciso de lápices de grafito y de colores, aptos para lápices estándar (Caja x 24 unidades)</t>
  </si>
  <si>
    <t>papelerianemo.</t>
  </si>
  <si>
    <t xml:space="preserve">LIBRERIA TROYA </t>
  </si>
  <si>
    <t>Impresión de pieza tipo Flyer informativo, tamaño media carta (14 x 21,6 cm), impresión policromía por una cara en papel propalcote de 115 g o superior, resolución mínima de 300 dpi, con sangrado de 3 mm y diseño acorde a lineamientos de identidad gráfica institucional suministrados por la Alcaldía Local de Engativá.</t>
  </si>
  <si>
    <t>CARPAS</t>
  </si>
  <si>
    <t>Alquiler de carpa plegable tipo pabellón con dimensiones aproximadas de 3,0 m × 3,0 m y altura ajustable entre 2,6 y 3,1 m, con un área de cobertura de 9 m². Estructura fabricada en acero o aluminio con tratamiento anticorrosivo y sistema de apertura plegable tipo acordeón. Cubierta elaborada en lona de poliéster u Oxford de alta densidad (210D–600D), impermeable y con protección UV.</t>
  </si>
  <si>
    <t>AUDIO PROYECTOS</t>
  </si>
  <si>
    <t>MESA PLEGABLE</t>
  </si>
  <si>
    <t>Alquiler de mesa de plegable portátil en Polipropileno (base en estructura Metálica en tubo cal. 18) con medida 1,80 x74 x74 m.</t>
  </si>
  <si>
    <t>SHADDAI EVENT S</t>
  </si>
  <si>
    <t>CAJAFORZADA.COM</t>
  </si>
  <si>
    <t>DYR PRODUCCIONES SAS</t>
  </si>
  <si>
    <t>SILLA PLASTICA</t>
  </si>
  <si>
    <t>Alquiler Silla plástica blanca sin brazos, con medidas de 48 ancho, 48 largo, 88 alto</t>
  </si>
  <si>
    <t>ALQUIRESBOGOTA</t>
  </si>
  <si>
    <t>ALVAROCASTAÑEDA</t>
  </si>
  <si>
    <t>MYM</t>
  </si>
  <si>
    <t>SISTEMA DE SONIDO</t>
  </si>
  <si>
    <t>Alquiler de Sistema de sonido tipo PA portátil para exteriores compuesto por 4 altavoces activos de rango completo de 12” o 15”, con potencia aproximada de 800–1200 W pico por unidad (400–600 W RMS) y respuesta de frecuencia entre 55 Hz y 18 kHz. El sistema debe proporcionar un nivel de presión sonora máximo de 100–120 dB SPL y cobertura horizontal mínima de 90°–120° para una adecuada distribución del sonido en áreas abiertas. Se integra una consola mezcladora de 8–12 canales con entradas balanceadas XLR, control de ganancia y ecualización de tres bandas. Incluye 2 a 4 micrófonos inalámbricos UHF con alcance mínimo de 30–50 m y respuesta de frecuencia aproximada de 50 Hz – 15 kHz para interacción con los asistentes. El sistema puede complementarse con 1 o 2 subwoofers de 15” o 18” de 800–1200 W para refuerzo de bajas frecuencias. Se incorporan soportes tipo trípode para altavoces, monitores de retorno de 200–400 W, cableado balanceado XLR y alimentación eléctrica de 110–220 V con protección. La potencia total del sistema se sitúa entre 1500 y 3000 W RMS, adecuada para eventos al aire libre de hasta 200 personas con buena inteligibilidad de voz y cobertura uniforme.</t>
  </si>
  <si>
    <t>NEMESIS</t>
  </si>
  <si>
    <t>SISTEMA DE RED</t>
  </si>
  <si>
    <t>Alquiler de sistema de red inalámbrica portátil, conectividad Wi‑Fi para 10 a 15 dispositivos simultáneamente en entornos temporales o abiertos. Funcionamiento en bandas de 2,4 GHz y 5 GHz bajo estándares IEEE 802.11 b/g/n/ac, con velocidades de transferencia de hasta 150–300 Mbps de descarga y 50–100 Mbps de subida, dependiendo de la señal y el proveedor de datos. Incluye ranura para tarjeta SIM o acceso a red móvil, antenas internas de alto rendimiento, y seguridad mediante WPA2/WPA3.</t>
  </si>
  <si>
    <t>PLANTA ELECTRICA PORTABLE</t>
  </si>
  <si>
    <t>Alquiler de planta eléctrica portátil trifásica con potencia nominal de 25–30 kVA, capaz de suministrar un voltaje de 220–230 V y soportar un consumo total estimado de 20 kW con picos de hasta 25 kW. La planta debe contar con regulación de voltaje y protección contra sobrecarga y cortocircuito, tanque de combustible suficiente para al menos 4–6 horas de operación continua y conexiones seguras para alimentar los tableros de distribución de cada carpa mediante cableado principal de cobre de 6–10 mm², garantizando estabilidad y continuidad del suministro eléctrico incluso durante los picos de demanda del sistema de sonido y otros equipos eléctricos.
Incluye red de extensiónes para conexión de 40 puntos de electricidad, distribuidos entre los puntos de red, el sistema de sonido y las conexiones de carpas</t>
  </si>
  <si>
    <t xml:space="preserve">PRODUCCIONES D&amp;R </t>
  </si>
  <si>
    <t>BAÑO PORTATIL</t>
  </si>
  <si>
    <t>Alquilter de baño portatil con las siguientes caracteristicas: Cabina sanitaria portátil fabricada en polietileno de alta densidad con tratamiento anti-UV, estructura resistente a la intemperie y piso antiderrapante. Dimensiones aproximadas: 2.20 m – 2.35 m de altura, 1.10 m – 1.20 m de ancho y 1.20 m de profundidad. Peso vacío: entre 75 kg y 110 kg. Capacidad del tanque de residuos: entre 246 L y 265 L (65–70 galones) con sistema de recirculación o descarga química. Incluye WC con asiento y tapa, mingitorio integrado, ventilación superior para control de olores, dispensador de papel higiénico, cerradura interior con indicador de uso, y puerta con seguro. Sistema autónomo, no requiere conexión a redes de agua o alcantarillado. Altura del asiento: aproximadamente 49–52 cm. Capacidad de uso estimada: entre 50 y 60 usuarios por evento, dependiendo de la duración y condiciones del evento.</t>
  </si>
  <si>
    <t>BAMOCOL</t>
  </si>
  <si>
    <t>CONTICONSTRUCCIONESYENERGIASAS</t>
  </si>
  <si>
    <t>BAÑOMOVIL</t>
  </si>
  <si>
    <t>SERVICIO LOGISTICA</t>
  </si>
  <si>
    <t xml:space="preserve">Alquiler de estación de café con capacidad para suministrar bebidas calientes. Deberá contar con las siguientes especificaciones:
- Capacidad para 50 personas
- Debe contar con dispensadores térmicos de café y agua caliente, vasos ecologicos biodegradables (capacidad entre 6 y 8 Oz), mezcladores ecológicos biodegradables (12 a 14 cm), sobres individuales de azucar o endulsante y sobres individuales de crema y té.
- Debe contar con bandejas de productos de panaderia variados.
- Incluirá mesa de servicio, mantel o faldon, recipientes para sobres y mezcladores, servilletas y basureras cercanas. 
Incluye persona de servicio y costos de desplazamiento de montaje y desmonte respectivo. </t>
  </si>
  <si>
    <t>LAVITTORIA</t>
  </si>
  <si>
    <t>PAPEL KRAFT</t>
  </si>
  <si>
    <t>Compra de Pliego de papel fabricado a partir de pulpa de papel kraft natural o reciclada, con gramaje entre 80 g/m² y 120 g/m², que garantice adecuada resistencia mecánica al rasgado, manipulación y doblado. Debe presentarse en formato de pliego aproximado de 70 × 100 cm (o tamaño estándar equivalente), color café natural</t>
  </si>
  <si>
    <t>Pliegos</t>
  </si>
  <si>
    <t>CARTULINA</t>
  </si>
  <si>
    <t>Compra de Paquete de cartulina de colores surtidos, compuesto por 30 unidades, elaborado en papel cartulina de alta rigidez y buena resistencia, con gramaje aproximado entre 180 g/m² y 240 g/m², adecuado para actividades escolares, artísticas y de manualidades. Cada hoja deberá contar con tamaño estándar aproximado de 50 × 70 cm o equivalente, en colores variados y uniformes (ej. rojo, azul, amarillo, verde, naranja, entre otros), con superficie lisa o ligeramente satinada que permita el uso de marcadores, plumones, lápices de color, pinturas y pegantes sin deterioro del material.</t>
  </si>
  <si>
    <t>PINTURA</t>
  </si>
  <si>
    <t>Compra de Témpera – Estuche x 5 Tubos de 12 ml Tipo: Témpera (pintura opaca a base de agua) Colores: Primarios surtidos (rojo, azul, amarillo, blanco y negro, Contenido: 5 tubos individuales de 80 ml cada uno, Textura: Cremosa, fácil de aplicar y mezclar</t>
  </si>
  <si>
    <t>PINCELES</t>
  </si>
  <si>
    <t>Compra de Paquete de seis (6) pinceles surtidos para pintura, diseñados para uso escolar, artístico o manualidades, fabricados con mango ergonómico en madera o plástico resistente, virola metálica anticorrosiva firmemente sujeta y cerdas sintéticas o naturales de buena flexibilidad y absorción, adecuadas para la aplicación de pinturas acrílicas, témperas, acuarelas u otras pinturas escolares. El set deberá incluir pinceles de diferentes tamaños y formas (redondos y/o planos) que permitan realizar trazos finos, medios y gruesos, garantizando precisión en el dibujo y la pintura. Los pinceles deben ofrecer buena retención de pintura, resistencia al uso frecuente, fácil limpieza y secado, sin desprendimiento de cerdas.</t>
  </si>
  <si>
    <t>Compra de Paquete de marcadores borrables de colores surtidos, presentado en estuche o caja con mínimo seis (6) unidades, diseñados para escritura y dibujo sobre tableros acrílicos, superficies laminadas o no porosas. Los marcadores deben contar con tinta a base de alcohol o base líquida de secado rápido, que permita borrado fácil en seco sin dejar manchas o residuos. Cada marcador deberá incluir punta resistente tipo bala o biselada, con trazo aproximado entre 1 mm y 5 mm, que permita realizar trazos finos y gruesos. El cuerpo debe estar fabricado en plástico resistente, con tapa de seguridad y sistema antifugas, e incluir colores variados y visibles (como negro, azul, rojo, verde, entre otros). El producto debe garantizar buena intensidad de color, larga duración de la tinta y resistencia al uso frecuente, presentándose en empaque adecuado para almacenamiento y transporte.</t>
  </si>
  <si>
    <t>Comercialpapelera24</t>
  </si>
  <si>
    <t xml:space="preserve">LA GARZA </t>
  </si>
  <si>
    <t>Compra de Caja de lápices de grafito No. 2 (HB), madera de alta calidad, rectos y lisos, con mina de 6–7 mm de diámetro para escritura y dibujo uniforme (Caja x 12 unidades)</t>
  </si>
  <si>
    <t xml:space="preserve">COMERCIALPAPELERIA </t>
  </si>
  <si>
    <r>
      <rPr>
        <b/>
        <sz val="11"/>
        <color rgb="FF000000"/>
        <rFont val="Arial Narrow"/>
        <family val="2"/>
      </rPr>
      <t>Compra de Resma de papel</t>
    </r>
    <r>
      <rPr>
        <sz val="11"/>
        <color rgb="FF000000"/>
        <rFont val="Arial Narrow"/>
        <family val="2"/>
      </rPr>
      <t xml:space="preserve"> para impresión estándar en formato carta (216 × 279 mm), con gramaje de 75–90 g/m², espesor de 0,1–0,11 mm por hoja, y blancura de 90–98 CIE, por 500 hojas</t>
    </r>
  </si>
  <si>
    <t>Diseño e Impresión de agendas: 
- Tamaño: 14 cm x 21.5 cm cerrado 
- Páginas: 100 impresión a 1 tintas 
- Papel: bond de 90 gr. 
- Carátula en propalcote de 200 gr. Impresión 4x4 tintas Cosida con dos anchos al caballete. 
Debe incluir la imagen institucional Alcaldía Local de Engativá y tres separadores en propalcote de 90 gramos</t>
  </si>
  <si>
    <t xml:space="preserve">Compra de Esfero o bolígrafo de tinta gel de punta superfina (0.5 mm). con bola de carburo de tungsteno o acero, resistente al desgaste.Tinta de gel a base de agua de color negro y cuerpo en plástico con diseño ergonomico con mensajes alusivos a la estrategia. </t>
  </si>
  <si>
    <t>MEMORIA USB</t>
  </si>
  <si>
    <t>Compra de Memoria USB de 16 GB para almacenamiento y transferencia de información digital, con capacidad mínima de 16 gigabytes, compatible con sistemas operativos Windows, Linux y MacOS, y con interfaz USB 2.0 o superior (USB 3.0 preferiblemente) que garantice adecuada velocidad de lectura y escritura de datos. El dispositivo debe contar con carcasa resistente en plástico, metal o material similar, diseño compacto y portátil, con conector tipo USB estándar protegido mediante tapa o sistema retráctil para evitar daños por polvo o manipulación. Incluirá diseños alusivos a la estrategia de la escuela de formación y conservar al momento de entrega los elementos dados durante la capacitación (presentaciones, guias y documentos anexos que sean pertinentes)</t>
  </si>
  <si>
    <t>Refrigerio debidamente empacado en bolsa o caja ecologica y comprendido por:
- Carbohidato de 300 g, empaquetado en bolsa sellada
- Bebida: Mínimo 200 ml de contenido (envase tetra pack y/o botella plástica desechable)</t>
  </si>
  <si>
    <t>LIBRETA</t>
  </si>
  <si>
    <t>Compra de Libreta con las siguientes especificaciones:
- Tamaño final aproximado de 10.8 × 14 cm en orientación vertical 
- Encuadernación superior con espiral metálico doble anillo de aproximadamente 12 a 15 mm de diámetro. 
- Cubiertas elaboradas en cartulina sulfatada, couché o kraft de 250 a 300 g/m², con impresión exterior a 4 tintas (full color) y el interior sin impresión, con opción de acabado laminado mate o brillante o barniz UV. 
- Interior de 80 a 120 páginas (40 a 60 hojas) elaboradas en papel bond de 75 a 90 g/m², impresas a una tinta. 
- Incluye marcadores adhesivos y block de notas adhesivas de aproximadamente 7 × 7 cm, integrados en la contraportada interior.</t>
  </si>
  <si>
    <t xml:space="preserve">Compra de  Esfero o bolígrafo de tinta gel de punta superfina (0.5 mm). con bola de carburo de tungsteno o acero, resistente al desgaste.Tinta de gel a base de agua de color negro y cuerpo en plástico con diseño ergonomico con mensajes alusivos a la estrategia. </t>
  </si>
  <si>
    <t>CORPOINDECOL</t>
  </si>
  <si>
    <t>MEDICOS SIN FORNTERAS</t>
  </si>
  <si>
    <t>ANIMAL CITY</t>
  </si>
  <si>
    <t>Valor unitario sin IVA</t>
  </si>
  <si>
    <t>Valor total Sin IVA</t>
  </si>
  <si>
    <t>PROMEDIO UNITARIO</t>
  </si>
  <si>
    <t>TOTAL PROMEDIO SIN IVA</t>
  </si>
  <si>
    <t>DESVIACIÓN ESTANDAR</t>
  </si>
  <si>
    <t>COEFICIENTE DE VARIACIÓN PROMEDIO</t>
  </si>
  <si>
    <t>MEDIANA UNITARIO</t>
  </si>
  <si>
    <t>TOTAL MEDIANA SIN IVA</t>
  </si>
  <si>
    <t>COEFICIENTE DE VARIACIÓN MEDIANA</t>
  </si>
  <si>
    <t>COTIZACION 1</t>
  </si>
  <si>
    <t>COTIZACION 2</t>
  </si>
  <si>
    <t>COTIZACION 3</t>
  </si>
  <si>
    <t>MONTO AGOTABLE</t>
  </si>
  <si>
    <t>D&amp;R PRODUCCIONES</t>
  </si>
  <si>
    <t>horas</t>
  </si>
  <si>
    <t>espacio</t>
  </si>
  <si>
    <t xml:space="preserve">FUNDACIÓN COLOMBIA UTIL </t>
  </si>
  <si>
    <t xml:space="preserve">JUNTA DE ACCION COMUNAL BARRIO NORMANDIA </t>
  </si>
  <si>
    <t>Compra de Sobre de manila con las siguientes especificaciones: 
- Tamaño: Oficio (34,95 cm X 24,94 cm)
- Papel no esmaltado de 65 - 75 gr/m2
Paquete x 100 unidades</t>
  </si>
  <si>
    <t xml:space="preserve">Falabella </t>
  </si>
  <si>
    <t>Paquete</t>
  </si>
  <si>
    <t>Carpa: EVENTOS BOGOTÁ
Sillas: MYM
Mesa: MYM
Multitoma: JUMBO
Extensión: JUMBO
Pieza convocatoria: ZOOM CREATIVO</t>
  </si>
  <si>
    <t>Carpa: NEMESIS
Sillas: ALQUILERES BOGOTÁ
Mesa: ALQUILERES BOGOTÁ
Multitoma: PANAMERICANA
Extensión: LA RED ELECTRONICA
Pieza convocatoria: AUROS</t>
  </si>
  <si>
    <t>Carpa: D&amp;R PRODUCCIONES
Sillas: ALVARO CASTAÑEDA
Mesa: ALVARO CASTAÑEDA
Multitoma: HOMECENTER
Extensión: EASY
Pieza convocatoria: ASESOL</t>
  </si>
  <si>
    <t>TECNOCOM</t>
  </si>
  <si>
    <t>COLNOVA</t>
  </si>
  <si>
    <t>GLOBALTECNOLY</t>
  </si>
  <si>
    <t>LITOGRAFÍA BOGOTÁ</t>
  </si>
  <si>
    <t>ZONE COLORS</t>
  </si>
  <si>
    <t xml:space="preserve"> Sonomarcas – Falabella –Panamericana – Alkosto - Alkosto </t>
  </si>
  <si>
    <t xml:space="preserve"> Audiocity –lenovo-Todo en papelería-Steren-Homecenter </t>
  </si>
  <si>
    <t xml:space="preserve"> Vento-alkosto- homecenter -falabella - Easy </t>
  </si>
  <si>
    <t xml:space="preserve">ZOOM CREATIVO  </t>
  </si>
  <si>
    <t>ARISMA</t>
  </si>
  <si>
    <t>ACUERDO MARCO TRANSPORTE (UNION TEMPORAL MARCO CST)</t>
  </si>
  <si>
    <t>ACUERDO MARCO TRANSPORTE (UNIÓN TEMPORAL MEGA ALIANZA)</t>
  </si>
  <si>
    <t xml:space="preserve"> Markmelo </t>
  </si>
  <si>
    <t xml:space="preserve"> guerroimpresores  </t>
  </si>
  <si>
    <t>zoom creativo</t>
  </si>
  <si>
    <t xml:space="preserve"> Guerreroimpresoras  </t>
  </si>
  <si>
    <t xml:space="preserve"> ENTER EDITORES COMERCIAL  </t>
  </si>
  <si>
    <t xml:space="preserve"> PROMOPOP  </t>
  </si>
  <si>
    <t>PEGA2</t>
  </si>
  <si>
    <t>ZONA COLORS</t>
  </si>
  <si>
    <t xml:space="preserve">Macrosoft </t>
  </si>
  <si>
    <t xml:space="preserve">ishop </t>
  </si>
  <si>
    <t xml:space="preserve">microsoft Store </t>
  </si>
  <si>
    <t>Mega Computer Colombia</t>
  </si>
  <si>
    <t>Tecsoli</t>
  </si>
  <si>
    <t>Epson</t>
  </si>
  <si>
    <t xml:space="preserve">Indumuebles </t>
  </si>
  <si>
    <t>Guerreroimpresora</t>
  </si>
  <si>
    <t xml:space="preserve">ENTER EDITORES COMERCIAL </t>
  </si>
  <si>
    <t xml:space="preserve">PROMOPOP </t>
  </si>
  <si>
    <t>ecoreciclajeuniversal</t>
  </si>
  <si>
    <t>gabyventas.</t>
  </si>
  <si>
    <t xml:space="preserve">haga </t>
  </si>
  <si>
    <t>.comercialpapelera24</t>
  </si>
  <si>
    <t>panafargo</t>
  </si>
  <si>
    <t>ventascoraza.</t>
  </si>
  <si>
    <t xml:space="preserve">Garabatospapeleria </t>
  </si>
  <si>
    <t>bidforcep</t>
  </si>
  <si>
    <t xml:space="preserve">Korescolombia </t>
  </si>
  <si>
    <t xml:space="preserve">la garza </t>
  </si>
  <si>
    <t>papeleriaelmayorista.</t>
  </si>
  <si>
    <t>comercialpapeleria24</t>
  </si>
  <si>
    <t>panamericana</t>
  </si>
  <si>
    <t>Cartelenlinea</t>
  </si>
  <si>
    <t>Markmelo.com</t>
  </si>
  <si>
    <t xml:space="preserve">guerroimpresoras </t>
  </si>
  <si>
    <t xml:space="preserve">ZOOM CREATIVO </t>
  </si>
  <si>
    <t xml:space="preserve">Guerreoimpresora </t>
  </si>
  <si>
    <t>pcmartcolombia</t>
  </si>
  <si>
    <t>.omega-store.co</t>
  </si>
  <si>
    <t>Exito</t>
  </si>
  <si>
    <t xml:space="preserve">Markados </t>
  </si>
  <si>
    <t>Alquiler de salon comunal con aforo para minimo (25 - 50 personas), con todo el equipamiento tecnologico (sonido, proyector, microfonos), silleteria, espacio para alimentacion minimo uno (1) baño para el desarrollo del fortalecimiento</t>
  </si>
  <si>
    <t>Alquiler de salon comunal con aforo para minimo (25 - 50 personas), con todo el equipamiento tecnologico (sonido, proyector, microfonos), silleteria, espacio para alimentacion minimo uno (1) baño para el desarrollo del fortalecimiento.</t>
  </si>
  <si>
    <t>Junta de accion comunal urbanizacion la Bonanza</t>
  </si>
  <si>
    <t>servicio</t>
  </si>
  <si>
    <t>Contratación de servicio de apoyo logistico para las siguientes acciones de montaje y desmonte:
- Montaje y desmonte de carpas, sillas y mesas
- Instalación del sistema de red y sistema de sonido
- Instalación de red electrica y seguimiento al funcionamiento de la planta electrica
- Presentador que incentive la jornada
- Tres personas encargadas para la orientación de las personas durante el evento y diligenciamiento de encuestas de satisfacción.
(tres técnicos y 1 auxiliar)</t>
  </si>
  <si>
    <t>SARTEK</t>
  </si>
  <si>
    <t>Multiexpres</t>
  </si>
  <si>
    <t>TUMERCH</t>
  </si>
  <si>
    <t>FULL DOTACIONES</t>
  </si>
  <si>
    <t>CARPAS PARISS</t>
  </si>
  <si>
    <t>TABLA HONORARIOS DE LA SECRETARIA DISTRITAL DE GOBIERNO</t>
  </si>
  <si>
    <t>YARA ALIMENTOS</t>
  </si>
  <si>
    <t>MANUFACTURAS ALIMENTICIAS</t>
  </si>
  <si>
    <t xml:space="preserve">TREKDISCOMOVIL </t>
  </si>
  <si>
    <t>CASA FERRETERA</t>
  </si>
  <si>
    <t>OPTIMUS TECH</t>
  </si>
  <si>
    <r>
      <t xml:space="preserve">Compra de Disco duro para CCTV con las siguientes especificaciones
- Tipo: especial para videovigilancia
- Capacidad: 4 Tb
- Interfaz: STATA III (6 Gb/s)
- Memoria cache de 64 a 256 MB
- Funcionamiento: grabación continua 24/7
- Compatibilidad DVR y NVR
- Optimizado para multiples flujos de video simultaneos
</t>
    </r>
    <r>
      <rPr>
        <b/>
        <sz val="11"/>
        <color rgb="FF000000"/>
        <rFont val="Arial Narrow"/>
      </rPr>
      <t xml:space="preserve">
Incluye transporte donde se indique por parte del FONDO DE DESARROLLO LOCAL DE ENGATIVÁ</t>
    </r>
  </si>
  <si>
    <t>GEENTICENTER</t>
  </si>
  <si>
    <t>AUDIO VISUALES DE COLOMBIA</t>
  </si>
  <si>
    <t>Payser</t>
  </si>
  <si>
    <t>FUNDESCO</t>
  </si>
  <si>
    <t>Compra de Chaqueta tipo térmica y resistente al agua:
Material:
- Exterior: Poliéster o nylon resistente al agua (waterproof) de alta durabilidad.
- Interior: Forro térmico o acolchado de poliéster que retenga el calor.
Caracteristicas:
- Corte cómodo y ergonómico que permita libertad de movimiento.
- Cierre frontal con cremallera resistente de alta calidad.
- Cuello alto para protección contra el viento y frío.
- Bolsillos delanteros con cierre o velcro para almacenamiento seguro.
- Opcional: Capucha plegable y ajustable, si es para exteriores.
- Costuras reforzadas y resistentes a la fricción y al uso constante.
- Incluye estampado de logos correspondiente al PACE al cual pertenece y logos de la Alcaldía Local de Engativá</t>
  </si>
  <si>
    <t>Compra de carnet de identificación con las siguientes caracteristicas:
Material:
- Plástico PVC de alta resistencia, flexible y durable.
- Grosor estándar entre 0.76 mm y 1 mm para mayor durabilidad.
Diseño y acabado:
- Rectangular, tamaño estándar 8.5 cm x 5.4 cm (tamaño tarjeta de crédito).
- Impresión a color o monocromática con alta definición.
- Superficie laminada para protección contra rayones, humedad y desgaste.
- Espacio para foto del titular, nombre completo, cargo, identificación y logotipo institucional del PACE.</t>
  </si>
  <si>
    <t>Compra de portacarnet con las siguientes caracteristicas
Material:
- PVC, polipropileno, acrílico o vinilo transparente resistente.
Diseño y funcionalidad:
- Transparente para visualizar la información sin retirar el carnet.
- Ranura superior o lateral para enganchar cordón, clip o gancho retráctil.
- Posibilidad de incluir clip metálico, pin o cordón para colgar del cuello.</t>
  </si>
  <si>
    <t xml:space="preserve">papeleria san martin </t>
  </si>
  <si>
    <t>Comercial papeleria24</t>
  </si>
  <si>
    <t>BETTY CAMPOS MORALES</t>
  </si>
  <si>
    <t xml:space="preserve">garabatos papeleria </t>
  </si>
  <si>
    <t>papeleria alvarez</t>
  </si>
  <si>
    <t>papeleria la gran 12</t>
  </si>
  <si>
    <t>comercial papelera</t>
  </si>
  <si>
    <t>Garabatos papeleria</t>
  </si>
  <si>
    <t>Papeleria nemo.</t>
  </si>
  <si>
    <t>garabatos papeleria</t>
  </si>
  <si>
    <t>la garza</t>
  </si>
  <si>
    <t>papeleria suescun</t>
  </si>
  <si>
    <t>Sbana market</t>
  </si>
  <si>
    <t>COT</t>
  </si>
  <si>
    <t>CONTEO</t>
  </si>
  <si>
    <t>TOTAL PROMEDIO</t>
  </si>
  <si>
    <t>SubTotal</t>
  </si>
  <si>
    <t>Iva</t>
  </si>
  <si>
    <t>Total</t>
  </si>
  <si>
    <t>TOTAL MEDIANA</t>
  </si>
  <si>
    <t>CONSULTORES DE GESTION COMERCIAL SAS</t>
  </si>
  <si>
    <t xml:space="preserve">Alquiler de locación con capacidad para mínimo 50 personas, principalmente en un auditorio ubicado en la localidad de Engativá y que facilite su llegada por parte de los participantes.
Deberá contar con:
• Capacidad para aforo de 50 personas
• Contar con elementos de acceso para personas con movilidad reducida.
• Contar con condiciones de seguridad y logística aptas
• Cumplimiento con normas sanitarias requeridas
• Puntos de hidratación, cocina y baños adecuados
• Disponibilidad de agua potable
• Disponibilidad de elementos audiovisuales y logísticos (Proyección, sonido, silletería y mesas) </t>
  </si>
  <si>
    <r>
      <t xml:space="preserve">El kit de instalación estará conformado por
- Canaletas de 25X25 
- Plug CAT SE (20 unidades)
- Clavijas (cuatro unidades)
- Tomas (dos unidades dobles)
- Cajas de paso hermetica (8 unidades)
- Cinta aislante negra (2 rollos)
- Tornillos plasticos 1/4 (100 unidades)
- Chasos plasticos 1/4 (100 unidades)
- Amarres de 25cm (150 unidades)
- UYES (150 unidades)
- Sim Card (1 unidad)
- Multitomas: voltaje de 110V, cable de 3 metros (mínimo), interuptor de encendido/apagado y protección contra sobrecargas y picos de voltaje (2 unidades)
</t>
    </r>
    <r>
      <rPr>
        <b/>
        <sz val="11"/>
        <color rgb="FF000000"/>
        <rFont val="Arial Narrow"/>
      </rPr>
      <t xml:space="preserve">
Incluye contratación de mano de obra requerida para la Instalación de todos los elementos mencionados: Cámaras de Seguridad, DVR, Discos Duros, Monitor, Sistema de Alarma, Elementos de conexión y uso del Kit de Instalación.</t>
    </r>
  </si>
  <si>
    <r>
      <t xml:space="preserve">Compra de paquete de conexión para cada zona segura a dotar, la cual contará con los siguientes elementos mínimos:
</t>
    </r>
    <r>
      <rPr>
        <b/>
        <sz val="11"/>
        <color rgb="FF000000"/>
        <rFont val="Arial Narrow"/>
      </rPr>
      <t xml:space="preserve">Cable de energia:
</t>
    </r>
    <r>
      <rPr>
        <sz val="11"/>
        <color rgb="FF000000"/>
        <rFont val="Arial Narrow"/>
      </rPr>
      <t xml:space="preserve">- Cable duplex 18 AWG con voltaje 12V (1.200 metros por paquete)
- Cable Neopreno tipo 2X16 AWG o 2X18 AWG (15 metros por paquete) 
- Conectores DC Macho (6 Unidades por paquete)
- Conectores DC Hembra (6 Unidades por paquete)
</t>
    </r>
    <r>
      <rPr>
        <b/>
        <sz val="11"/>
        <color rgb="FF000000"/>
        <rFont val="Arial Narrow"/>
      </rPr>
      <t xml:space="preserve">Transmisión de datos
</t>
    </r>
    <r>
      <rPr>
        <sz val="11"/>
        <color rgb="FF000000"/>
        <rFont val="Arial Narrow"/>
      </rPr>
      <t xml:space="preserve">- Cable UTP Categoria 6, con conductor 100% cobre, calibre 24 AWG y cuatro pares trenzados (1.200 metros cada paquete)
</t>
    </r>
    <r>
      <rPr>
        <b/>
        <sz val="11"/>
        <color rgb="FF000000"/>
        <rFont val="Arial Narrow"/>
      </rPr>
      <t xml:space="preserve">Adaptadores de video y DVR
</t>
    </r>
    <r>
      <rPr>
        <sz val="11"/>
        <color rgb="FF000000"/>
        <rFont val="Arial Narrow"/>
      </rPr>
      <t xml:space="preserve">- Balun pasivo con conector BNC, compatibles con camaras de videovigilancia de hasta 8 Mp (6 pares)
- Conectores BNC (12 unidades)
</t>
    </r>
    <r>
      <rPr>
        <b/>
        <sz val="11"/>
        <color rgb="FF000000"/>
        <rFont val="Arial Narrow"/>
      </rPr>
      <t xml:space="preserve">Fuente de poder switching para videovigilancia (uno por paquete)
</t>
    </r>
    <r>
      <rPr>
        <sz val="11"/>
        <color rgb="FF000000"/>
        <rFont val="Arial Narrow"/>
      </rPr>
      <t xml:space="preserve">- Entrada 100-240 V AC / 50-60Hz
- Salida: 12V DC regulados
- Corriente: 10A
- Potencia: 120 W
- Salida: 8 canales independientes
</t>
    </r>
    <r>
      <rPr>
        <b/>
        <sz val="11"/>
        <color rgb="FF000000"/>
        <rFont val="Arial Narrow"/>
      </rPr>
      <t xml:space="preserve">
Incluye transporte donde se indique por parte del FONDO DE DESARROLLO LOCAL DE ENGATIVÁ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</si>
</sst>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quot;$&quot;\ #,##0;[Red]\-&quot;$&quot;\ #,##0"/>
    <numFmt numFmtId="42" formatCode="_-&quot;$&quot;\ * #,##0_-;\-&quot;$&quot;\ * #,##0_-;_-&quot;$&quot;\ * &quot;-&quot;_-;_-@_-"/>
    <numFmt numFmtId="44" formatCode="_-&quot;$&quot;\ * #,##0.00_-;\-&quot;$&quot;\ * #,##0.00_-;_-&quot;$&quot;\ * &quot;-&quot;??_-;_-@_-"/>
    <numFmt numFmtId="164" formatCode="_-[$$-240A]\ * #,##0_-;\-[$$-240A]\ * #,##0_-;_-[$$-240A]\ * &quot;-&quot;_-;_-@_-"/>
    <numFmt numFmtId="165" formatCode="_-[$$-240A]\ * #,##0_-;\-[$$-240A]\ * #,##0_-;_-[$$-240A]\ * &quot;-&quot;??_-;_-@_-"/>
    <numFmt numFmtId="166" formatCode="_-&quot;$&quot;\ * #,##0_-;\-&quot;$&quot;\ * #,##0_-;_-&quot;$&quot;\ * &quot;-&quot;??_-;_-@_-"/>
  </numFmts>
  <fonts count="3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1"/>
      <color theme="1"/>
      <name val="Calibri"/>
      <family val="2"/>
      <scheme val="minor"/>
    </font>
    <font>
      <u/>
      <sz val="12"/>
      <color theme="10"/>
      <name val="Calibri"/>
      <family val="2"/>
      <scheme val="minor"/>
    </font>
    <font>
      <b/>
      <sz val="16"/>
      <color theme="1"/>
      <name val="Calibri"/>
      <family val="2"/>
      <scheme val="minor"/>
    </font>
    <font>
      <b/>
      <sz val="22"/>
      <color theme="1"/>
      <name val="Calibri"/>
      <family val="2"/>
      <scheme val="minor"/>
    </font>
    <font>
      <sz val="10"/>
      <name val="Arial"/>
      <family val="2"/>
    </font>
    <font>
      <sz val="12"/>
      <color theme="1"/>
      <name val="Arial Narrow"/>
      <family val="2"/>
    </font>
    <font>
      <b/>
      <sz val="11"/>
      <color theme="0"/>
      <name val="Calibri"/>
      <family val="2"/>
      <scheme val="minor"/>
    </font>
    <font>
      <b/>
      <sz val="11"/>
      <color rgb="FF000000"/>
      <name val="Calibri"/>
      <family val="2"/>
      <scheme val="minor"/>
    </font>
    <font>
      <b/>
      <sz val="11"/>
      <name val="Calibri"/>
      <family val="2"/>
      <scheme val="minor"/>
    </font>
    <font>
      <sz val="11"/>
      <color rgb="FF000000"/>
      <name val="Arial Narrow"/>
      <family val="2"/>
    </font>
    <font>
      <sz val="11"/>
      <color theme="1"/>
      <name val="Arial Narrow"/>
      <family val="2"/>
    </font>
    <font>
      <b/>
      <sz val="11"/>
      <color rgb="FF000000"/>
      <name val="Arial Narrow"/>
      <family val="2"/>
    </font>
    <font>
      <b/>
      <sz val="11"/>
      <color theme="1"/>
      <name val="Arial Narrow"/>
      <family val="2"/>
    </font>
    <font>
      <sz val="11"/>
      <color rgb="FF000000"/>
      <name val="Arial Narrow"/>
    </font>
    <font>
      <b/>
      <sz val="11"/>
      <color rgb="FF000000"/>
      <name val="Arial Narrow"/>
    </font>
    <font>
      <sz val="11"/>
      <color rgb="FFFF0000"/>
      <name val="Arial Narrow"/>
      <family val="2"/>
    </font>
    <font>
      <sz val="12"/>
      <color rgb="FF1A1A1A"/>
      <name val="Karla"/>
      <family val="2"/>
      <charset val="1"/>
    </font>
    <font>
      <sz val="12"/>
      <color theme="1"/>
      <name val="AriaL"/>
      <family val="2"/>
    </font>
    <font>
      <sz val="10"/>
      <color rgb="FF000000"/>
      <name val="Calibri"/>
      <family val="2"/>
      <scheme val="minor"/>
    </font>
    <font>
      <b/>
      <sz val="12"/>
      <color theme="1"/>
      <name val="Arial Narrow"/>
      <family val="2"/>
    </font>
    <font>
      <sz val="12"/>
      <color rgb="FF000000"/>
      <name val="Arial Narrow"/>
      <family val="2"/>
    </font>
    <font>
      <b/>
      <sz val="12"/>
      <color rgb="FF00B050"/>
      <name val="Calibri"/>
      <family val="2"/>
    </font>
    <font>
      <b/>
      <sz val="12"/>
      <color theme="1"/>
      <name val="Calibri"/>
      <family val="2"/>
    </font>
    <font>
      <b/>
      <sz val="18"/>
      <color rgb="FFFFFF00"/>
      <name val="Arial Narrow"/>
      <family val="2"/>
    </font>
    <font>
      <b/>
      <sz val="18"/>
      <color theme="1"/>
      <name val="Arial Narrow"/>
      <family val="2"/>
    </font>
    <font>
      <sz val="11"/>
      <name val="Arial Narrow"/>
      <family val="2"/>
    </font>
  </fonts>
  <fills count="19">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2" tint="-0.249977111117893"/>
        <bgColor indexed="64"/>
      </patternFill>
    </fill>
    <fill>
      <patternFill patternType="solid">
        <fgColor rgb="FF7030A0"/>
        <bgColor indexed="64"/>
      </patternFill>
    </fill>
    <fill>
      <patternFill patternType="solid">
        <fgColor theme="3" tint="-0.249977111117893"/>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1"/>
        <bgColor indexed="64"/>
      </patternFill>
    </fill>
    <fill>
      <patternFill patternType="solid">
        <fgColor theme="5" tint="0.59999389629810485"/>
        <bgColor indexed="64"/>
      </patternFill>
    </fill>
    <fill>
      <patternFill patternType="solid">
        <fgColor theme="8" tint="0.39997558519241921"/>
        <bgColor indexed="64"/>
      </patternFill>
    </fill>
    <fill>
      <patternFill patternType="solid">
        <fgColor theme="1" tint="4.9989318521683403E-2"/>
        <bgColor indexed="64"/>
      </patternFill>
    </fill>
  </fills>
  <borders count="37">
    <border>
      <left/>
      <right/>
      <top/>
      <bottom/>
      <diagonal/>
    </border>
    <border>
      <left style="thin">
        <color rgb="FF000000"/>
      </left>
      <right style="thin">
        <color rgb="FF000000"/>
      </right>
      <top style="thin">
        <color rgb="FF000000"/>
      </top>
      <bottom style="thin">
        <color rgb="FF000000"/>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9">
    <xf numFmtId="0" fontId="0" fillId="0" borderId="0"/>
    <xf numFmtId="42" fontId="4" fillId="0" borderId="0" applyFont="0" applyFill="0" applyBorder="0" applyAlignment="0" applyProtection="0"/>
    <xf numFmtId="0" fontId="6" fillId="0" borderId="0" applyNumberFormat="0" applyFill="0" applyBorder="0" applyAlignment="0" applyProtection="0"/>
    <xf numFmtId="0" fontId="9" fillId="0" borderId="0"/>
    <xf numFmtId="0" fontId="2" fillId="0" borderId="0"/>
    <xf numFmtId="0" fontId="6" fillId="0" borderId="0" applyNumberForma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1" fillId="0" borderId="0"/>
  </cellStyleXfs>
  <cellXfs count="266">
    <xf numFmtId="0" fontId="0" fillId="0" borderId="0" xfId="0"/>
    <xf numFmtId="0" fontId="0" fillId="0" borderId="0" xfId="0" applyAlignment="1">
      <alignment horizontal="center"/>
    </xf>
    <xf numFmtId="0" fontId="5" fillId="4" borderId="8" xfId="0" applyFont="1" applyFill="1" applyBorder="1" applyAlignment="1">
      <alignment horizontal="left" vertical="center"/>
    </xf>
    <xf numFmtId="0" fontId="0" fillId="0" borderId="0" xfId="0" applyAlignment="1">
      <alignment horizontal="left" vertical="center"/>
    </xf>
    <xf numFmtId="0" fontId="8" fillId="0" borderId="0" xfId="0" applyFont="1"/>
    <xf numFmtId="0" fontId="7" fillId="0" borderId="0" xfId="0" applyFont="1"/>
    <xf numFmtId="0" fontId="5" fillId="4" borderId="11" xfId="0" applyFont="1" applyFill="1" applyBorder="1" applyAlignment="1">
      <alignment horizontal="left" vertical="center" wrapText="1"/>
    </xf>
    <xf numFmtId="0" fontId="5" fillId="4" borderId="3" xfId="0" applyFont="1" applyFill="1" applyBorder="1"/>
    <xf numFmtId="0" fontId="5" fillId="4" borderId="15" xfId="0" applyFont="1" applyFill="1" applyBorder="1"/>
    <xf numFmtId="0" fontId="5" fillId="4" borderId="4" xfId="0" applyFont="1" applyFill="1" applyBorder="1"/>
    <xf numFmtId="0" fontId="3" fillId="0" borderId="0" xfId="0" applyFont="1" applyAlignment="1">
      <alignment horizontal="center" vertical="center"/>
    </xf>
    <xf numFmtId="0" fontId="3" fillId="0" borderId="0" xfId="0" applyFont="1" applyAlignment="1">
      <alignment vertical="center"/>
    </xf>
    <xf numFmtId="0" fontId="5" fillId="0" borderId="0" xfId="0" applyFont="1" applyAlignment="1">
      <alignment vertical="center" wrapText="1"/>
    </xf>
    <xf numFmtId="0" fontId="5" fillId="0" borderId="0" xfId="0" applyFont="1" applyAlignment="1">
      <alignment vertical="center"/>
    </xf>
    <xf numFmtId="0" fontId="5" fillId="0" borderId="0" xfId="0" applyFont="1" applyAlignment="1">
      <alignment horizontal="center" vertical="center" wrapText="1"/>
    </xf>
    <xf numFmtId="0" fontId="14" fillId="8" borderId="20" xfId="0" applyFont="1" applyFill="1" applyBorder="1" applyAlignment="1">
      <alignment horizontal="justify" vertical="center" wrapText="1"/>
    </xf>
    <xf numFmtId="0" fontId="16" fillId="7" borderId="19" xfId="0" applyFont="1" applyFill="1" applyBorder="1" applyAlignment="1">
      <alignment horizontal="left" vertical="center" wrapText="1"/>
    </xf>
    <xf numFmtId="0" fontId="14" fillId="7" borderId="19" xfId="0" applyFont="1" applyFill="1" applyBorder="1" applyAlignment="1">
      <alignment horizontal="left" vertical="center" wrapText="1"/>
    </xf>
    <xf numFmtId="0" fontId="15" fillId="6" borderId="19" xfId="3" applyFont="1" applyFill="1" applyBorder="1" applyAlignment="1">
      <alignment horizontal="center" vertical="center" wrapText="1"/>
    </xf>
    <xf numFmtId="0" fontId="15" fillId="0" borderId="19" xfId="0" applyFont="1" applyBorder="1" applyAlignment="1">
      <alignment horizontal="center" vertical="center" wrapText="1"/>
    </xf>
    <xf numFmtId="42" fontId="15" fillId="0" borderId="19" xfId="1" applyFont="1" applyBorder="1" applyAlignment="1">
      <alignment horizontal="left" vertical="center" wrapText="1"/>
    </xf>
    <xf numFmtId="0" fontId="15" fillId="0" borderId="0" xfId="0" applyFont="1" applyAlignment="1">
      <alignment vertical="center"/>
    </xf>
    <xf numFmtId="0" fontId="15" fillId="0" borderId="19" xfId="0" applyFont="1" applyBorder="1" applyAlignment="1">
      <alignment horizontal="left" vertical="center" wrapText="1"/>
    </xf>
    <xf numFmtId="0" fontId="16" fillId="5" borderId="19" xfId="0" applyFont="1" applyFill="1" applyBorder="1" applyAlignment="1">
      <alignment horizontal="left" vertical="center" wrapText="1"/>
    </xf>
    <xf numFmtId="0" fontId="14" fillId="0" borderId="19" xfId="0" applyFont="1" applyBorder="1" applyAlignment="1">
      <alignment horizontal="left" vertical="center" wrapText="1"/>
    </xf>
    <xf numFmtId="0" fontId="15" fillId="0" borderId="19" xfId="0" applyFont="1" applyBorder="1" applyAlignment="1">
      <alignment vertical="center" wrapText="1"/>
    </xf>
    <xf numFmtId="0" fontId="15" fillId="0" borderId="19" xfId="0" applyFont="1" applyBorder="1" applyAlignment="1">
      <alignment horizontal="justify" vertical="center" wrapText="1"/>
    </xf>
    <xf numFmtId="0" fontId="15" fillId="0" borderId="19" xfId="0" applyFont="1" applyBorder="1" applyAlignment="1">
      <alignment wrapText="1"/>
    </xf>
    <xf numFmtId="0" fontId="10" fillId="0" borderId="0" xfId="0" applyFont="1" applyAlignment="1">
      <alignment vertical="center"/>
    </xf>
    <xf numFmtId="0" fontId="14" fillId="0" borderId="1" xfId="0" applyFont="1" applyBorder="1" applyAlignment="1">
      <alignment horizontal="justify" vertical="center" wrapText="1"/>
    </xf>
    <xf numFmtId="0" fontId="0" fillId="0" borderId="19" xfId="0" applyBorder="1" applyAlignment="1">
      <alignment horizontal="center"/>
    </xf>
    <xf numFmtId="0" fontId="0" fillId="0" borderId="19" xfId="0" applyBorder="1"/>
    <xf numFmtId="0" fontId="5" fillId="0" borderId="19" xfId="0" applyFont="1" applyBorder="1"/>
    <xf numFmtId="0" fontId="2" fillId="0" borderId="0" xfId="0" applyFont="1" applyAlignment="1">
      <alignment vertical="center"/>
    </xf>
    <xf numFmtId="0" fontId="2" fillId="0" borderId="0" xfId="0" applyFont="1" applyAlignment="1">
      <alignment horizontal="center" vertical="center"/>
    </xf>
    <xf numFmtId="42" fontId="15" fillId="0" borderId="0" xfId="0" applyNumberFormat="1" applyFont="1" applyAlignment="1">
      <alignment vertical="center"/>
    </xf>
    <xf numFmtId="164" fontId="15" fillId="0" borderId="19" xfId="1" applyNumberFormat="1" applyFont="1" applyBorder="1" applyAlignment="1">
      <alignment horizontal="left" vertical="center" wrapText="1"/>
    </xf>
    <xf numFmtId="164" fontId="15" fillId="0" borderId="19" xfId="0" applyNumberFormat="1" applyFont="1" applyBorder="1" applyAlignment="1">
      <alignment horizontal="left" vertical="center" wrapText="1"/>
    </xf>
    <xf numFmtId="164" fontId="2" fillId="0" borderId="0" xfId="0" applyNumberFormat="1" applyFont="1" applyAlignment="1">
      <alignment vertical="center"/>
    </xf>
    <xf numFmtId="164" fontId="5" fillId="0" borderId="0" xfId="0" applyNumberFormat="1" applyFont="1" applyAlignment="1">
      <alignment vertical="center" wrapText="1"/>
    </xf>
    <xf numFmtId="164" fontId="3" fillId="0" borderId="0" xfId="0" applyNumberFormat="1" applyFont="1" applyAlignment="1">
      <alignment vertical="center"/>
    </xf>
    <xf numFmtId="0" fontId="0" fillId="0" borderId="1" xfId="0" applyBorder="1"/>
    <xf numFmtId="164" fontId="15" fillId="0" borderId="22" xfId="0" applyNumberFormat="1" applyFont="1" applyBorder="1" applyAlignment="1">
      <alignment horizontal="left" vertical="center" wrapText="1"/>
    </xf>
    <xf numFmtId="42" fontId="15" fillId="0" borderId="24" xfId="1" applyFont="1" applyBorder="1" applyAlignment="1">
      <alignment horizontal="left" vertical="center" wrapText="1"/>
    </xf>
    <xf numFmtId="42" fontId="10" fillId="0" borderId="1" xfId="1" applyFont="1" applyBorder="1" applyAlignment="1">
      <alignment horizontal="left" vertical="center" wrapText="1"/>
    </xf>
    <xf numFmtId="0" fontId="10" fillId="0" borderId="1" xfId="0" applyFont="1" applyBorder="1" applyAlignment="1">
      <alignment vertical="center"/>
    </xf>
    <xf numFmtId="165" fontId="15" fillId="0" borderId="19" xfId="0" applyNumberFormat="1" applyFont="1" applyBorder="1" applyAlignment="1">
      <alignment horizontal="left" vertical="center" wrapText="1"/>
    </xf>
    <xf numFmtId="164" fontId="20" fillId="0" borderId="19" xfId="0" applyNumberFormat="1" applyFont="1" applyBorder="1" applyAlignment="1">
      <alignment horizontal="left" vertical="center" wrapText="1"/>
    </xf>
    <xf numFmtId="0" fontId="18" fillId="0" borderId="19" xfId="0" applyFont="1" applyBorder="1" applyAlignment="1">
      <alignment horizontal="justify" vertical="center" wrapText="1"/>
    </xf>
    <xf numFmtId="0" fontId="21" fillId="0" borderId="25" xfId="0" applyFont="1" applyBorder="1" applyAlignment="1">
      <alignment horizontal="center" vertical="center"/>
    </xf>
    <xf numFmtId="0" fontId="0" fillId="0" borderId="1" xfId="0" applyBorder="1" applyAlignment="1">
      <alignment wrapText="1"/>
    </xf>
    <xf numFmtId="0" fontId="0" fillId="0" borderId="1" xfId="0" applyBorder="1" applyAlignment="1">
      <alignment vertical="center" wrapText="1"/>
    </xf>
    <xf numFmtId="165" fontId="22" fillId="5" borderId="19" xfId="0" applyNumberFormat="1" applyFont="1" applyFill="1" applyBorder="1" applyAlignment="1" applyProtection="1">
      <alignment horizontal="center" vertical="center"/>
      <protection locked="0"/>
    </xf>
    <xf numFmtId="0" fontId="23" fillId="5" borderId="19" xfId="0" applyFont="1" applyFill="1" applyBorder="1" applyAlignment="1">
      <alignment horizontal="center" vertical="center" wrapText="1"/>
    </xf>
    <xf numFmtId="0" fontId="23" fillId="5" borderId="17" xfId="0" applyFont="1" applyFill="1" applyBorder="1" applyAlignment="1">
      <alignment horizontal="center" vertical="center" wrapText="1"/>
    </xf>
    <xf numFmtId="164" fontId="15" fillId="0" borderId="24" xfId="0" applyNumberFormat="1" applyFont="1" applyBorder="1" applyAlignment="1">
      <alignment horizontal="left" vertical="center" wrapText="1"/>
    </xf>
    <xf numFmtId="9" fontId="15" fillId="0" borderId="19" xfId="7" applyFont="1" applyBorder="1" applyAlignment="1">
      <alignment horizontal="left" vertical="center" wrapText="1"/>
    </xf>
    <xf numFmtId="9" fontId="15" fillId="0" borderId="19" xfId="7" applyFont="1" applyBorder="1" applyAlignment="1">
      <alignment horizontal="center" vertical="center" wrapText="1"/>
    </xf>
    <xf numFmtId="0" fontId="16" fillId="7" borderId="27" xfId="0" applyFont="1" applyFill="1" applyBorder="1" applyAlignment="1">
      <alignment horizontal="left" vertical="center" wrapText="1"/>
    </xf>
    <xf numFmtId="0" fontId="14" fillId="7" borderId="27" xfId="0" applyFont="1" applyFill="1" applyBorder="1" applyAlignment="1">
      <alignment horizontal="left" vertical="center" wrapText="1"/>
    </xf>
    <xf numFmtId="0" fontId="15" fillId="6" borderId="27" xfId="3" applyFont="1" applyFill="1" applyBorder="1" applyAlignment="1">
      <alignment horizontal="center" vertical="center" wrapText="1"/>
    </xf>
    <xf numFmtId="0" fontId="15" fillId="0" borderId="27" xfId="0" applyFont="1" applyBorder="1" applyAlignment="1">
      <alignment horizontal="center" vertical="center" wrapText="1"/>
    </xf>
    <xf numFmtId="164" fontId="15" fillId="0" borderId="27" xfId="0" applyNumberFormat="1" applyFont="1" applyBorder="1" applyAlignment="1">
      <alignment horizontal="left" vertical="center" wrapText="1"/>
    </xf>
    <xf numFmtId="9" fontId="15" fillId="0" borderId="27" xfId="7" applyFont="1" applyBorder="1" applyAlignment="1">
      <alignment horizontal="center" vertical="center" wrapText="1"/>
    </xf>
    <xf numFmtId="9" fontId="15" fillId="0" borderId="27" xfId="7" applyFont="1" applyBorder="1" applyAlignment="1">
      <alignment horizontal="left" vertical="center" wrapText="1"/>
    </xf>
    <xf numFmtId="42" fontId="15" fillId="0" borderId="27" xfId="1" applyFont="1" applyBorder="1" applyAlignment="1">
      <alignment horizontal="left" vertical="center" wrapText="1"/>
    </xf>
    <xf numFmtId="0" fontId="16" fillId="5" borderId="24" xfId="0" applyFont="1" applyFill="1" applyBorder="1" applyAlignment="1">
      <alignment horizontal="left" vertical="center" wrapText="1"/>
    </xf>
    <xf numFmtId="0" fontId="14" fillId="0" borderId="24" xfId="0" applyFont="1" applyBorder="1" applyAlignment="1">
      <alignment horizontal="left" vertical="center" wrapText="1"/>
    </xf>
    <xf numFmtId="9" fontId="15" fillId="0" borderId="24" xfId="7" applyFont="1" applyBorder="1" applyAlignment="1">
      <alignment horizontal="center" vertical="center" wrapText="1"/>
    </xf>
    <xf numFmtId="9" fontId="15" fillId="0" borderId="24" xfId="7" applyFont="1" applyBorder="1" applyAlignment="1">
      <alignment horizontal="left" vertical="center" wrapText="1"/>
    </xf>
    <xf numFmtId="0" fontId="11" fillId="13" borderId="30" xfId="0" applyFont="1" applyFill="1" applyBorder="1" applyAlignment="1">
      <alignment horizontal="left" vertical="center" wrapText="1"/>
    </xf>
    <xf numFmtId="0" fontId="2" fillId="13" borderId="30" xfId="3" applyFont="1" applyFill="1" applyBorder="1" applyAlignment="1">
      <alignment horizontal="center" vertical="center" wrapText="1"/>
    </xf>
    <xf numFmtId="0" fontId="2" fillId="13" borderId="30" xfId="0" applyFont="1" applyFill="1" applyBorder="1" applyAlignment="1">
      <alignment horizontal="center" vertical="center" wrapText="1"/>
    </xf>
    <xf numFmtId="164" fontId="15" fillId="13" borderId="30" xfId="0" applyNumberFormat="1" applyFont="1" applyFill="1" applyBorder="1" applyAlignment="1">
      <alignment horizontal="left" vertical="center" wrapText="1"/>
    </xf>
    <xf numFmtId="9" fontId="15" fillId="13" borderId="30" xfId="7" applyFont="1" applyFill="1" applyBorder="1" applyAlignment="1">
      <alignment horizontal="center" vertical="center" wrapText="1"/>
    </xf>
    <xf numFmtId="9" fontId="15" fillId="13" borderId="30" xfId="7" applyFont="1" applyFill="1" applyBorder="1" applyAlignment="1">
      <alignment horizontal="left" vertical="center" wrapText="1"/>
    </xf>
    <xf numFmtId="42" fontId="2" fillId="13" borderId="30" xfId="1" applyFont="1" applyFill="1" applyBorder="1" applyAlignment="1">
      <alignment horizontal="left" vertical="center" wrapText="1"/>
    </xf>
    <xf numFmtId="0" fontId="15" fillId="0" borderId="24" xfId="0" applyFont="1" applyBorder="1" applyAlignment="1">
      <alignment wrapText="1"/>
    </xf>
    <xf numFmtId="0" fontId="15" fillId="6" borderId="24" xfId="3" applyFont="1" applyFill="1" applyBorder="1" applyAlignment="1">
      <alignment horizontal="center" vertical="center" wrapText="1"/>
    </xf>
    <xf numFmtId="0" fontId="15" fillId="0" borderId="24" xfId="0" applyFont="1" applyBorder="1" applyAlignment="1">
      <alignment horizontal="center" vertical="center" wrapText="1"/>
    </xf>
    <xf numFmtId="0" fontId="12" fillId="14" borderId="21" xfId="0" applyFont="1" applyFill="1" applyBorder="1" applyAlignment="1">
      <alignment horizontal="right" vertical="center" wrapText="1"/>
    </xf>
    <xf numFmtId="0" fontId="13" fillId="14" borderId="21" xfId="0" applyFont="1" applyFill="1" applyBorder="1" applyAlignment="1">
      <alignment horizontal="left" vertical="center" wrapText="1"/>
    </xf>
    <xf numFmtId="0" fontId="2" fillId="14" borderId="21" xfId="3" applyFont="1" applyFill="1" applyBorder="1" applyAlignment="1">
      <alignment horizontal="center" vertical="center" wrapText="1"/>
    </xf>
    <xf numFmtId="0" fontId="2" fillId="14" borderId="21" xfId="0" applyFont="1" applyFill="1" applyBorder="1" applyAlignment="1">
      <alignment horizontal="center" vertical="center" wrapText="1"/>
    </xf>
    <xf numFmtId="164" fontId="15" fillId="14" borderId="21" xfId="0" applyNumberFormat="1" applyFont="1" applyFill="1" applyBorder="1" applyAlignment="1">
      <alignment horizontal="left" vertical="center" wrapText="1"/>
    </xf>
    <xf numFmtId="9" fontId="15" fillId="14" borderId="21" xfId="7" applyFont="1" applyFill="1" applyBorder="1" applyAlignment="1">
      <alignment horizontal="center" vertical="center" wrapText="1"/>
    </xf>
    <xf numFmtId="9" fontId="15" fillId="14" borderId="21" xfId="7" applyFont="1" applyFill="1" applyBorder="1" applyAlignment="1">
      <alignment horizontal="left" vertical="center" wrapText="1"/>
    </xf>
    <xf numFmtId="42" fontId="2" fillId="14" borderId="21" xfId="1" applyFont="1" applyFill="1" applyBorder="1" applyAlignment="1">
      <alignment horizontal="left" vertical="center" wrapText="1"/>
    </xf>
    <xf numFmtId="42" fontId="2" fillId="14" borderId="23" xfId="1" applyFont="1" applyFill="1" applyBorder="1" applyAlignment="1">
      <alignment horizontal="left" vertical="center" wrapText="1"/>
    </xf>
    <xf numFmtId="0" fontId="2" fillId="3" borderId="22" xfId="0" applyFont="1" applyFill="1" applyBorder="1" applyAlignment="1">
      <alignment horizontal="center" vertical="center"/>
    </xf>
    <xf numFmtId="42" fontId="2" fillId="3" borderId="23" xfId="1" applyFont="1" applyFill="1" applyBorder="1" applyAlignment="1">
      <alignment horizontal="left" vertical="center" wrapText="1"/>
    </xf>
    <xf numFmtId="0" fontId="13" fillId="3" borderId="21" xfId="0" applyFont="1" applyFill="1" applyBorder="1" applyAlignment="1">
      <alignment horizontal="left" vertical="center" wrapText="1"/>
    </xf>
    <xf numFmtId="0" fontId="2" fillId="3" borderId="21" xfId="3" applyFont="1" applyFill="1" applyBorder="1" applyAlignment="1">
      <alignment horizontal="center" vertical="center" wrapText="1"/>
    </xf>
    <xf numFmtId="0" fontId="2" fillId="3" borderId="21" xfId="0" applyFont="1" applyFill="1" applyBorder="1" applyAlignment="1">
      <alignment horizontal="center" vertical="center" wrapText="1"/>
    </xf>
    <xf numFmtId="164" fontId="15" fillId="3" borderId="21" xfId="0" applyNumberFormat="1" applyFont="1" applyFill="1" applyBorder="1" applyAlignment="1">
      <alignment horizontal="left" vertical="center" wrapText="1"/>
    </xf>
    <xf numFmtId="9" fontId="15" fillId="3" borderId="21" xfId="7" applyFont="1" applyFill="1" applyBorder="1" applyAlignment="1">
      <alignment horizontal="center" vertical="center" wrapText="1"/>
    </xf>
    <xf numFmtId="9" fontId="15" fillId="3" borderId="21" xfId="7" applyFont="1" applyFill="1" applyBorder="1" applyAlignment="1">
      <alignment horizontal="left" vertical="center" wrapText="1"/>
    </xf>
    <xf numFmtId="42" fontId="2" fillId="3" borderId="21" xfId="1" applyFont="1" applyFill="1" applyBorder="1" applyAlignment="1">
      <alignment horizontal="left" vertical="center" wrapText="1"/>
    </xf>
    <xf numFmtId="42" fontId="15" fillId="9" borderId="19" xfId="1" applyFont="1" applyFill="1" applyBorder="1" applyAlignment="1">
      <alignment horizontal="left" vertical="center" wrapText="1"/>
    </xf>
    <xf numFmtId="164" fontId="15" fillId="5" borderId="19" xfId="0" applyNumberFormat="1" applyFont="1" applyFill="1" applyBorder="1" applyAlignment="1">
      <alignment horizontal="left" vertical="center" wrapText="1"/>
    </xf>
    <xf numFmtId="0" fontId="14" fillId="0" borderId="27" xfId="0" applyFont="1" applyBorder="1" applyAlignment="1">
      <alignment horizontal="left" vertical="center" wrapText="1"/>
    </xf>
    <xf numFmtId="0" fontId="2" fillId="2" borderId="30" xfId="3" applyFont="1" applyFill="1" applyBorder="1" applyAlignment="1">
      <alignment horizontal="center" vertical="center" wrapText="1"/>
    </xf>
    <xf numFmtId="0" fontId="2" fillId="2" borderId="30" xfId="0" applyFont="1" applyFill="1" applyBorder="1" applyAlignment="1">
      <alignment horizontal="center" vertical="center" wrapText="1"/>
    </xf>
    <xf numFmtId="42" fontId="2" fillId="2" borderId="30" xfId="1" applyFont="1" applyFill="1" applyBorder="1" applyAlignment="1">
      <alignment horizontal="left" vertical="center" wrapText="1"/>
    </xf>
    <xf numFmtId="42" fontId="2" fillId="2" borderId="31" xfId="1" applyFont="1" applyFill="1" applyBorder="1" applyAlignment="1">
      <alignment horizontal="left" vertical="center" wrapText="1"/>
    </xf>
    <xf numFmtId="42" fontId="15" fillId="5" borderId="19" xfId="1" applyFont="1" applyFill="1" applyBorder="1" applyAlignment="1">
      <alignment horizontal="left" vertical="center" wrapText="1"/>
    </xf>
    <xf numFmtId="42" fontId="10" fillId="0" borderId="20" xfId="1" applyFont="1" applyBorder="1" applyAlignment="1">
      <alignment horizontal="center" vertical="center" wrapText="1"/>
    </xf>
    <xf numFmtId="0" fontId="14" fillId="0" borderId="19" xfId="0" applyFont="1" applyBorder="1" applyAlignment="1">
      <alignment horizontal="justify" vertical="center" wrapText="1"/>
    </xf>
    <xf numFmtId="0" fontId="12" fillId="3" borderId="21" xfId="0" applyFont="1" applyFill="1" applyBorder="1" applyAlignment="1">
      <alignment horizontal="right" vertical="center" wrapText="1"/>
    </xf>
    <xf numFmtId="0" fontId="15" fillId="5" borderId="24" xfId="0" applyFont="1" applyFill="1" applyBorder="1" applyAlignment="1">
      <alignment horizontal="justify" vertical="center" wrapText="1"/>
    </xf>
    <xf numFmtId="0" fontId="14" fillId="5" borderId="19" xfId="0" applyFont="1" applyFill="1" applyBorder="1" applyAlignment="1">
      <alignment horizontal="left" vertical="center" wrapText="1"/>
    </xf>
    <xf numFmtId="0" fontId="14" fillId="5" borderId="24" xfId="0" applyFont="1" applyFill="1" applyBorder="1" applyAlignment="1">
      <alignment horizontal="left" vertical="center" wrapText="1"/>
    </xf>
    <xf numFmtId="0" fontId="18" fillId="5" borderId="19" xfId="0" applyFont="1" applyFill="1" applyBorder="1" applyAlignment="1">
      <alignment horizontal="left" vertical="center" wrapText="1"/>
    </xf>
    <xf numFmtId="0" fontId="16" fillId="5" borderId="27" xfId="0" applyFont="1" applyFill="1" applyBorder="1" applyAlignment="1">
      <alignment horizontal="left" vertical="center" wrapText="1"/>
    </xf>
    <xf numFmtId="0" fontId="14" fillId="5" borderId="27" xfId="0" applyFont="1" applyFill="1" applyBorder="1" applyAlignment="1">
      <alignment horizontal="left" vertical="center" wrapText="1"/>
    </xf>
    <xf numFmtId="0" fontId="18" fillId="5" borderId="27" xfId="0" applyFont="1" applyFill="1" applyBorder="1" applyAlignment="1">
      <alignment vertical="center" wrapText="1"/>
    </xf>
    <xf numFmtId="164" fontId="15" fillId="0" borderId="27" xfId="1" applyNumberFormat="1" applyFont="1" applyBorder="1" applyAlignment="1">
      <alignment horizontal="left" vertical="center" wrapText="1"/>
    </xf>
    <xf numFmtId="164" fontId="2" fillId="14" borderId="21" xfId="1" applyNumberFormat="1" applyFont="1" applyFill="1" applyBorder="1" applyAlignment="1">
      <alignment horizontal="left" vertical="center" wrapText="1"/>
    </xf>
    <xf numFmtId="0" fontId="11" fillId="14" borderId="21" xfId="0" applyFont="1" applyFill="1" applyBorder="1" applyAlignment="1">
      <alignment horizontal="left" vertical="center" wrapText="1"/>
    </xf>
    <xf numFmtId="0" fontId="11" fillId="14" borderId="21" xfId="0" applyFont="1" applyFill="1" applyBorder="1" applyAlignment="1">
      <alignment horizontal="left" vertical="center"/>
    </xf>
    <xf numFmtId="0" fontId="5" fillId="3" borderId="27" xfId="0" applyFont="1" applyFill="1" applyBorder="1" applyAlignment="1">
      <alignment horizontal="center" vertical="center" wrapText="1"/>
    </xf>
    <xf numFmtId="0" fontId="5" fillId="3" borderId="27" xfId="0" applyFont="1" applyFill="1" applyBorder="1" applyAlignment="1">
      <alignment horizontal="center" vertical="center"/>
    </xf>
    <xf numFmtId="166" fontId="24" fillId="2" borderId="31" xfId="6" applyNumberFormat="1" applyFont="1" applyFill="1" applyBorder="1" applyAlignment="1">
      <alignment horizontal="center" vertical="center" wrapText="1"/>
    </xf>
    <xf numFmtId="0" fontId="24" fillId="2" borderId="27" xfId="3" applyFont="1" applyFill="1" applyBorder="1" applyAlignment="1">
      <alignment horizontal="center" vertical="center" wrapText="1"/>
    </xf>
    <xf numFmtId="166" fontId="24" fillId="12" borderId="31" xfId="6" applyNumberFormat="1" applyFont="1" applyFill="1" applyBorder="1" applyAlignment="1">
      <alignment horizontal="center" vertical="center" wrapText="1"/>
    </xf>
    <xf numFmtId="0" fontId="24" fillId="12" borderId="27" xfId="3" applyFont="1" applyFill="1" applyBorder="1" applyAlignment="1">
      <alignment horizontal="center" vertical="center" wrapText="1"/>
    </xf>
    <xf numFmtId="166" fontId="24" fillId="10" borderId="27" xfId="6" applyNumberFormat="1" applyFont="1" applyFill="1" applyBorder="1" applyAlignment="1">
      <alignment horizontal="center" vertical="center" wrapText="1"/>
    </xf>
    <xf numFmtId="166" fontId="24" fillId="11" borderId="27" xfId="6" applyNumberFormat="1" applyFont="1" applyFill="1" applyBorder="1" applyAlignment="1">
      <alignment horizontal="center" vertical="center" wrapText="1"/>
    </xf>
    <xf numFmtId="42" fontId="5" fillId="3" borderId="27" xfId="1" applyFont="1" applyFill="1" applyBorder="1" applyAlignment="1">
      <alignment horizontal="center" vertical="center" wrapText="1"/>
    </xf>
    <xf numFmtId="0" fontId="17" fillId="5" borderId="19" xfId="0" applyFont="1" applyFill="1" applyBorder="1" applyAlignment="1">
      <alignment horizontal="left" vertical="center" wrapText="1"/>
    </xf>
    <xf numFmtId="0" fontId="15" fillId="5" borderId="19" xfId="0" applyFont="1" applyFill="1" applyBorder="1" applyAlignment="1">
      <alignment horizontal="left" vertical="center" wrapText="1"/>
    </xf>
    <xf numFmtId="0" fontId="17" fillId="5" borderId="27" xfId="0" applyFont="1" applyFill="1" applyBorder="1" applyAlignment="1">
      <alignment horizontal="left" vertical="center" wrapText="1"/>
    </xf>
    <xf numFmtId="0" fontId="15" fillId="5" borderId="27" xfId="0" applyFont="1" applyFill="1" applyBorder="1" applyAlignment="1">
      <alignment horizontal="left" vertical="center" wrapText="1"/>
    </xf>
    <xf numFmtId="0" fontId="15" fillId="13" borderId="0" xfId="0" applyFont="1" applyFill="1" applyAlignment="1">
      <alignment horizontal="center" vertical="center"/>
    </xf>
    <xf numFmtId="0" fontId="11" fillId="13" borderId="0" xfId="0" applyFont="1" applyFill="1" applyAlignment="1">
      <alignment horizontal="left" vertical="center"/>
    </xf>
    <xf numFmtId="0" fontId="12" fillId="14" borderId="9" xfId="0" applyFont="1" applyFill="1" applyBorder="1" applyAlignment="1">
      <alignment horizontal="right" vertical="center" wrapText="1"/>
    </xf>
    <xf numFmtId="0" fontId="13" fillId="14" borderId="9" xfId="0" applyFont="1" applyFill="1" applyBorder="1" applyAlignment="1">
      <alignment horizontal="left" vertical="center" wrapText="1"/>
    </xf>
    <xf numFmtId="0" fontId="2" fillId="14" borderId="9" xfId="3" applyFont="1" applyFill="1" applyBorder="1" applyAlignment="1">
      <alignment horizontal="center" vertical="center" wrapText="1"/>
    </xf>
    <xf numFmtId="0" fontId="2" fillId="14" borderId="9" xfId="0" applyFont="1" applyFill="1" applyBorder="1" applyAlignment="1">
      <alignment horizontal="center" vertical="center" wrapText="1"/>
    </xf>
    <xf numFmtId="164" fontId="15" fillId="14" borderId="9" xfId="0" applyNumberFormat="1" applyFont="1" applyFill="1" applyBorder="1" applyAlignment="1">
      <alignment horizontal="left" vertical="center" wrapText="1"/>
    </xf>
    <xf numFmtId="9" fontId="15" fillId="14" borderId="9" xfId="7" applyFont="1" applyFill="1" applyBorder="1" applyAlignment="1">
      <alignment horizontal="center" vertical="center" wrapText="1"/>
    </xf>
    <xf numFmtId="9" fontId="15" fillId="14" borderId="9" xfId="7" applyFont="1" applyFill="1" applyBorder="1" applyAlignment="1">
      <alignment horizontal="left" vertical="center" wrapText="1"/>
    </xf>
    <xf numFmtId="42" fontId="2" fillId="14" borderId="9" xfId="1" applyFont="1" applyFill="1" applyBorder="1" applyAlignment="1">
      <alignment horizontal="left" vertical="center" wrapText="1"/>
    </xf>
    <xf numFmtId="42" fontId="2" fillId="14" borderId="10" xfId="1" applyFont="1" applyFill="1" applyBorder="1" applyAlignment="1">
      <alignment horizontal="left" vertical="center" wrapText="1"/>
    </xf>
    <xf numFmtId="42" fontId="15" fillId="9" borderId="27" xfId="1" applyFont="1" applyFill="1" applyBorder="1" applyAlignment="1">
      <alignment horizontal="left" vertical="center" wrapText="1"/>
    </xf>
    <xf numFmtId="0" fontId="11" fillId="2" borderId="29" xfId="0" applyFont="1" applyFill="1" applyBorder="1" applyAlignment="1">
      <alignment horizontal="left" vertical="center"/>
    </xf>
    <xf numFmtId="0" fontId="14" fillId="5" borderId="20" xfId="0" applyFont="1" applyFill="1" applyBorder="1" applyAlignment="1">
      <alignment horizontal="justify" vertical="center" wrapText="1"/>
    </xf>
    <xf numFmtId="0" fontId="26" fillId="15" borderId="24" xfId="8" applyFont="1" applyFill="1" applyBorder="1" applyAlignment="1">
      <alignment horizontal="center" vertical="center"/>
    </xf>
    <xf numFmtId="0" fontId="27" fillId="0" borderId="19" xfId="8" applyFont="1" applyBorder="1" applyAlignment="1">
      <alignment horizontal="center" vertical="center"/>
    </xf>
    <xf numFmtId="166" fontId="24" fillId="16" borderId="31" xfId="6" applyNumberFormat="1" applyFont="1" applyFill="1" applyBorder="1" applyAlignment="1">
      <alignment horizontal="center" vertical="center" wrapText="1"/>
    </xf>
    <xf numFmtId="0" fontId="24" fillId="16" borderId="27" xfId="3" applyFont="1" applyFill="1" applyBorder="1" applyAlignment="1">
      <alignment horizontal="center" vertical="center" wrapText="1"/>
    </xf>
    <xf numFmtId="0" fontId="11" fillId="2" borderId="30" xfId="0" applyFont="1" applyFill="1" applyBorder="1" applyAlignment="1">
      <alignment horizontal="left" vertical="center" wrapText="1"/>
    </xf>
    <xf numFmtId="0" fontId="11" fillId="2" borderId="30" xfId="0" applyFont="1" applyFill="1" applyBorder="1" applyAlignment="1">
      <alignment horizontal="left" vertical="center"/>
    </xf>
    <xf numFmtId="164" fontId="2" fillId="2" borderId="30" xfId="1" applyNumberFormat="1" applyFont="1" applyFill="1" applyBorder="1" applyAlignment="1">
      <alignment horizontal="left" vertical="center" wrapText="1"/>
    </xf>
    <xf numFmtId="0" fontId="16" fillId="7" borderId="24" xfId="0" applyFont="1" applyFill="1" applyBorder="1" applyAlignment="1">
      <alignment horizontal="left" vertical="center" wrapText="1"/>
    </xf>
    <xf numFmtId="0" fontId="14" fillId="7" borderId="24" xfId="0" applyFont="1" applyFill="1" applyBorder="1" applyAlignment="1">
      <alignment horizontal="left" vertical="center" wrapText="1"/>
    </xf>
    <xf numFmtId="0" fontId="15" fillId="6" borderId="24" xfId="3" applyFont="1" applyFill="1" applyBorder="1" applyAlignment="1">
      <alignment horizontal="center" vertical="center"/>
    </xf>
    <xf numFmtId="164" fontId="15" fillId="0" borderId="24" xfId="1" applyNumberFormat="1" applyFont="1" applyBorder="1" applyAlignment="1">
      <alignment horizontal="left" vertical="center" wrapText="1"/>
    </xf>
    <xf numFmtId="164" fontId="2" fillId="3" borderId="21" xfId="1" applyNumberFormat="1" applyFont="1" applyFill="1" applyBorder="1" applyAlignment="1">
      <alignment horizontal="left" vertical="center" wrapText="1"/>
    </xf>
    <xf numFmtId="0" fontId="2" fillId="17" borderId="26" xfId="3" applyFont="1" applyFill="1" applyBorder="1" applyAlignment="1">
      <alignment horizontal="center" vertical="center" wrapText="1"/>
    </xf>
    <xf numFmtId="0" fontId="2" fillId="17" borderId="26" xfId="0" applyFont="1" applyFill="1" applyBorder="1" applyAlignment="1">
      <alignment horizontal="center" vertical="center" wrapText="1"/>
    </xf>
    <xf numFmtId="164" fontId="15" fillId="17" borderId="26" xfId="0" applyNumberFormat="1" applyFont="1" applyFill="1" applyBorder="1" applyAlignment="1">
      <alignment horizontal="left" vertical="center" wrapText="1"/>
    </xf>
    <xf numFmtId="42" fontId="2" fillId="17" borderId="26" xfId="1" applyFont="1" applyFill="1" applyBorder="1" applyAlignment="1">
      <alignment horizontal="left" vertical="center" wrapText="1"/>
    </xf>
    <xf numFmtId="42" fontId="2" fillId="17" borderId="32" xfId="1" applyFont="1" applyFill="1" applyBorder="1" applyAlignment="1">
      <alignment horizontal="left" vertical="center" wrapText="1"/>
    </xf>
    <xf numFmtId="0" fontId="5" fillId="17" borderId="26" xfId="3" applyFont="1" applyFill="1" applyBorder="1" applyAlignment="1">
      <alignment horizontal="center" vertical="center" wrapText="1"/>
    </xf>
    <xf numFmtId="0" fontId="15" fillId="0" borderId="32" xfId="0" applyFont="1" applyBorder="1" applyAlignment="1">
      <alignment horizontal="center" vertical="center"/>
    </xf>
    <xf numFmtId="0" fontId="15" fillId="0" borderId="23" xfId="0" applyFont="1" applyBorder="1" applyAlignment="1">
      <alignment horizontal="center" vertical="center"/>
    </xf>
    <xf numFmtId="0" fontId="15" fillId="0" borderId="31" xfId="0" applyFont="1" applyBorder="1" applyAlignment="1">
      <alignment horizontal="center" vertical="center"/>
    </xf>
    <xf numFmtId="0" fontId="2" fillId="14" borderId="21" xfId="0" applyFont="1" applyFill="1" applyBorder="1" applyAlignment="1">
      <alignment horizontal="center" vertical="center"/>
    </xf>
    <xf numFmtId="0" fontId="3" fillId="14" borderId="21" xfId="0" applyFont="1" applyFill="1" applyBorder="1" applyAlignment="1">
      <alignment vertical="center"/>
    </xf>
    <xf numFmtId="0" fontId="15" fillId="0" borderId="33" xfId="0" applyFont="1" applyBorder="1" applyAlignment="1">
      <alignment horizontal="center" vertical="center"/>
    </xf>
    <xf numFmtId="0" fontId="2" fillId="3" borderId="21" xfId="0" applyFont="1" applyFill="1" applyBorder="1" applyAlignment="1">
      <alignment horizontal="center" vertical="center"/>
    </xf>
    <xf numFmtId="0" fontId="2" fillId="17" borderId="26" xfId="0" applyFont="1" applyFill="1" applyBorder="1" applyAlignment="1">
      <alignment horizontal="center" vertical="center"/>
    </xf>
    <xf numFmtId="0" fontId="3" fillId="0" borderId="19" xfId="0" applyFont="1" applyBorder="1" applyAlignment="1">
      <alignment horizontal="center" vertical="center"/>
    </xf>
    <xf numFmtId="166" fontId="29" fillId="9" borderId="34" xfId="0" applyNumberFormat="1" applyFont="1" applyFill="1" applyBorder="1" applyAlignment="1">
      <alignment vertical="center" wrapText="1"/>
    </xf>
    <xf numFmtId="166" fontId="29" fillId="5" borderId="17" xfId="6" applyNumberFormat="1" applyFont="1" applyFill="1" applyBorder="1" applyAlignment="1">
      <alignment horizontal="center" vertical="center"/>
    </xf>
    <xf numFmtId="166" fontId="29" fillId="9" borderId="35" xfId="0" applyNumberFormat="1" applyFont="1" applyFill="1" applyBorder="1" applyAlignment="1">
      <alignment vertical="center" wrapText="1"/>
    </xf>
    <xf numFmtId="166" fontId="29" fillId="9" borderId="36" xfId="0" applyNumberFormat="1" applyFont="1" applyFill="1" applyBorder="1" applyAlignment="1">
      <alignment vertical="center" wrapText="1"/>
    </xf>
    <xf numFmtId="166" fontId="29" fillId="5" borderId="18" xfId="6" applyNumberFormat="1" applyFont="1" applyFill="1" applyBorder="1" applyAlignment="1">
      <alignment horizontal="center" vertical="center"/>
    </xf>
    <xf numFmtId="42" fontId="15" fillId="5" borderId="24" xfId="1" applyFont="1" applyFill="1" applyBorder="1" applyAlignment="1">
      <alignment horizontal="left" vertical="center" wrapText="1"/>
    </xf>
    <xf numFmtId="42" fontId="15" fillId="5" borderId="24" xfId="1" applyFont="1" applyFill="1" applyBorder="1" applyAlignment="1">
      <alignment horizontal="center" vertical="center" wrapText="1"/>
    </xf>
    <xf numFmtId="164" fontId="15" fillId="5" borderId="27" xfId="0" applyNumberFormat="1" applyFont="1" applyFill="1" applyBorder="1" applyAlignment="1">
      <alignment horizontal="left" vertical="center" wrapText="1"/>
    </xf>
    <xf numFmtId="0" fontId="17" fillId="5" borderId="19" xfId="0" applyFont="1" applyFill="1" applyBorder="1" applyAlignment="1">
      <alignment vertical="center"/>
    </xf>
    <xf numFmtId="164" fontId="15" fillId="0" borderId="27" xfId="0" applyNumberFormat="1" applyFont="1" applyFill="1" applyBorder="1" applyAlignment="1">
      <alignment horizontal="left" vertical="center" wrapText="1"/>
    </xf>
    <xf numFmtId="164" fontId="15" fillId="0" borderId="24" xfId="0" applyNumberFormat="1" applyFont="1" applyFill="1" applyBorder="1" applyAlignment="1">
      <alignment horizontal="left" vertical="center" wrapText="1"/>
    </xf>
    <xf numFmtId="164" fontId="30" fillId="0" borderId="19" xfId="0" applyNumberFormat="1" applyFont="1" applyBorder="1" applyAlignment="1">
      <alignment horizontal="left" vertical="center" wrapText="1"/>
    </xf>
    <xf numFmtId="0" fontId="3" fillId="0" borderId="19" xfId="0" applyFont="1" applyFill="1" applyBorder="1" applyAlignment="1">
      <alignment horizontal="center" vertical="center"/>
    </xf>
    <xf numFmtId="0" fontId="15" fillId="0" borderId="32" xfId="0" applyFont="1" applyFill="1" applyBorder="1" applyAlignment="1">
      <alignment horizontal="center" vertical="center"/>
    </xf>
    <xf numFmtId="0" fontId="16" fillId="0" borderId="19" xfId="0" applyFont="1" applyFill="1" applyBorder="1" applyAlignment="1">
      <alignment horizontal="left" vertical="center" wrapText="1"/>
    </xf>
    <xf numFmtId="0" fontId="14" fillId="0" borderId="19" xfId="0" applyFont="1" applyFill="1" applyBorder="1" applyAlignment="1">
      <alignment horizontal="left" vertical="center" wrapText="1"/>
    </xf>
    <xf numFmtId="0" fontId="15" fillId="0" borderId="19" xfId="3" applyFont="1" applyFill="1" applyBorder="1" applyAlignment="1">
      <alignment horizontal="center" vertical="center" wrapText="1"/>
    </xf>
    <xf numFmtId="0" fontId="15" fillId="0" borderId="19" xfId="0" applyFont="1" applyFill="1" applyBorder="1" applyAlignment="1">
      <alignment horizontal="center" vertical="center" wrapText="1"/>
    </xf>
    <xf numFmtId="164" fontId="15" fillId="0" borderId="19" xfId="0" applyNumberFormat="1" applyFont="1" applyFill="1" applyBorder="1" applyAlignment="1">
      <alignment horizontal="left" vertical="center" wrapText="1"/>
    </xf>
    <xf numFmtId="9" fontId="15" fillId="0" borderId="19" xfId="7" applyFont="1" applyFill="1" applyBorder="1" applyAlignment="1">
      <alignment horizontal="center" vertical="center" wrapText="1"/>
    </xf>
    <xf numFmtId="9" fontId="15" fillId="0" borderId="19" xfId="7" applyFont="1" applyFill="1" applyBorder="1" applyAlignment="1">
      <alignment horizontal="left" vertical="center" wrapText="1"/>
    </xf>
    <xf numFmtId="42" fontId="10" fillId="0" borderId="20" xfId="1" applyFont="1" applyFill="1" applyBorder="1" applyAlignment="1">
      <alignment horizontal="center" vertical="center" wrapText="1"/>
    </xf>
    <xf numFmtId="42" fontId="15" fillId="0" borderId="19" xfId="1" applyFont="1" applyFill="1" applyBorder="1" applyAlignment="1">
      <alignment horizontal="left" vertical="center" wrapText="1"/>
    </xf>
    <xf numFmtId="0" fontId="15" fillId="0" borderId="0" xfId="0" applyFont="1" applyFill="1" applyAlignment="1">
      <alignment vertical="center"/>
    </xf>
    <xf numFmtId="0" fontId="15" fillId="0" borderId="23" xfId="0" applyFont="1" applyFill="1" applyBorder="1" applyAlignment="1">
      <alignment horizontal="center" vertical="center"/>
    </xf>
    <xf numFmtId="166" fontId="24" fillId="0" borderId="27" xfId="6" applyNumberFormat="1" applyFont="1" applyFill="1" applyBorder="1" applyAlignment="1">
      <alignment horizontal="center" vertical="center" wrapText="1"/>
    </xf>
    <xf numFmtId="164" fontId="2" fillId="0" borderId="30" xfId="1" applyNumberFormat="1" applyFont="1" applyFill="1" applyBorder="1" applyAlignment="1">
      <alignment horizontal="left" vertical="center" wrapText="1"/>
    </xf>
    <xf numFmtId="164" fontId="2" fillId="0" borderId="21" xfId="1" applyNumberFormat="1" applyFont="1" applyFill="1" applyBorder="1" applyAlignment="1">
      <alignment horizontal="left" vertical="center" wrapText="1"/>
    </xf>
    <xf numFmtId="164" fontId="15" fillId="0" borderId="21" xfId="0" applyNumberFormat="1" applyFont="1" applyFill="1" applyBorder="1" applyAlignment="1">
      <alignment horizontal="left" vertical="center" wrapText="1"/>
    </xf>
    <xf numFmtId="164" fontId="15" fillId="0" borderId="28" xfId="0" applyNumberFormat="1" applyFont="1" applyFill="1" applyBorder="1" applyAlignment="1">
      <alignment horizontal="left" vertical="center" wrapText="1"/>
    </xf>
    <xf numFmtId="164" fontId="15" fillId="0" borderId="30" xfId="0" applyNumberFormat="1" applyFont="1" applyFill="1" applyBorder="1" applyAlignment="1">
      <alignment horizontal="left" vertical="center" wrapText="1"/>
    </xf>
    <xf numFmtId="164" fontId="15" fillId="0" borderId="9" xfId="0" applyNumberFormat="1" applyFont="1" applyFill="1" applyBorder="1" applyAlignment="1">
      <alignment horizontal="left" vertical="center" wrapText="1"/>
    </xf>
    <xf numFmtId="164" fontId="15" fillId="0" borderId="26" xfId="0" applyNumberFormat="1" applyFont="1" applyFill="1" applyBorder="1" applyAlignment="1">
      <alignment horizontal="left" vertical="center" wrapText="1"/>
    </xf>
    <xf numFmtId="164" fontId="3" fillId="0" borderId="0" xfId="0" applyNumberFormat="1" applyFont="1" applyFill="1" applyAlignment="1">
      <alignment vertical="center"/>
    </xf>
    <xf numFmtId="166" fontId="29" fillId="0" borderId="16" xfId="6" applyNumberFormat="1" applyFont="1" applyFill="1" applyBorder="1" applyAlignment="1">
      <alignment horizontal="center" vertical="center"/>
    </xf>
    <xf numFmtId="166" fontId="29" fillId="0" borderId="17" xfId="6" applyNumberFormat="1" applyFont="1" applyFill="1" applyBorder="1" applyAlignment="1">
      <alignment horizontal="center" vertical="center"/>
    </xf>
    <xf numFmtId="166" fontId="29" fillId="0" borderId="18" xfId="6" applyNumberFormat="1" applyFont="1" applyFill="1" applyBorder="1" applyAlignment="1">
      <alignment horizontal="center" vertical="center"/>
    </xf>
    <xf numFmtId="0" fontId="18" fillId="0" borderId="19" xfId="0" applyFont="1" applyFill="1" applyBorder="1" applyAlignment="1">
      <alignment horizontal="left" vertical="center" wrapText="1"/>
    </xf>
    <xf numFmtId="42" fontId="15" fillId="0" borderId="19" xfId="1" applyFont="1" applyFill="1" applyBorder="1" applyAlignment="1">
      <alignment horizontal="center" vertical="center" wrapText="1"/>
    </xf>
    <xf numFmtId="0" fontId="15" fillId="0" borderId="19" xfId="0" applyFont="1" applyFill="1" applyBorder="1" applyAlignment="1">
      <alignment horizontal="justify" vertical="center" wrapText="1"/>
    </xf>
    <xf numFmtId="6" fontId="25" fillId="0" borderId="1" xfId="0" applyNumberFormat="1" applyFont="1" applyFill="1" applyBorder="1" applyAlignment="1">
      <alignment horizontal="left" vertical="center" wrapText="1"/>
    </xf>
    <xf numFmtId="6" fontId="14" fillId="0" borderId="19" xfId="0" applyNumberFormat="1" applyFont="1" applyFill="1" applyBorder="1" applyAlignment="1">
      <alignment horizontal="left" vertical="center" wrapText="1"/>
    </xf>
    <xf numFmtId="165" fontId="15" fillId="0" borderId="19" xfId="0" applyNumberFormat="1" applyFont="1" applyFill="1" applyBorder="1" applyAlignment="1">
      <alignment horizontal="left" vertical="center" wrapText="1"/>
    </xf>
    <xf numFmtId="164" fontId="15" fillId="0" borderId="27" xfId="1" applyNumberFormat="1" applyFont="1" applyFill="1" applyBorder="1" applyAlignment="1">
      <alignment horizontal="left" vertical="center" wrapText="1"/>
    </xf>
    <xf numFmtId="0" fontId="15" fillId="0" borderId="33" xfId="0" applyFont="1" applyFill="1" applyBorder="1" applyAlignment="1">
      <alignment horizontal="center" vertical="center"/>
    </xf>
    <xf numFmtId="0" fontId="16" fillId="0" borderId="28" xfId="0" applyFont="1" applyFill="1" applyBorder="1" applyAlignment="1">
      <alignment horizontal="left" vertical="center" wrapText="1"/>
    </xf>
    <xf numFmtId="0" fontId="14" fillId="0" borderId="28" xfId="0" applyFont="1" applyFill="1" applyBorder="1" applyAlignment="1">
      <alignment horizontal="left" vertical="center" wrapText="1"/>
    </xf>
    <xf numFmtId="0" fontId="15" fillId="0" borderId="28" xfId="3" applyFont="1" applyFill="1" applyBorder="1" applyAlignment="1">
      <alignment horizontal="center" vertical="center" wrapText="1"/>
    </xf>
    <xf numFmtId="0" fontId="15" fillId="0" borderId="28" xfId="3" applyFont="1" applyFill="1" applyBorder="1" applyAlignment="1">
      <alignment horizontal="center" vertical="center"/>
    </xf>
    <xf numFmtId="0" fontId="15" fillId="0" borderId="28" xfId="0" applyFont="1" applyFill="1" applyBorder="1" applyAlignment="1">
      <alignment horizontal="center" vertical="center" wrapText="1"/>
    </xf>
    <xf numFmtId="165" fontId="15" fillId="0" borderId="28" xfId="0" applyNumberFormat="1" applyFont="1" applyFill="1" applyBorder="1" applyAlignment="1">
      <alignment horizontal="center" vertical="center" wrapText="1"/>
    </xf>
    <xf numFmtId="9" fontId="15" fillId="0" borderId="28" xfId="7" applyFont="1" applyFill="1" applyBorder="1" applyAlignment="1">
      <alignment horizontal="center" vertical="center" wrapText="1"/>
    </xf>
    <xf numFmtId="9" fontId="15" fillId="0" borderId="28" xfId="7" applyFont="1" applyFill="1" applyBorder="1" applyAlignment="1">
      <alignment horizontal="left" vertical="center" wrapText="1"/>
    </xf>
    <xf numFmtId="42" fontId="15" fillId="0" borderId="28" xfId="1" applyFont="1" applyFill="1" applyBorder="1" applyAlignment="1">
      <alignment horizontal="center" vertical="center" wrapText="1"/>
    </xf>
    <xf numFmtId="0" fontId="0" fillId="0" borderId="9" xfId="0" applyBorder="1" applyAlignment="1">
      <alignment horizontal="left" vertical="center"/>
    </xf>
    <xf numFmtId="0" fontId="0" fillId="0" borderId="10" xfId="0" applyBorder="1" applyAlignment="1">
      <alignment horizontal="left" vertical="center"/>
    </xf>
    <xf numFmtId="0" fontId="5" fillId="4" borderId="12" xfId="0" applyFont="1" applyFill="1" applyBorder="1" applyAlignment="1">
      <alignment horizontal="left"/>
    </xf>
    <xf numFmtId="0" fontId="5" fillId="4" borderId="10" xfId="0" applyFont="1" applyFill="1" applyBorder="1" applyAlignment="1">
      <alignment horizontal="left"/>
    </xf>
    <xf numFmtId="0" fontId="8" fillId="0" borderId="0" xfId="0" applyFont="1" applyAlignment="1">
      <alignment horizontal="center"/>
    </xf>
    <xf numFmtId="0" fontId="7" fillId="0" borderId="0" xfId="0" applyFont="1" applyAlignment="1">
      <alignment horizontal="center"/>
    </xf>
    <xf numFmtId="0" fontId="0" fillId="0" borderId="0" xfId="0" applyAlignment="1">
      <alignment horizontal="center" vertical="center"/>
    </xf>
    <xf numFmtId="0" fontId="0" fillId="0" borderId="2" xfId="0" applyBorder="1" applyAlignment="1">
      <alignment horizontal="center" vertical="center"/>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4" borderId="13" xfId="0" applyFill="1" applyBorder="1" applyAlignment="1">
      <alignment horizontal="center" vertical="center"/>
    </xf>
    <xf numFmtId="0" fontId="0" fillId="4" borderId="14" xfId="0" applyFill="1" applyBorder="1" applyAlignment="1">
      <alignment horizontal="center" vertical="center"/>
    </xf>
    <xf numFmtId="0" fontId="0" fillId="0" borderId="15" xfId="0" applyBorder="1" applyAlignment="1">
      <alignment horizontal="center"/>
    </xf>
    <xf numFmtId="0" fontId="0" fillId="0" borderId="4" xfId="0" applyBorder="1" applyAlignment="1">
      <alignment horizontal="center"/>
    </xf>
    <xf numFmtId="0" fontId="0" fillId="0" borderId="2" xfId="0" applyBorder="1" applyAlignment="1">
      <alignment horizontal="center"/>
    </xf>
    <xf numFmtId="0" fontId="0" fillId="0" borderId="6" xfId="0" applyBorder="1" applyAlignment="1">
      <alignment horizontal="center"/>
    </xf>
    <xf numFmtId="0" fontId="6" fillId="0" borderId="9" xfId="2" applyBorder="1" applyAlignment="1">
      <alignment horizontal="left" vertical="center"/>
    </xf>
    <xf numFmtId="0" fontId="6" fillId="0" borderId="10" xfId="2" applyBorder="1" applyAlignment="1">
      <alignment horizontal="left" vertical="center"/>
    </xf>
    <xf numFmtId="0" fontId="0" fillId="0" borderId="12" xfId="0" applyBorder="1" applyAlignment="1">
      <alignment horizontal="center" vertical="center"/>
    </xf>
    <xf numFmtId="0" fontId="0" fillId="0" borderId="10" xfId="0" applyBorder="1" applyAlignment="1">
      <alignment horizontal="center" vertical="center"/>
    </xf>
    <xf numFmtId="0" fontId="5" fillId="4" borderId="13"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5" xfId="0" applyFont="1" applyFill="1" applyBorder="1" applyAlignment="1">
      <alignment horizontal="center" vertical="center"/>
    </xf>
    <xf numFmtId="0" fontId="28" fillId="18" borderId="5" xfId="0" applyFont="1" applyFill="1" applyBorder="1" applyAlignment="1">
      <alignment horizontal="center" vertical="center"/>
    </xf>
    <xf numFmtId="0" fontId="28" fillId="18" borderId="6" xfId="0" applyFont="1" applyFill="1" applyBorder="1" applyAlignment="1">
      <alignment horizontal="center" vertical="center"/>
    </xf>
    <xf numFmtId="0" fontId="28" fillId="18" borderId="12" xfId="0" applyFont="1" applyFill="1" applyBorder="1" applyAlignment="1">
      <alignment horizontal="center" vertical="center"/>
    </xf>
    <xf numFmtId="0" fontId="28" fillId="9" borderId="10" xfId="0" applyFont="1" applyFill="1" applyBorder="1" applyAlignment="1">
      <alignment horizontal="center" vertical="center"/>
    </xf>
    <xf numFmtId="0" fontId="3" fillId="9" borderId="19" xfId="0" applyFont="1" applyFill="1" applyBorder="1" applyAlignment="1">
      <alignment horizontal="center" vertical="center"/>
    </xf>
    <xf numFmtId="0" fontId="15" fillId="9" borderId="23" xfId="0" applyFont="1" applyFill="1" applyBorder="1" applyAlignment="1">
      <alignment horizontal="center" vertical="center"/>
    </xf>
    <xf numFmtId="0" fontId="16" fillId="9" borderId="19" xfId="0" applyFont="1" applyFill="1" applyBorder="1" applyAlignment="1">
      <alignment horizontal="left" vertical="center" wrapText="1"/>
    </xf>
    <xf numFmtId="0" fontId="14" fillId="9" borderId="19" xfId="0" applyFont="1" applyFill="1" applyBorder="1" applyAlignment="1">
      <alignment horizontal="left" vertical="center" wrapText="1"/>
    </xf>
    <xf numFmtId="0" fontId="15" fillId="9" borderId="19" xfId="3" applyFont="1" applyFill="1" applyBorder="1" applyAlignment="1">
      <alignment horizontal="center" vertical="center" wrapText="1"/>
    </xf>
    <xf numFmtId="0" fontId="15" fillId="9" borderId="19" xfId="0" applyFont="1" applyFill="1" applyBorder="1" applyAlignment="1">
      <alignment horizontal="center" vertical="center" wrapText="1"/>
    </xf>
    <xf numFmtId="164" fontId="15" fillId="9" borderId="19" xfId="0" applyNumberFormat="1" applyFont="1" applyFill="1" applyBorder="1" applyAlignment="1">
      <alignment horizontal="left" vertical="center" wrapText="1"/>
    </xf>
    <xf numFmtId="9" fontId="15" fillId="9" borderId="19" xfId="7" applyFont="1" applyFill="1" applyBorder="1" applyAlignment="1">
      <alignment horizontal="center" vertical="center" wrapText="1"/>
    </xf>
    <xf numFmtId="9" fontId="15" fillId="9" borderId="19" xfId="7" applyFont="1" applyFill="1" applyBorder="1" applyAlignment="1">
      <alignment horizontal="left" vertical="center" wrapText="1"/>
    </xf>
    <xf numFmtId="0" fontId="15" fillId="9" borderId="0" xfId="0" applyFont="1" applyFill="1" applyAlignment="1">
      <alignment vertical="center"/>
    </xf>
  </cellXfs>
  <cellStyles count="9">
    <cellStyle name="Hipervínculo" xfId="2" builtinId="8"/>
    <cellStyle name="Hyperlink" xfId="5"/>
    <cellStyle name="Moneda" xfId="6" builtinId="4"/>
    <cellStyle name="Moneda [0]" xfId="1" builtinId="7"/>
    <cellStyle name="Normal" xfId="0" builtinId="0"/>
    <cellStyle name="Normal 2" xfId="8"/>
    <cellStyle name="Normal 2 3" xfId="4"/>
    <cellStyle name="Normal 3" xfId="3"/>
    <cellStyle name="Porcentaje" xfId="7"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5</xdr:col>
      <xdr:colOff>2652736</xdr:colOff>
      <xdr:row>0</xdr:row>
      <xdr:rowOff>129541</xdr:rowOff>
    </xdr:from>
    <xdr:to>
      <xdr:col>5</xdr:col>
      <xdr:colOff>3542660</xdr:colOff>
      <xdr:row>2</xdr:row>
      <xdr:rowOff>114301</xdr:rowOff>
    </xdr:to>
    <xdr:pic>
      <xdr:nvPicPr>
        <xdr:cNvPr id="3" name="gráficos1">
          <a:extLst>
            <a:ext uri="{FF2B5EF4-FFF2-40B4-BE49-F238E27FC236}">
              <a16:creationId xmlns="" xmlns:a16="http://schemas.microsoft.com/office/drawing/2014/main" id="{9C609169-E954-46B3-97E9-C6832AF5F7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45716" y="129541"/>
          <a:ext cx="889924" cy="617220"/>
        </a:xfrm>
        <a:prstGeom prst="rect">
          <a:avLst/>
        </a:prstGeom>
        <a:solidFill>
          <a:srgbClr val="FFFFFF"/>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151</xdr:row>
      <xdr:rowOff>0</xdr:rowOff>
    </xdr:from>
    <xdr:to>
      <xdr:col>5</xdr:col>
      <xdr:colOff>629105</xdr:colOff>
      <xdr:row>161</xdr:row>
      <xdr:rowOff>80734</xdr:rowOff>
    </xdr:to>
    <xdr:pic>
      <xdr:nvPicPr>
        <xdr:cNvPr id="4" name="Imagen 3">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1935786"/>
          <a:ext cx="11206390" cy="20673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opLeftCell="A5" zoomScale="70" zoomScaleNormal="70" workbookViewId="0">
      <selection activeCell="G22" sqref="G22"/>
    </sheetView>
  </sheetViews>
  <sheetFormatPr baseColWidth="10" defaultColWidth="11" defaultRowHeight="15.75"/>
  <cols>
    <col min="1" max="1" width="11.25" style="1"/>
    <col min="2" max="2" width="25.5" customWidth="1"/>
    <col min="6" max="6" width="49.5" customWidth="1"/>
    <col min="7" max="7" width="33.125" customWidth="1"/>
  </cols>
  <sheetData>
    <row r="1" spans="1:7" ht="28.5">
      <c r="A1"/>
      <c r="B1" s="232" t="s">
        <v>0</v>
      </c>
      <c r="C1" s="232"/>
      <c r="D1" s="232"/>
      <c r="E1" s="232"/>
      <c r="F1" s="232"/>
      <c r="G1" s="4"/>
    </row>
    <row r="2" spans="1:7" ht="21">
      <c r="A2"/>
      <c r="B2" s="233" t="s">
        <v>1</v>
      </c>
      <c r="C2" s="233"/>
      <c r="D2" s="233"/>
      <c r="E2" s="233"/>
      <c r="F2" s="233"/>
      <c r="G2" s="5"/>
    </row>
    <row r="3" spans="1:7">
      <c r="A3"/>
      <c r="B3" s="234"/>
      <c r="C3" s="234"/>
      <c r="D3" s="234"/>
      <c r="E3" s="234"/>
      <c r="F3" s="234"/>
    </row>
    <row r="4" spans="1:7" ht="16.5" thickBot="1">
      <c r="A4"/>
      <c r="B4" s="235"/>
      <c r="C4" s="235"/>
      <c r="D4" s="235"/>
      <c r="E4" s="235"/>
      <c r="F4" s="235"/>
    </row>
    <row r="5" spans="1:7" ht="44.45" customHeight="1" thickBot="1">
      <c r="A5"/>
      <c r="B5" s="2" t="s">
        <v>2</v>
      </c>
      <c r="C5" s="236" t="s">
        <v>3</v>
      </c>
      <c r="D5" s="237"/>
      <c r="E5" s="237"/>
      <c r="F5" s="238"/>
    </row>
    <row r="6" spans="1:7" ht="126.6" customHeight="1" thickBot="1">
      <c r="A6"/>
      <c r="B6" s="2" t="s">
        <v>4</v>
      </c>
      <c r="C6" s="237" t="s">
        <v>5</v>
      </c>
      <c r="D6" s="237"/>
      <c r="E6" s="237"/>
      <c r="F6" s="238"/>
    </row>
    <row r="7" spans="1:7" ht="16.5" thickBot="1">
      <c r="A7"/>
      <c r="B7" s="2" t="s">
        <v>6</v>
      </c>
      <c r="C7" s="228" t="s">
        <v>7</v>
      </c>
      <c r="D7" s="228"/>
      <c r="E7" s="228"/>
      <c r="F7" s="229"/>
    </row>
    <row r="8" spans="1:7" ht="16.5" thickBot="1">
      <c r="A8"/>
      <c r="B8" s="2" t="s">
        <v>8</v>
      </c>
      <c r="C8" s="245" t="s">
        <v>9</v>
      </c>
      <c r="D8" s="245"/>
      <c r="E8" s="245"/>
      <c r="F8" s="246"/>
    </row>
    <row r="9" spans="1:7" ht="35.450000000000003" customHeight="1" thickBot="1">
      <c r="A9"/>
      <c r="B9" s="6" t="s">
        <v>10</v>
      </c>
      <c r="C9" s="230" t="s">
        <v>11</v>
      </c>
      <c r="D9" s="231"/>
      <c r="E9" s="247"/>
      <c r="F9" s="248"/>
    </row>
    <row r="10" spans="1:7">
      <c r="A10"/>
      <c r="B10" s="249" t="s">
        <v>12</v>
      </c>
      <c r="C10" s="7" t="s">
        <v>13</v>
      </c>
      <c r="D10" s="8" t="s">
        <v>14</v>
      </c>
      <c r="E10" s="8" t="s">
        <v>15</v>
      </c>
      <c r="F10" s="9" t="s">
        <v>16</v>
      </c>
    </row>
    <row r="11" spans="1:7">
      <c r="A11"/>
      <c r="B11" s="250"/>
      <c r="C11" s="32">
        <v>800000</v>
      </c>
      <c r="D11" s="32">
        <v>801000</v>
      </c>
      <c r="E11" s="32">
        <v>801016</v>
      </c>
      <c r="F11" s="32" t="s">
        <v>17</v>
      </c>
    </row>
    <row r="12" spans="1:7">
      <c r="A12"/>
      <c r="B12" s="250"/>
      <c r="C12" s="32">
        <v>800000</v>
      </c>
      <c r="D12" s="32">
        <v>801100</v>
      </c>
      <c r="E12" s="32">
        <v>801115</v>
      </c>
      <c r="F12" s="32" t="s">
        <v>18</v>
      </c>
    </row>
    <row r="13" spans="1:7">
      <c r="A13"/>
      <c r="B13" s="250"/>
      <c r="C13" s="32">
        <v>800000</v>
      </c>
      <c r="D13" s="32">
        <v>801100</v>
      </c>
      <c r="E13" s="32">
        <v>801116</v>
      </c>
      <c r="F13" s="32" t="s">
        <v>19</v>
      </c>
    </row>
    <row r="14" spans="1:7">
      <c r="A14"/>
      <c r="B14" s="250"/>
      <c r="C14" s="32">
        <v>800000</v>
      </c>
      <c r="D14" s="32">
        <v>821000</v>
      </c>
      <c r="E14" s="32">
        <v>821015</v>
      </c>
      <c r="F14" s="32" t="s">
        <v>20</v>
      </c>
    </row>
    <row r="15" spans="1:7">
      <c r="A15"/>
      <c r="B15" s="250"/>
      <c r="C15" s="32">
        <v>800000</v>
      </c>
      <c r="D15" s="32">
        <v>821000</v>
      </c>
      <c r="E15" s="32">
        <v>821016</v>
      </c>
      <c r="F15" s="32" t="s">
        <v>21</v>
      </c>
    </row>
    <row r="16" spans="1:7">
      <c r="A16"/>
      <c r="B16" s="250"/>
      <c r="C16" s="32">
        <v>860000</v>
      </c>
      <c r="D16" s="32">
        <v>861300</v>
      </c>
      <c r="E16" s="32">
        <v>861320</v>
      </c>
      <c r="F16" s="32" t="s">
        <v>22</v>
      </c>
    </row>
    <row r="17" spans="1:6">
      <c r="A17"/>
      <c r="B17" s="250"/>
      <c r="C17" s="32">
        <v>930000</v>
      </c>
      <c r="D17" s="32">
        <v>931000</v>
      </c>
      <c r="E17" s="32">
        <v>961016</v>
      </c>
      <c r="F17" s="32" t="s">
        <v>23</v>
      </c>
    </row>
    <row r="18" spans="1:6">
      <c r="A18"/>
      <c r="B18" s="250"/>
      <c r="C18" s="32">
        <v>930000</v>
      </c>
      <c r="D18" s="32">
        <v>931400</v>
      </c>
      <c r="E18" s="32">
        <v>931415</v>
      </c>
      <c r="F18" s="32" t="s">
        <v>24</v>
      </c>
    </row>
    <row r="19" spans="1:6">
      <c r="A19"/>
      <c r="B19" s="250"/>
      <c r="C19" s="32">
        <v>930000</v>
      </c>
      <c r="D19" s="32">
        <v>931400</v>
      </c>
      <c r="E19" s="32">
        <v>931417</v>
      </c>
      <c r="F19" s="32" t="s">
        <v>25</v>
      </c>
    </row>
    <row r="20" spans="1:6">
      <c r="A20"/>
      <c r="B20" s="250"/>
      <c r="C20" s="32">
        <v>940000</v>
      </c>
      <c r="D20" s="32">
        <v>941300</v>
      </c>
      <c r="E20" s="32">
        <v>941315</v>
      </c>
      <c r="F20" s="32" t="s">
        <v>26</v>
      </c>
    </row>
    <row r="21" spans="1:6">
      <c r="A21"/>
      <c r="B21" s="250"/>
      <c r="C21" s="30"/>
      <c r="D21" s="30"/>
      <c r="E21" s="30"/>
      <c r="F21" s="31"/>
    </row>
    <row r="22" spans="1:6">
      <c r="A22"/>
      <c r="B22" s="250"/>
      <c r="C22" s="30"/>
      <c r="D22" s="30"/>
      <c r="E22" s="30"/>
      <c r="F22" s="31"/>
    </row>
    <row r="23" spans="1:6">
      <c r="A23"/>
      <c r="B23" s="250"/>
      <c r="C23" s="30"/>
      <c r="D23" s="30"/>
      <c r="E23" s="30"/>
      <c r="F23" s="31"/>
    </row>
    <row r="24" spans="1:6">
      <c r="A24"/>
      <c r="B24" s="250"/>
      <c r="C24" s="30"/>
      <c r="D24" s="30"/>
      <c r="E24" s="30"/>
      <c r="F24" s="31"/>
    </row>
    <row r="25" spans="1:6">
      <c r="A25"/>
      <c r="B25" s="250"/>
      <c r="C25" s="30"/>
      <c r="D25" s="30"/>
      <c r="E25" s="30"/>
      <c r="F25" s="31"/>
    </row>
    <row r="26" spans="1:6" ht="16.5" thickBot="1">
      <c r="A26"/>
      <c r="B26" s="251"/>
      <c r="C26" s="30"/>
      <c r="D26" s="30"/>
      <c r="E26" s="30"/>
      <c r="F26" s="31"/>
    </row>
    <row r="27" spans="1:6" ht="16.5" thickBot="1">
      <c r="A27"/>
      <c r="B27" s="3"/>
      <c r="C27" s="1"/>
    </row>
    <row r="28" spans="1:6">
      <c r="A28"/>
      <c r="B28" s="239" t="s">
        <v>27</v>
      </c>
      <c r="C28" s="241"/>
      <c r="D28" s="241"/>
      <c r="E28" s="241"/>
      <c r="F28" s="242"/>
    </row>
    <row r="29" spans="1:6" ht="16.5" thickBot="1">
      <c r="A29"/>
      <c r="B29" s="240"/>
      <c r="C29" s="243" t="s">
        <v>28</v>
      </c>
      <c r="D29" s="243"/>
      <c r="E29" s="243"/>
      <c r="F29" s="244"/>
    </row>
    <row r="30" spans="1:6">
      <c r="A30"/>
      <c r="B30" s="239" t="s">
        <v>29</v>
      </c>
      <c r="C30" s="241"/>
      <c r="D30" s="241"/>
      <c r="E30" s="241"/>
      <c r="F30" s="242"/>
    </row>
    <row r="31" spans="1:6" ht="16.5" thickBot="1">
      <c r="A31"/>
      <c r="B31" s="240"/>
      <c r="C31" s="243" t="s">
        <v>28</v>
      </c>
      <c r="D31" s="243"/>
      <c r="E31" s="243"/>
      <c r="F31" s="244"/>
    </row>
    <row r="32" spans="1:6">
      <c r="A32"/>
      <c r="B32" s="3"/>
    </row>
    <row r="33" spans="1:2">
      <c r="A33"/>
      <c r="B33" s="3"/>
    </row>
  </sheetData>
  <mergeCells count="16">
    <mergeCell ref="B30:B31"/>
    <mergeCell ref="C30:F30"/>
    <mergeCell ref="C31:F31"/>
    <mergeCell ref="C8:F8"/>
    <mergeCell ref="E9:F9"/>
    <mergeCell ref="B28:B29"/>
    <mergeCell ref="C28:F28"/>
    <mergeCell ref="C29:F29"/>
    <mergeCell ref="B10:B26"/>
    <mergeCell ref="C7:F7"/>
    <mergeCell ref="C9:D9"/>
    <mergeCell ref="B1:F1"/>
    <mergeCell ref="B2:F2"/>
    <mergeCell ref="B3:F4"/>
    <mergeCell ref="C5:F5"/>
    <mergeCell ref="C6:F6"/>
  </mergeCells>
  <hyperlinks>
    <hyperlink ref="C8:F8" location="'Especificaciones Tecnicas'!A1" display="Para visualizar las especificaciones tecnicas dirijase a la pestaña Especificaciones Tecnicas"/>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53"/>
  <sheetViews>
    <sheetView tabSelected="1" zoomScale="70" zoomScaleNormal="70" workbookViewId="0">
      <pane xSplit="10" ySplit="2" topLeftCell="R28" activePane="bottomRight" state="frozen"/>
      <selection activeCell="B1" sqref="B1"/>
      <selection pane="topRight" activeCell="K1" sqref="K1"/>
      <selection pane="bottomLeft" activeCell="B3" sqref="B3"/>
      <selection pane="bottomRight" activeCell="S31" sqref="S31"/>
    </sheetView>
  </sheetViews>
  <sheetFormatPr baseColWidth="10" defaultColWidth="11" defaultRowHeight="15.75" customHeight="1"/>
  <cols>
    <col min="1" max="1" width="5.125" style="11" customWidth="1"/>
    <col min="2" max="2" width="8.5" style="11" customWidth="1"/>
    <col min="3" max="3" width="26.625" style="13" customWidth="1"/>
    <col min="4" max="4" width="87.375" style="11" customWidth="1"/>
    <col min="5" max="5" width="11.375" style="10" customWidth="1"/>
    <col min="6" max="6" width="12.625" style="11" customWidth="1"/>
    <col min="7" max="7" width="7.625" style="10" customWidth="1"/>
    <col min="8" max="8" width="11.375" style="10" customWidth="1"/>
    <col min="9" max="9" width="17.5" style="40" customWidth="1"/>
    <col min="10" max="10" width="15.625" style="40" customWidth="1"/>
    <col min="11" max="11" width="12.375" style="40" customWidth="1"/>
    <col min="12" max="12" width="17.625" style="40" customWidth="1"/>
    <col min="13" max="13" width="14.875" style="40" customWidth="1"/>
    <col min="14" max="14" width="17.375" style="40" customWidth="1"/>
    <col min="15" max="15" width="12.375" style="40" customWidth="1"/>
    <col min="16" max="16" width="21.5" style="40" customWidth="1"/>
    <col min="17" max="17" width="14.875" style="40" customWidth="1"/>
    <col min="18" max="18" width="14.625" style="40" customWidth="1"/>
    <col min="19" max="19" width="12.375" style="40" customWidth="1"/>
    <col min="20" max="20" width="21.875" style="207" customWidth="1"/>
    <col min="21" max="21" width="11" style="40" customWidth="1"/>
    <col min="22" max="22" width="17.75" style="11" customWidth="1"/>
    <col min="23" max="23" width="18.25" style="11" customWidth="1"/>
    <col min="24" max="24" width="16.75" style="11" customWidth="1"/>
    <col min="25" max="16384" width="11" style="11"/>
  </cols>
  <sheetData>
    <row r="1" spans="1:34" ht="78.75">
      <c r="A1" s="120" t="s">
        <v>490</v>
      </c>
      <c r="B1" s="120" t="s">
        <v>30</v>
      </c>
      <c r="C1" s="120" t="s">
        <v>31</v>
      </c>
      <c r="D1" s="120" t="s">
        <v>32</v>
      </c>
      <c r="E1" s="120" t="s">
        <v>33</v>
      </c>
      <c r="F1" s="120" t="s">
        <v>34</v>
      </c>
      <c r="G1" s="121" t="s">
        <v>35</v>
      </c>
      <c r="H1" s="120" t="s">
        <v>34</v>
      </c>
      <c r="I1" s="149" t="s">
        <v>376</v>
      </c>
      <c r="J1" s="150" t="s">
        <v>377</v>
      </c>
      <c r="K1" s="122" t="s">
        <v>376</v>
      </c>
      <c r="L1" s="123" t="s">
        <v>377</v>
      </c>
      <c r="M1" s="124" t="s">
        <v>376</v>
      </c>
      <c r="N1" s="125" t="s">
        <v>377</v>
      </c>
      <c r="O1" s="126" t="s">
        <v>378</v>
      </c>
      <c r="P1" s="127" t="s">
        <v>379</v>
      </c>
      <c r="Q1" s="126" t="s">
        <v>380</v>
      </c>
      <c r="R1" s="126" t="s">
        <v>381</v>
      </c>
      <c r="S1" s="126" t="s">
        <v>382</v>
      </c>
      <c r="T1" s="199" t="s">
        <v>383</v>
      </c>
      <c r="U1" s="126" t="s">
        <v>384</v>
      </c>
      <c r="V1" s="128" t="s">
        <v>385</v>
      </c>
      <c r="W1" s="128" t="s">
        <v>386</v>
      </c>
      <c r="X1" s="128" t="s">
        <v>387</v>
      </c>
      <c r="Y1" s="33"/>
      <c r="Z1" s="33"/>
      <c r="AA1" s="33"/>
      <c r="AB1" s="33"/>
      <c r="AC1" s="33"/>
      <c r="AD1" s="33"/>
      <c r="AE1" s="33"/>
      <c r="AF1" s="33"/>
      <c r="AG1" s="33"/>
      <c r="AH1" s="33"/>
    </row>
    <row r="2" spans="1:34" ht="15">
      <c r="A2" s="145"/>
      <c r="B2" s="145"/>
      <c r="C2" s="151"/>
      <c r="D2" s="152" t="s">
        <v>36</v>
      </c>
      <c r="E2" s="101"/>
      <c r="F2" s="101"/>
      <c r="G2" s="102"/>
      <c r="H2" s="102"/>
      <c r="I2" s="153"/>
      <c r="J2" s="153"/>
      <c r="K2" s="153"/>
      <c r="L2" s="153"/>
      <c r="M2" s="153"/>
      <c r="N2" s="153"/>
      <c r="O2" s="153"/>
      <c r="P2" s="153"/>
      <c r="Q2" s="153"/>
      <c r="R2" s="153"/>
      <c r="S2" s="153"/>
      <c r="T2" s="200"/>
      <c r="U2" s="153"/>
      <c r="V2" s="103"/>
      <c r="W2" s="103"/>
      <c r="X2" s="104"/>
      <c r="Y2" s="33"/>
      <c r="Z2" s="33"/>
      <c r="AA2" s="33"/>
      <c r="AB2" s="33"/>
      <c r="AC2" s="33"/>
      <c r="AD2" s="33"/>
      <c r="AE2" s="33"/>
      <c r="AF2" s="33"/>
      <c r="AG2" s="33"/>
      <c r="AH2" s="33"/>
    </row>
    <row r="3" spans="1:34" ht="15">
      <c r="A3" s="89"/>
      <c r="B3" s="89"/>
      <c r="C3" s="108"/>
      <c r="D3" s="91" t="s">
        <v>37</v>
      </c>
      <c r="E3" s="92"/>
      <c r="F3" s="92"/>
      <c r="G3" s="93"/>
      <c r="H3" s="93"/>
      <c r="I3" s="158"/>
      <c r="J3" s="158"/>
      <c r="K3" s="158"/>
      <c r="L3" s="158"/>
      <c r="M3" s="158"/>
      <c r="N3" s="158"/>
      <c r="O3" s="158"/>
      <c r="P3" s="158"/>
      <c r="Q3" s="158"/>
      <c r="R3" s="158"/>
      <c r="S3" s="158"/>
      <c r="T3" s="201"/>
      <c r="U3" s="158"/>
      <c r="V3" s="97"/>
      <c r="W3" s="97"/>
      <c r="X3" s="90"/>
      <c r="Y3" s="33"/>
      <c r="Z3" s="33"/>
      <c r="AA3" s="33"/>
      <c r="AB3" s="33"/>
      <c r="AC3" s="33"/>
      <c r="AD3" s="33"/>
      <c r="AE3" s="33"/>
      <c r="AF3" s="33"/>
      <c r="AG3" s="33"/>
      <c r="AH3" s="33"/>
    </row>
    <row r="4" spans="1:34" ht="78.75">
      <c r="A4" s="173">
        <v>0</v>
      </c>
      <c r="B4" s="165">
        <v>1</v>
      </c>
      <c r="C4" s="154" t="s">
        <v>38</v>
      </c>
      <c r="D4" s="155" t="s">
        <v>39</v>
      </c>
      <c r="E4" s="78">
        <v>1</v>
      </c>
      <c r="F4" s="156" t="s">
        <v>40</v>
      </c>
      <c r="G4" s="79">
        <v>7</v>
      </c>
      <c r="H4" s="79" t="s">
        <v>41</v>
      </c>
      <c r="I4" s="157">
        <v>5860001</v>
      </c>
      <c r="J4" s="157">
        <f>+I4*G4*E4</f>
        <v>41020007</v>
      </c>
      <c r="K4" s="157"/>
      <c r="L4" s="157"/>
      <c r="M4" s="157"/>
      <c r="N4" s="157"/>
      <c r="O4" s="55">
        <f t="shared" ref="O4:O8" si="0">+AVERAGE(I4,K4,M4)</f>
        <v>5860001</v>
      </c>
      <c r="P4" s="55">
        <f t="shared" ref="P4:P8" si="1">+O4*E4*G4</f>
        <v>41020007</v>
      </c>
      <c r="Q4" s="55">
        <f t="shared" ref="Q4:Q8" si="2">+_xlfn.STDEV.P(I4,K4,M4)</f>
        <v>0</v>
      </c>
      <c r="R4" s="68">
        <f t="shared" ref="R4:R8" si="3">+Q4/O4</f>
        <v>0</v>
      </c>
      <c r="S4" s="55">
        <f t="shared" ref="S4:S8" si="4">+MEDIAN(I4,K4,M4)</f>
        <v>5860001</v>
      </c>
      <c r="T4" s="184">
        <f t="shared" ref="T4:T8" si="5">+S4*G4*E4</f>
        <v>41020007</v>
      </c>
      <c r="U4" s="69">
        <f t="shared" ref="U4:U8" si="6">+Q4/S4</f>
        <v>0</v>
      </c>
      <c r="V4" s="106" t="s">
        <v>462</v>
      </c>
      <c r="W4" s="43"/>
      <c r="X4" s="43"/>
      <c r="Y4" s="33"/>
      <c r="Z4" s="33"/>
      <c r="AA4" s="33"/>
      <c r="AB4" s="33"/>
      <c r="AC4" s="33"/>
      <c r="AD4" s="33"/>
      <c r="AE4" s="33"/>
      <c r="AF4" s="33"/>
      <c r="AG4" s="33"/>
      <c r="AH4" s="33"/>
    </row>
    <row r="5" spans="1:34" ht="78.75">
      <c r="A5" s="173">
        <v>0</v>
      </c>
      <c r="B5" s="166">
        <v>2</v>
      </c>
      <c r="C5" s="16" t="s">
        <v>42</v>
      </c>
      <c r="D5" s="17" t="s">
        <v>43</v>
      </c>
      <c r="E5" s="18">
        <v>1</v>
      </c>
      <c r="F5" s="18" t="s">
        <v>40</v>
      </c>
      <c r="G5" s="19">
        <v>5</v>
      </c>
      <c r="H5" s="19" t="s">
        <v>41</v>
      </c>
      <c r="I5" s="36">
        <v>5114001</v>
      </c>
      <c r="J5" s="36">
        <f t="shared" ref="J5:J8" si="7">+I5*G5*E5</f>
        <v>25570005</v>
      </c>
      <c r="K5" s="36"/>
      <c r="L5" s="36"/>
      <c r="M5" s="36"/>
      <c r="N5" s="36"/>
      <c r="O5" s="37">
        <f t="shared" si="0"/>
        <v>5114001</v>
      </c>
      <c r="P5" s="37">
        <f t="shared" si="1"/>
        <v>25570005</v>
      </c>
      <c r="Q5" s="37">
        <f t="shared" si="2"/>
        <v>0</v>
      </c>
      <c r="R5" s="57">
        <f t="shared" si="3"/>
        <v>0</v>
      </c>
      <c r="S5" s="37">
        <f t="shared" si="4"/>
        <v>5114001</v>
      </c>
      <c r="T5" s="192">
        <f t="shared" si="5"/>
        <v>25570005</v>
      </c>
      <c r="U5" s="56">
        <f t="shared" si="6"/>
        <v>0</v>
      </c>
      <c r="V5" s="106" t="s">
        <v>462</v>
      </c>
      <c r="W5" s="20"/>
      <c r="X5" s="20"/>
      <c r="Y5" s="33"/>
      <c r="Z5" s="33"/>
      <c r="AA5" s="33"/>
      <c r="AB5" s="33"/>
      <c r="AC5" s="33"/>
      <c r="AD5" s="33"/>
      <c r="AE5" s="33"/>
      <c r="AF5" s="33"/>
      <c r="AG5" s="33"/>
      <c r="AH5" s="33"/>
    </row>
    <row r="6" spans="1:34" ht="78.75">
      <c r="A6" s="173">
        <v>0</v>
      </c>
      <c r="B6" s="166">
        <v>3</v>
      </c>
      <c r="C6" s="16" t="s">
        <v>44</v>
      </c>
      <c r="D6" s="17" t="s">
        <v>45</v>
      </c>
      <c r="E6" s="18">
        <v>1</v>
      </c>
      <c r="F6" s="18" t="s">
        <v>40</v>
      </c>
      <c r="G6" s="19">
        <v>5</v>
      </c>
      <c r="H6" s="19" t="s">
        <v>41</v>
      </c>
      <c r="I6" s="36">
        <v>5114001</v>
      </c>
      <c r="J6" s="36">
        <f t="shared" si="7"/>
        <v>25570005</v>
      </c>
      <c r="K6" s="36"/>
      <c r="L6" s="36"/>
      <c r="M6" s="36"/>
      <c r="N6" s="36"/>
      <c r="O6" s="37">
        <f t="shared" si="0"/>
        <v>5114001</v>
      </c>
      <c r="P6" s="37">
        <f t="shared" si="1"/>
        <v>25570005</v>
      </c>
      <c r="Q6" s="37">
        <f t="shared" si="2"/>
        <v>0</v>
      </c>
      <c r="R6" s="57">
        <f t="shared" si="3"/>
        <v>0</v>
      </c>
      <c r="S6" s="37">
        <f t="shared" si="4"/>
        <v>5114001</v>
      </c>
      <c r="T6" s="192">
        <f t="shared" si="5"/>
        <v>25570005</v>
      </c>
      <c r="U6" s="56">
        <f t="shared" si="6"/>
        <v>0</v>
      </c>
      <c r="V6" s="106" t="s">
        <v>462</v>
      </c>
      <c r="W6" s="20"/>
      <c r="X6" s="20"/>
      <c r="Y6" s="33"/>
      <c r="Z6" s="33"/>
      <c r="AA6" s="33"/>
      <c r="AB6" s="33"/>
      <c r="AC6" s="33"/>
      <c r="AD6" s="33"/>
      <c r="AE6" s="33"/>
      <c r="AF6" s="33"/>
      <c r="AG6" s="33"/>
      <c r="AH6" s="33"/>
    </row>
    <row r="7" spans="1:34" ht="78.75">
      <c r="A7" s="173">
        <v>0</v>
      </c>
      <c r="B7" s="166">
        <v>4</v>
      </c>
      <c r="C7" s="16" t="s">
        <v>46</v>
      </c>
      <c r="D7" s="17" t="s">
        <v>47</v>
      </c>
      <c r="E7" s="18">
        <v>1</v>
      </c>
      <c r="F7" s="18" t="s">
        <v>40</v>
      </c>
      <c r="G7" s="19">
        <v>5</v>
      </c>
      <c r="H7" s="19" t="s">
        <v>41</v>
      </c>
      <c r="I7" s="36">
        <v>5114001</v>
      </c>
      <c r="J7" s="36">
        <f t="shared" si="7"/>
        <v>25570005</v>
      </c>
      <c r="K7" s="36"/>
      <c r="L7" s="36"/>
      <c r="M7" s="36"/>
      <c r="N7" s="36"/>
      <c r="O7" s="37">
        <f t="shared" si="0"/>
        <v>5114001</v>
      </c>
      <c r="P7" s="37">
        <f t="shared" si="1"/>
        <v>25570005</v>
      </c>
      <c r="Q7" s="37">
        <f t="shared" si="2"/>
        <v>0</v>
      </c>
      <c r="R7" s="57">
        <f t="shared" si="3"/>
        <v>0</v>
      </c>
      <c r="S7" s="37">
        <f t="shared" si="4"/>
        <v>5114001</v>
      </c>
      <c r="T7" s="192">
        <f t="shared" si="5"/>
        <v>25570005</v>
      </c>
      <c r="U7" s="56">
        <f t="shared" si="6"/>
        <v>0</v>
      </c>
      <c r="V7" s="106" t="s">
        <v>462</v>
      </c>
      <c r="W7" s="20"/>
      <c r="X7" s="20"/>
      <c r="Y7" s="33"/>
      <c r="Z7" s="33"/>
      <c r="AA7" s="33"/>
      <c r="AB7" s="33"/>
      <c r="AC7" s="33"/>
      <c r="AD7" s="33"/>
      <c r="AE7" s="33"/>
      <c r="AF7" s="33"/>
      <c r="AG7" s="33"/>
      <c r="AH7" s="33"/>
    </row>
    <row r="8" spans="1:34" ht="78.75">
      <c r="A8" s="173">
        <v>0</v>
      </c>
      <c r="B8" s="167">
        <v>5</v>
      </c>
      <c r="C8" s="58" t="s">
        <v>48</v>
      </c>
      <c r="D8" s="59" t="s">
        <v>49</v>
      </c>
      <c r="E8" s="60">
        <v>2</v>
      </c>
      <c r="F8" s="60" t="s">
        <v>40</v>
      </c>
      <c r="G8" s="61">
        <v>7</v>
      </c>
      <c r="H8" s="61" t="s">
        <v>41</v>
      </c>
      <c r="I8" s="116">
        <v>3224001</v>
      </c>
      <c r="J8" s="116">
        <f t="shared" si="7"/>
        <v>45136014</v>
      </c>
      <c r="K8" s="116"/>
      <c r="L8" s="116"/>
      <c r="M8" s="116"/>
      <c r="N8" s="116"/>
      <c r="O8" s="62">
        <f t="shared" si="0"/>
        <v>3224001</v>
      </c>
      <c r="P8" s="62">
        <f t="shared" si="1"/>
        <v>45136014</v>
      </c>
      <c r="Q8" s="62">
        <f t="shared" si="2"/>
        <v>0</v>
      </c>
      <c r="R8" s="63">
        <f t="shared" si="3"/>
        <v>0</v>
      </c>
      <c r="S8" s="62">
        <f t="shared" si="4"/>
        <v>3224001</v>
      </c>
      <c r="T8" s="183">
        <f t="shared" si="5"/>
        <v>45136014</v>
      </c>
      <c r="U8" s="64">
        <f t="shared" si="6"/>
        <v>0</v>
      </c>
      <c r="V8" s="106" t="s">
        <v>462</v>
      </c>
      <c r="W8" s="65"/>
      <c r="X8" s="65"/>
      <c r="Y8" s="33"/>
      <c r="Z8" s="33"/>
      <c r="AA8" s="33"/>
      <c r="AB8" s="33"/>
      <c r="AC8" s="33"/>
      <c r="AD8" s="33"/>
      <c r="AE8" s="33"/>
      <c r="AF8" s="33"/>
      <c r="AG8" s="33"/>
      <c r="AH8" s="33"/>
    </row>
    <row r="9" spans="1:34">
      <c r="A9" s="173">
        <f t="shared" ref="A9:A68" si="8">+COUNT(I9,K9,M9)</f>
        <v>0</v>
      </c>
      <c r="B9" s="168"/>
      <c r="C9" s="80"/>
      <c r="D9" s="81" t="s">
        <v>50</v>
      </c>
      <c r="E9" s="82"/>
      <c r="F9" s="82"/>
      <c r="G9" s="83"/>
      <c r="H9" s="83"/>
      <c r="I9" s="117"/>
      <c r="J9" s="117"/>
      <c r="K9" s="117"/>
      <c r="L9" s="117"/>
      <c r="M9" s="117"/>
      <c r="N9" s="117"/>
      <c r="O9" s="117"/>
      <c r="P9" s="117"/>
      <c r="Q9" s="117"/>
      <c r="R9" s="117"/>
      <c r="S9" s="117"/>
      <c r="T9" s="201"/>
      <c r="U9" s="117"/>
      <c r="V9" s="106"/>
      <c r="W9" s="87"/>
      <c r="X9" s="88"/>
      <c r="Y9" s="33"/>
      <c r="Z9" s="33"/>
      <c r="AA9" s="33"/>
      <c r="AB9" s="33"/>
      <c r="AC9" s="33"/>
      <c r="AD9" s="33"/>
      <c r="AE9" s="33"/>
      <c r="AF9" s="33"/>
      <c r="AG9" s="33"/>
      <c r="AH9" s="33"/>
    </row>
    <row r="10" spans="1:34" s="197" customFormat="1" ht="78.75">
      <c r="A10" s="186">
        <v>0</v>
      </c>
      <c r="B10" s="198">
        <v>6</v>
      </c>
      <c r="C10" s="188" t="s">
        <v>53</v>
      </c>
      <c r="D10" s="189" t="s">
        <v>54</v>
      </c>
      <c r="E10" s="190">
        <v>2</v>
      </c>
      <c r="F10" s="190" t="s">
        <v>40</v>
      </c>
      <c r="G10" s="191">
        <v>2</v>
      </c>
      <c r="H10" s="191" t="s">
        <v>55</v>
      </c>
      <c r="I10" s="192">
        <v>53400</v>
      </c>
      <c r="J10" s="217">
        <f t="shared" ref="J10" si="9">+I10*G10*E10</f>
        <v>213600</v>
      </c>
      <c r="K10" s="184"/>
      <c r="L10" s="192"/>
      <c r="M10" s="192"/>
      <c r="N10" s="192"/>
      <c r="O10" s="192">
        <f t="shared" ref="O10" si="10">+AVERAGE(I10,K10,M10)</f>
        <v>53400</v>
      </c>
      <c r="P10" s="192">
        <f t="shared" ref="P10" si="11">+O10*E10*G10</f>
        <v>213600</v>
      </c>
      <c r="Q10" s="192">
        <f t="shared" ref="Q10" si="12">+_xlfn.STDEV.P(I10,K10,M10)</f>
        <v>0</v>
      </c>
      <c r="R10" s="193">
        <f t="shared" ref="R10" si="13">+Q10/O10</f>
        <v>0</v>
      </c>
      <c r="S10" s="192">
        <f t="shared" ref="S10" si="14">+MEDIAN(I10,K10,M10)</f>
        <v>53400</v>
      </c>
      <c r="T10" s="192">
        <f t="shared" ref="T10" si="15">+S10*G10*E10</f>
        <v>213600</v>
      </c>
      <c r="U10" s="194">
        <f t="shared" ref="U10" si="16">+Q10/S10</f>
        <v>0</v>
      </c>
      <c r="V10" s="195" t="s">
        <v>462</v>
      </c>
      <c r="W10" s="196"/>
      <c r="X10" s="196"/>
    </row>
    <row r="11" spans="1:34" s="21" customFormat="1" ht="33">
      <c r="A11" s="173">
        <v>0</v>
      </c>
      <c r="B11" s="166">
        <v>7</v>
      </c>
      <c r="C11" s="129" t="s">
        <v>56</v>
      </c>
      <c r="D11" s="130" t="s">
        <v>57</v>
      </c>
      <c r="E11" s="18">
        <v>2</v>
      </c>
      <c r="F11" s="18" t="s">
        <v>40</v>
      </c>
      <c r="G11" s="19">
        <v>2</v>
      </c>
      <c r="H11" s="19" t="s">
        <v>58</v>
      </c>
      <c r="I11" s="37">
        <v>520000</v>
      </c>
      <c r="J11" s="37">
        <f>+I11*E11*G11</f>
        <v>2080000</v>
      </c>
      <c r="K11" s="52">
        <f>(455000*5.35%)+455000</f>
        <v>479342.5</v>
      </c>
      <c r="L11" s="37">
        <f>+K11*G11*E11</f>
        <v>1917370</v>
      </c>
      <c r="M11" s="52">
        <f>(500000*5.35%)+500000</f>
        <v>526750</v>
      </c>
      <c r="N11" s="37">
        <f>+M11*G11*E11</f>
        <v>2107000</v>
      </c>
      <c r="O11" s="37">
        <f t="shared" ref="O11:O71" si="17">+AVERAGE(I11,K11,M11)</f>
        <v>508697.5</v>
      </c>
      <c r="P11" s="37">
        <f t="shared" ref="P11:P71" si="18">+O11*E11*G11</f>
        <v>2034790</v>
      </c>
      <c r="Q11" s="37">
        <f t="shared" ref="Q11:Q71" si="19">+_xlfn.STDEV.P(I11,K11,M11)</f>
        <v>20939.239778463783</v>
      </c>
      <c r="R11" s="57">
        <f t="shared" ref="R11:R71" si="20">+Q11/O11</f>
        <v>4.1162458589758713E-2</v>
      </c>
      <c r="S11" s="37">
        <f t="shared" ref="S11:S71" si="21">+MEDIAN(I11,K11,M11)</f>
        <v>520000</v>
      </c>
      <c r="T11" s="192">
        <f t="shared" ref="T11:T71" si="22">+S11*G11*E11</f>
        <v>2080000</v>
      </c>
      <c r="U11" s="56">
        <f t="shared" ref="U11:U71" si="23">+Q11/S11</f>
        <v>4.0267768804738042E-2</v>
      </c>
      <c r="V11" s="106" t="s">
        <v>373</v>
      </c>
      <c r="W11" s="53" t="s">
        <v>374</v>
      </c>
      <c r="X11" s="54" t="s">
        <v>375</v>
      </c>
    </row>
    <row r="12" spans="1:34" s="21" customFormat="1" ht="31.5">
      <c r="A12" s="173">
        <v>0</v>
      </c>
      <c r="B12" s="167">
        <v>8</v>
      </c>
      <c r="C12" s="131" t="s">
        <v>60</v>
      </c>
      <c r="D12" s="132" t="s">
        <v>61</v>
      </c>
      <c r="E12" s="60">
        <v>10</v>
      </c>
      <c r="F12" s="60" t="s">
        <v>40</v>
      </c>
      <c r="G12" s="61">
        <v>2</v>
      </c>
      <c r="H12" s="61" t="s">
        <v>58</v>
      </c>
      <c r="I12" s="62">
        <f>+(1150*100)/119</f>
        <v>966.38655462184875</v>
      </c>
      <c r="J12" s="62">
        <f>+I12*E12*G12</f>
        <v>19327.731092436974</v>
      </c>
      <c r="K12" s="62">
        <f>+(1850*100)/119</f>
        <v>1554.6218487394958</v>
      </c>
      <c r="L12" s="62">
        <f>+K12*G12*E12</f>
        <v>31092.436974789918</v>
      </c>
      <c r="M12" s="62">
        <f>+(1680*100)/119</f>
        <v>1411.7647058823529</v>
      </c>
      <c r="N12" s="62">
        <f>+M12*G12*E12</f>
        <v>28235.294117647059</v>
      </c>
      <c r="O12" s="62">
        <f t="shared" si="17"/>
        <v>1310.9243697478994</v>
      </c>
      <c r="P12" s="62">
        <f t="shared" si="18"/>
        <v>26218.487394957989</v>
      </c>
      <c r="Q12" s="62">
        <f t="shared" si="19"/>
        <v>250.50850997547647</v>
      </c>
      <c r="R12" s="63">
        <f t="shared" si="20"/>
        <v>0.19109303004539549</v>
      </c>
      <c r="S12" s="62">
        <f t="shared" si="21"/>
        <v>1411.7647058823529</v>
      </c>
      <c r="T12" s="183">
        <f t="shared" si="22"/>
        <v>28235.294117647059</v>
      </c>
      <c r="U12" s="64">
        <f t="shared" si="23"/>
        <v>0.17744352789929582</v>
      </c>
      <c r="V12" s="106" t="s">
        <v>62</v>
      </c>
      <c r="W12" s="65" t="s">
        <v>63</v>
      </c>
      <c r="X12" s="65" t="s">
        <v>64</v>
      </c>
    </row>
    <row r="13" spans="1:34" ht="16.5">
      <c r="A13" s="173">
        <v>0</v>
      </c>
      <c r="B13" s="169"/>
      <c r="C13" s="118"/>
      <c r="D13" s="119" t="s">
        <v>65</v>
      </c>
      <c r="E13" s="82"/>
      <c r="F13" s="82"/>
      <c r="G13" s="83"/>
      <c r="H13" s="83"/>
      <c r="I13" s="84"/>
      <c r="J13" s="84"/>
      <c r="K13" s="84"/>
      <c r="L13" s="84"/>
      <c r="M13" s="84"/>
      <c r="N13" s="84"/>
      <c r="O13" s="84"/>
      <c r="P13" s="84"/>
      <c r="Q13" s="84"/>
      <c r="R13" s="85"/>
      <c r="S13" s="84"/>
      <c r="T13" s="202"/>
      <c r="U13" s="86"/>
      <c r="V13" s="106"/>
      <c r="W13" s="87"/>
      <c r="X13" s="88"/>
      <c r="Y13" s="33"/>
      <c r="Z13" s="33"/>
      <c r="AA13" s="33"/>
      <c r="AB13" s="33"/>
      <c r="AC13" s="33"/>
      <c r="AD13" s="33"/>
      <c r="AE13" s="33"/>
      <c r="AF13" s="33"/>
      <c r="AG13" s="33"/>
      <c r="AH13" s="33"/>
    </row>
    <row r="14" spans="1:34" s="197" customFormat="1" ht="99">
      <c r="A14" s="186">
        <v>0</v>
      </c>
      <c r="B14" s="218">
        <v>9</v>
      </c>
      <c r="C14" s="219" t="s">
        <v>66</v>
      </c>
      <c r="D14" s="220" t="s">
        <v>67</v>
      </c>
      <c r="E14" s="221">
        <v>1</v>
      </c>
      <c r="F14" s="222" t="s">
        <v>40</v>
      </c>
      <c r="G14" s="223">
        <v>1</v>
      </c>
      <c r="H14" s="223" t="s">
        <v>68</v>
      </c>
      <c r="I14" s="224">
        <v>8403361</v>
      </c>
      <c r="J14" s="203"/>
      <c r="K14" s="203"/>
      <c r="L14" s="203"/>
      <c r="M14" s="203"/>
      <c r="N14" s="203"/>
      <c r="O14" s="203">
        <f t="shared" si="17"/>
        <v>8403361</v>
      </c>
      <c r="P14" s="203">
        <f t="shared" si="18"/>
        <v>8403361</v>
      </c>
      <c r="Q14" s="203">
        <f t="shared" si="19"/>
        <v>0</v>
      </c>
      <c r="R14" s="225">
        <f t="shared" si="20"/>
        <v>0</v>
      </c>
      <c r="S14" s="203">
        <f t="shared" si="21"/>
        <v>8403361</v>
      </c>
      <c r="T14" s="203">
        <f t="shared" si="22"/>
        <v>8403361</v>
      </c>
      <c r="U14" s="226">
        <f t="shared" si="23"/>
        <v>0</v>
      </c>
      <c r="V14" s="195" t="s">
        <v>388</v>
      </c>
      <c r="W14" s="227"/>
      <c r="X14" s="227"/>
    </row>
    <row r="15" spans="1:34" s="21" customFormat="1" ht="17.25" thickBot="1">
      <c r="A15" s="173">
        <f t="shared" si="8"/>
        <v>0</v>
      </c>
      <c r="B15" s="133"/>
      <c r="C15" s="134" t="s">
        <v>69</v>
      </c>
      <c r="D15" s="70"/>
      <c r="E15" s="71"/>
      <c r="F15" s="71"/>
      <c r="G15" s="72"/>
      <c r="H15" s="72"/>
      <c r="I15" s="73"/>
      <c r="J15" s="73"/>
      <c r="K15" s="73"/>
      <c r="L15" s="73"/>
      <c r="M15" s="73"/>
      <c r="N15" s="73"/>
      <c r="O15" s="73"/>
      <c r="P15" s="73"/>
      <c r="Q15" s="73"/>
      <c r="R15" s="74"/>
      <c r="S15" s="73"/>
      <c r="T15" s="204"/>
      <c r="U15" s="75"/>
      <c r="V15" s="106"/>
      <c r="W15" s="76"/>
      <c r="X15" s="76"/>
    </row>
    <row r="16" spans="1:34" s="21" customFormat="1" ht="17.25" thickBot="1">
      <c r="A16" s="173">
        <f t="shared" si="8"/>
        <v>0</v>
      </c>
      <c r="B16" s="135"/>
      <c r="C16" s="135" t="s">
        <v>70</v>
      </c>
      <c r="D16" s="136" t="s">
        <v>71</v>
      </c>
      <c r="E16" s="137"/>
      <c r="F16" s="137"/>
      <c r="G16" s="138"/>
      <c r="H16" s="138"/>
      <c r="I16" s="139"/>
      <c r="J16" s="139"/>
      <c r="K16" s="139"/>
      <c r="L16" s="139"/>
      <c r="M16" s="139"/>
      <c r="N16" s="139"/>
      <c r="O16" s="139"/>
      <c r="P16" s="139"/>
      <c r="Q16" s="139"/>
      <c r="R16" s="140"/>
      <c r="S16" s="139"/>
      <c r="T16" s="205"/>
      <c r="U16" s="141"/>
      <c r="V16" s="106"/>
      <c r="W16" s="142"/>
      <c r="X16" s="143"/>
    </row>
    <row r="17" spans="1:34" s="21" customFormat="1" ht="78.75">
      <c r="A17" s="173">
        <v>1</v>
      </c>
      <c r="B17" s="165">
        <v>10</v>
      </c>
      <c r="C17" s="66" t="s">
        <v>72</v>
      </c>
      <c r="D17" s="77" t="s">
        <v>73</v>
      </c>
      <c r="E17" s="78">
        <v>1</v>
      </c>
      <c r="F17" s="78" t="s">
        <v>40</v>
      </c>
      <c r="G17" s="79">
        <v>1</v>
      </c>
      <c r="H17" s="79" t="s">
        <v>74</v>
      </c>
      <c r="I17" s="55">
        <v>5860001</v>
      </c>
      <c r="J17" s="116">
        <f t="shared" ref="J17:J19" si="24">+I17*G17*E17</f>
        <v>5860001</v>
      </c>
      <c r="K17" s="55"/>
      <c r="L17" s="55"/>
      <c r="M17" s="55"/>
      <c r="N17" s="55"/>
      <c r="O17" s="55">
        <f t="shared" si="17"/>
        <v>5860001</v>
      </c>
      <c r="P17" s="55">
        <f t="shared" si="18"/>
        <v>5860001</v>
      </c>
      <c r="Q17" s="55">
        <f t="shared" si="19"/>
        <v>0</v>
      </c>
      <c r="R17" s="68">
        <f t="shared" si="20"/>
        <v>0</v>
      </c>
      <c r="S17" s="55">
        <f t="shared" si="21"/>
        <v>5860001</v>
      </c>
      <c r="T17" s="184">
        <f t="shared" si="22"/>
        <v>5860001</v>
      </c>
      <c r="U17" s="69">
        <f t="shared" si="23"/>
        <v>0</v>
      </c>
      <c r="V17" s="106" t="s">
        <v>462</v>
      </c>
      <c r="W17" s="43"/>
      <c r="X17" s="43"/>
    </row>
    <row r="18" spans="1:34" s="21" customFormat="1" ht="78.75">
      <c r="A18" s="173">
        <v>1</v>
      </c>
      <c r="B18" s="166">
        <v>11</v>
      </c>
      <c r="C18" s="23" t="s">
        <v>75</v>
      </c>
      <c r="D18" s="27" t="s">
        <v>76</v>
      </c>
      <c r="E18" s="18">
        <v>1</v>
      </c>
      <c r="F18" s="18" t="s">
        <v>40</v>
      </c>
      <c r="G18" s="19">
        <v>5</v>
      </c>
      <c r="H18" s="19" t="s">
        <v>41</v>
      </c>
      <c r="I18" s="37">
        <v>3224001</v>
      </c>
      <c r="J18" s="116">
        <f t="shared" si="24"/>
        <v>16120005</v>
      </c>
      <c r="K18" s="37"/>
      <c r="L18" s="37"/>
      <c r="M18" s="37"/>
      <c r="N18" s="37"/>
      <c r="O18" s="37">
        <f t="shared" si="17"/>
        <v>3224001</v>
      </c>
      <c r="P18" s="37">
        <f t="shared" si="18"/>
        <v>16120005</v>
      </c>
      <c r="Q18" s="37">
        <f t="shared" si="19"/>
        <v>0</v>
      </c>
      <c r="R18" s="57">
        <f t="shared" si="20"/>
        <v>0</v>
      </c>
      <c r="S18" s="37">
        <f t="shared" si="21"/>
        <v>3224001</v>
      </c>
      <c r="T18" s="192">
        <f t="shared" si="22"/>
        <v>16120005</v>
      </c>
      <c r="U18" s="56">
        <f t="shared" si="23"/>
        <v>0</v>
      </c>
      <c r="V18" s="106" t="s">
        <v>462</v>
      </c>
      <c r="W18" s="20"/>
      <c r="X18" s="20"/>
    </row>
    <row r="19" spans="1:34" ht="78.75">
      <c r="A19" s="173">
        <v>1</v>
      </c>
      <c r="B19" s="166">
        <v>12</v>
      </c>
      <c r="C19" s="23" t="s">
        <v>77</v>
      </c>
      <c r="D19" s="28" t="s">
        <v>78</v>
      </c>
      <c r="E19" s="18">
        <v>2</v>
      </c>
      <c r="F19" s="18" t="s">
        <v>79</v>
      </c>
      <c r="G19" s="19">
        <v>2</v>
      </c>
      <c r="H19" s="19" t="s">
        <v>41</v>
      </c>
      <c r="I19" s="37">
        <v>1602000</v>
      </c>
      <c r="J19" s="116">
        <f t="shared" si="24"/>
        <v>6408000</v>
      </c>
      <c r="K19" s="37"/>
      <c r="L19" s="37"/>
      <c r="M19" s="37"/>
      <c r="N19" s="37"/>
      <c r="O19" s="37">
        <f t="shared" si="17"/>
        <v>1602000</v>
      </c>
      <c r="P19" s="37">
        <f t="shared" si="18"/>
        <v>6408000</v>
      </c>
      <c r="Q19" s="37">
        <f t="shared" si="19"/>
        <v>0</v>
      </c>
      <c r="R19" s="57">
        <f t="shared" si="20"/>
        <v>0</v>
      </c>
      <c r="S19" s="37">
        <f t="shared" si="21"/>
        <v>1602000</v>
      </c>
      <c r="T19" s="192">
        <f t="shared" si="22"/>
        <v>6408000</v>
      </c>
      <c r="U19" s="56">
        <f t="shared" si="23"/>
        <v>0</v>
      </c>
      <c r="V19" s="106" t="s">
        <v>462</v>
      </c>
      <c r="W19" s="20"/>
      <c r="X19" s="20"/>
      <c r="Y19" s="33"/>
      <c r="Z19" s="33"/>
      <c r="AA19" s="33"/>
      <c r="AB19" s="33"/>
      <c r="AC19" s="33"/>
      <c r="AD19" s="33"/>
      <c r="AE19" s="33"/>
      <c r="AF19" s="33"/>
      <c r="AG19" s="33"/>
      <c r="AH19" s="33"/>
    </row>
    <row r="20" spans="1:34" ht="165">
      <c r="A20" s="173">
        <v>1</v>
      </c>
      <c r="B20" s="165">
        <v>13</v>
      </c>
      <c r="C20" s="23" t="s">
        <v>80</v>
      </c>
      <c r="D20" s="24" t="s">
        <v>81</v>
      </c>
      <c r="E20" s="18">
        <v>20</v>
      </c>
      <c r="F20" s="18" t="s">
        <v>40</v>
      </c>
      <c r="G20" s="19">
        <v>1</v>
      </c>
      <c r="H20" s="19" t="s">
        <v>68</v>
      </c>
      <c r="I20" s="185">
        <f>(35000*5.35%)+35000</f>
        <v>36872.5</v>
      </c>
      <c r="J20" s="37">
        <f t="shared" ref="J20:J37" si="25">+I20*E20*G20</f>
        <v>737450</v>
      </c>
      <c r="K20" s="37">
        <f>+(25200*100)/119</f>
        <v>21176.470588235294</v>
      </c>
      <c r="L20" s="37">
        <f t="shared" ref="L20:L37" si="26">+K20*G20*E20</f>
        <v>423529.4117647059</v>
      </c>
      <c r="M20" s="37">
        <f>+(35700*100)/119</f>
        <v>30000</v>
      </c>
      <c r="N20" s="37">
        <f t="shared" ref="N20:N37" si="27">+M20*G20*E20</f>
        <v>600000</v>
      </c>
      <c r="O20" s="37">
        <f t="shared" si="17"/>
        <v>29349.656862745102</v>
      </c>
      <c r="P20" s="37">
        <f t="shared" si="18"/>
        <v>586993.13725490205</v>
      </c>
      <c r="Q20" s="37">
        <f t="shared" si="19"/>
        <v>6424.3570091164875</v>
      </c>
      <c r="R20" s="57">
        <f t="shared" si="20"/>
        <v>0.21889036179060839</v>
      </c>
      <c r="S20" s="37">
        <f t="shared" si="21"/>
        <v>30000</v>
      </c>
      <c r="T20" s="192">
        <f t="shared" si="22"/>
        <v>600000</v>
      </c>
      <c r="U20" s="56">
        <f t="shared" si="23"/>
        <v>0.21414523363721624</v>
      </c>
      <c r="V20" s="106" t="s">
        <v>82</v>
      </c>
      <c r="W20" s="20" t="s">
        <v>63</v>
      </c>
      <c r="X20" s="20" t="s">
        <v>84</v>
      </c>
      <c r="Y20" s="33"/>
      <c r="Z20" s="33"/>
      <c r="AA20" s="33"/>
      <c r="AB20" s="33"/>
      <c r="AC20" s="33"/>
      <c r="AD20" s="33"/>
      <c r="AE20" s="33"/>
      <c r="AF20" s="33"/>
      <c r="AG20" s="33"/>
      <c r="AH20" s="33"/>
    </row>
    <row r="21" spans="1:34" ht="181.5">
      <c r="A21" s="173">
        <v>1</v>
      </c>
      <c r="B21" s="166">
        <v>14</v>
      </c>
      <c r="C21" s="23" t="s">
        <v>85</v>
      </c>
      <c r="D21" s="110" t="s">
        <v>86</v>
      </c>
      <c r="E21" s="18">
        <v>1</v>
      </c>
      <c r="F21" s="18" t="s">
        <v>40</v>
      </c>
      <c r="G21" s="19">
        <v>1</v>
      </c>
      <c r="H21" s="19" t="s">
        <v>68</v>
      </c>
      <c r="I21" s="37">
        <f>+(525130*100)/119</f>
        <v>441285.71428571426</v>
      </c>
      <c r="J21" s="37">
        <f t="shared" si="25"/>
        <v>441285.71428571426</v>
      </c>
      <c r="K21" s="99">
        <f>+(580888*100)/119</f>
        <v>488141.17647058825</v>
      </c>
      <c r="L21" s="37">
        <f t="shared" si="26"/>
        <v>488141.17647058825</v>
      </c>
      <c r="M21" s="37">
        <f>+(518936*100)/119</f>
        <v>436080.67226890754</v>
      </c>
      <c r="N21" s="37">
        <f t="shared" si="27"/>
        <v>436080.67226890754</v>
      </c>
      <c r="O21" s="37">
        <f t="shared" si="17"/>
        <v>455169.18767507002</v>
      </c>
      <c r="P21" s="37">
        <f t="shared" si="18"/>
        <v>455169.18767507002</v>
      </c>
      <c r="Q21" s="37">
        <f t="shared" si="19"/>
        <v>23411.352651338704</v>
      </c>
      <c r="R21" s="57">
        <f t="shared" si="20"/>
        <v>5.1434396890791476E-2</v>
      </c>
      <c r="S21" s="37">
        <f t="shared" si="21"/>
        <v>441285.71428571426</v>
      </c>
      <c r="T21" s="192">
        <f t="shared" si="22"/>
        <v>441285.71428571426</v>
      </c>
      <c r="U21" s="56">
        <f t="shared" si="23"/>
        <v>5.3052595843111346E-2</v>
      </c>
      <c r="V21" s="106" t="s">
        <v>397</v>
      </c>
      <c r="W21" s="20" t="s">
        <v>398</v>
      </c>
      <c r="X21" s="20" t="s">
        <v>399</v>
      </c>
      <c r="Y21" s="33"/>
      <c r="Z21" s="33"/>
      <c r="AA21" s="33"/>
      <c r="AB21" s="33"/>
      <c r="AC21" s="33"/>
      <c r="AD21" s="33"/>
      <c r="AE21" s="33"/>
      <c r="AF21" s="33"/>
      <c r="AG21" s="33"/>
      <c r="AH21" s="33"/>
    </row>
    <row r="22" spans="1:34" s="21" customFormat="1" ht="98.1" customHeight="1">
      <c r="A22" s="173">
        <v>1</v>
      </c>
      <c r="B22" s="166">
        <v>15</v>
      </c>
      <c r="C22" s="23" t="s">
        <v>87</v>
      </c>
      <c r="D22" s="25" t="s">
        <v>88</v>
      </c>
      <c r="E22" s="18">
        <v>15</v>
      </c>
      <c r="F22" s="18" t="s">
        <v>40</v>
      </c>
      <c r="G22" s="19">
        <v>1</v>
      </c>
      <c r="H22" s="19" t="s">
        <v>68</v>
      </c>
      <c r="I22" s="37">
        <f>+(2300*100)/119</f>
        <v>1932.7731092436975</v>
      </c>
      <c r="J22" s="37">
        <f t="shared" si="25"/>
        <v>28991.596638655461</v>
      </c>
      <c r="K22" s="37">
        <f>+(3450*100)/119</f>
        <v>2899.159663865546</v>
      </c>
      <c r="L22" s="37">
        <f t="shared" si="26"/>
        <v>43487.39495798319</v>
      </c>
      <c r="M22" s="37">
        <f>+(3360*100)/119</f>
        <v>2823.5294117647059</v>
      </c>
      <c r="N22" s="37">
        <f t="shared" si="27"/>
        <v>42352.941176470587</v>
      </c>
      <c r="O22" s="37">
        <f t="shared" si="17"/>
        <v>2551.8207282913168</v>
      </c>
      <c r="P22" s="37">
        <f t="shared" si="18"/>
        <v>38277.310924369755</v>
      </c>
      <c r="Q22" s="37">
        <f t="shared" si="19"/>
        <v>438.82035029124927</v>
      </c>
      <c r="R22" s="57">
        <f t="shared" si="20"/>
        <v>0.17196362794069811</v>
      </c>
      <c r="S22" s="37">
        <f t="shared" si="21"/>
        <v>2823.5294117647059</v>
      </c>
      <c r="T22" s="192">
        <f t="shared" si="22"/>
        <v>42352.941176470587</v>
      </c>
      <c r="U22" s="56">
        <f t="shared" si="23"/>
        <v>0.15541554072815078</v>
      </c>
      <c r="V22" s="106" t="s">
        <v>62</v>
      </c>
      <c r="W22" s="24" t="s">
        <v>63</v>
      </c>
      <c r="X22" s="24" t="s">
        <v>64</v>
      </c>
    </row>
    <row r="23" spans="1:34" s="21" customFormat="1" ht="69.95" customHeight="1">
      <c r="A23" s="173">
        <v>1</v>
      </c>
      <c r="B23" s="165">
        <v>16</v>
      </c>
      <c r="C23" s="23" t="s">
        <v>89</v>
      </c>
      <c r="D23" s="110" t="s">
        <v>394</v>
      </c>
      <c r="E23" s="18">
        <v>1</v>
      </c>
      <c r="F23" s="18" t="s">
        <v>396</v>
      </c>
      <c r="G23" s="19">
        <v>1</v>
      </c>
      <c r="H23" s="19" t="s">
        <v>68</v>
      </c>
      <c r="I23" s="37">
        <f>+(21000*100)/119</f>
        <v>17647.058823529413</v>
      </c>
      <c r="J23" s="37">
        <f t="shared" si="25"/>
        <v>17647.058823529413</v>
      </c>
      <c r="K23" s="37">
        <f>+I23*E23</f>
        <v>17647.058823529413</v>
      </c>
      <c r="L23" s="37">
        <f t="shared" si="26"/>
        <v>17647.058823529413</v>
      </c>
      <c r="M23" s="37">
        <f>+(34500*100)/119</f>
        <v>28991.596638655461</v>
      </c>
      <c r="N23" s="37">
        <f t="shared" si="27"/>
        <v>28991.596638655461</v>
      </c>
      <c r="O23" s="37">
        <f t="shared" si="17"/>
        <v>21428.571428571431</v>
      </c>
      <c r="P23" s="37">
        <f>+(21500*100)/119</f>
        <v>18067.226890756301</v>
      </c>
      <c r="Q23" s="37">
        <f t="shared" si="19"/>
        <v>5347.8664123352319</v>
      </c>
      <c r="R23" s="57">
        <f t="shared" si="20"/>
        <v>0.2495670992423108</v>
      </c>
      <c r="S23" s="37">
        <f t="shared" si="21"/>
        <v>17647.058823529413</v>
      </c>
      <c r="T23" s="192">
        <f t="shared" si="22"/>
        <v>17647.058823529413</v>
      </c>
      <c r="U23" s="56">
        <f t="shared" si="23"/>
        <v>0.30304576336566313</v>
      </c>
      <c r="V23" s="106" t="s">
        <v>395</v>
      </c>
      <c r="W23" s="24" t="s">
        <v>477</v>
      </c>
      <c r="X23" s="24" t="s">
        <v>476</v>
      </c>
    </row>
    <row r="24" spans="1:34" s="197" customFormat="1" ht="224.1" customHeight="1">
      <c r="A24" s="186">
        <v>1</v>
      </c>
      <c r="B24" s="198">
        <v>17</v>
      </c>
      <c r="C24" s="188" t="s">
        <v>51</v>
      </c>
      <c r="D24" s="213" t="s">
        <v>497</v>
      </c>
      <c r="E24" s="190">
        <v>1</v>
      </c>
      <c r="F24" s="190" t="s">
        <v>391</v>
      </c>
      <c r="G24" s="191">
        <v>1</v>
      </c>
      <c r="H24" s="191" t="s">
        <v>58</v>
      </c>
      <c r="I24" s="192">
        <v>1100000</v>
      </c>
      <c r="J24" s="192">
        <f t="shared" si="25"/>
        <v>1100000</v>
      </c>
      <c r="K24" s="214">
        <f>+(1500000*100)/119</f>
        <v>1260504.2016806724</v>
      </c>
      <c r="L24" s="192">
        <f t="shared" si="26"/>
        <v>1260504.2016806724</v>
      </c>
      <c r="M24" s="215">
        <v>1008000</v>
      </c>
      <c r="N24" s="192">
        <f t="shared" si="27"/>
        <v>1008000</v>
      </c>
      <c r="O24" s="192">
        <f t="shared" si="17"/>
        <v>1122834.7338935575</v>
      </c>
      <c r="P24" s="192">
        <f t="shared" si="18"/>
        <v>1122834.7338935575</v>
      </c>
      <c r="Q24" s="192">
        <f t="shared" si="19"/>
        <v>104341.30460685452</v>
      </c>
      <c r="R24" s="193">
        <f t="shared" si="20"/>
        <v>9.2926680532084319E-2</v>
      </c>
      <c r="S24" s="192">
        <f t="shared" si="21"/>
        <v>1100000</v>
      </c>
      <c r="T24" s="192">
        <f t="shared" si="22"/>
        <v>1100000</v>
      </c>
      <c r="U24" s="194">
        <f t="shared" si="23"/>
        <v>9.4855731460776832E-2</v>
      </c>
      <c r="V24" s="195" t="s">
        <v>84</v>
      </c>
      <c r="W24" s="196" t="s">
        <v>392</v>
      </c>
      <c r="X24" s="196" t="s">
        <v>393</v>
      </c>
    </row>
    <row r="25" spans="1:34" s="197" customFormat="1" ht="252" customHeight="1">
      <c r="A25" s="186">
        <v>1</v>
      </c>
      <c r="B25" s="198">
        <v>18</v>
      </c>
      <c r="C25" s="188" t="s">
        <v>90</v>
      </c>
      <c r="D25" s="213" t="s">
        <v>348</v>
      </c>
      <c r="E25" s="190">
        <v>1</v>
      </c>
      <c r="F25" s="190" t="s">
        <v>40</v>
      </c>
      <c r="G25" s="191">
        <v>1</v>
      </c>
      <c r="H25" s="191" t="s">
        <v>58</v>
      </c>
      <c r="I25" s="216">
        <f>+(831810*100)/119</f>
        <v>699000</v>
      </c>
      <c r="J25" s="192">
        <f t="shared" si="25"/>
        <v>699000</v>
      </c>
      <c r="K25" s="216">
        <f>+(876506*100)/119</f>
        <v>736559.66386554623</v>
      </c>
      <c r="L25" s="192">
        <f t="shared" si="26"/>
        <v>736559.66386554623</v>
      </c>
      <c r="M25" s="216">
        <f>+(933199*100)/119</f>
        <v>784200.84033613442</v>
      </c>
      <c r="N25" s="192">
        <f t="shared" si="27"/>
        <v>784200.84033613442</v>
      </c>
      <c r="O25" s="192">
        <f t="shared" si="17"/>
        <v>739920.16806722677</v>
      </c>
      <c r="P25" s="192">
        <f t="shared" si="18"/>
        <v>739920.16806722677</v>
      </c>
      <c r="Q25" s="192">
        <f t="shared" si="19"/>
        <v>34864.170145131349</v>
      </c>
      <c r="R25" s="193">
        <f t="shared" si="20"/>
        <v>4.7118826665045979E-2</v>
      </c>
      <c r="S25" s="192">
        <f t="shared" si="21"/>
        <v>736559.66386554623</v>
      </c>
      <c r="T25" s="192">
        <f t="shared" si="22"/>
        <v>736559.66386554623</v>
      </c>
      <c r="U25" s="194">
        <f t="shared" si="23"/>
        <v>4.7333803160168102E-2</v>
      </c>
      <c r="V25" s="195" t="s">
        <v>91</v>
      </c>
      <c r="W25" s="189" t="s">
        <v>92</v>
      </c>
      <c r="X25" s="189" t="s">
        <v>93</v>
      </c>
    </row>
    <row r="26" spans="1:34" s="21" customFormat="1" ht="210" customHeight="1">
      <c r="A26" s="173">
        <v>1</v>
      </c>
      <c r="B26" s="165">
        <v>19</v>
      </c>
      <c r="C26" s="23" t="s">
        <v>94</v>
      </c>
      <c r="D26" s="15" t="s">
        <v>95</v>
      </c>
      <c r="E26" s="18">
        <v>50</v>
      </c>
      <c r="F26" s="18" t="s">
        <v>40</v>
      </c>
      <c r="G26" s="19">
        <v>1</v>
      </c>
      <c r="H26" s="19" t="s">
        <v>58</v>
      </c>
      <c r="I26" s="37">
        <f>+(20000*100)/119</f>
        <v>16806.722689075632</v>
      </c>
      <c r="J26" s="37">
        <f t="shared" si="25"/>
        <v>840336.13445378165</v>
      </c>
      <c r="K26" s="37">
        <f>+(20000*100)/119</f>
        <v>16806.722689075632</v>
      </c>
      <c r="L26" s="37">
        <f t="shared" si="26"/>
        <v>840336.13445378165</v>
      </c>
      <c r="M26" s="37">
        <f>+(21500*100)/119</f>
        <v>18067.226890756301</v>
      </c>
      <c r="N26" s="37">
        <f t="shared" si="27"/>
        <v>903361.34453781508</v>
      </c>
      <c r="O26" s="37">
        <f t="shared" si="17"/>
        <v>17226.890756302524</v>
      </c>
      <c r="P26" s="37">
        <f t="shared" si="18"/>
        <v>861344.53781512624</v>
      </c>
      <c r="Q26" s="37">
        <f t="shared" si="19"/>
        <v>594.20737914835786</v>
      </c>
      <c r="R26" s="57">
        <f t="shared" si="20"/>
        <v>3.4493013716416866E-2</v>
      </c>
      <c r="S26" s="37">
        <f t="shared" si="21"/>
        <v>16806.722689075632</v>
      </c>
      <c r="T26" s="192">
        <f t="shared" si="22"/>
        <v>840336.13445378165</v>
      </c>
      <c r="U26" s="56">
        <f t="shared" si="23"/>
        <v>3.5355339059327286E-2</v>
      </c>
      <c r="V26" s="106" t="s">
        <v>478</v>
      </c>
      <c r="W26" s="24" t="s">
        <v>463</v>
      </c>
      <c r="X26" s="24" t="s">
        <v>464</v>
      </c>
    </row>
    <row r="27" spans="1:34" s="21" customFormat="1" ht="181.5">
      <c r="A27" s="173">
        <v>1</v>
      </c>
      <c r="B27" s="166">
        <v>20</v>
      </c>
      <c r="C27" s="23" t="s">
        <v>96</v>
      </c>
      <c r="D27" s="24" t="s">
        <v>97</v>
      </c>
      <c r="E27" s="18">
        <v>50</v>
      </c>
      <c r="F27" s="18" t="s">
        <v>40</v>
      </c>
      <c r="G27" s="19">
        <v>1</v>
      </c>
      <c r="H27" s="19" t="s">
        <v>58</v>
      </c>
      <c r="I27" s="37">
        <f>+(25000*100)/119</f>
        <v>21008.403361344539</v>
      </c>
      <c r="J27" s="37">
        <f t="shared" si="25"/>
        <v>1050420.1680672269</v>
      </c>
      <c r="K27" s="37">
        <f>+(25000*100)/119</f>
        <v>21008.403361344539</v>
      </c>
      <c r="L27" s="37">
        <f t="shared" si="26"/>
        <v>1050420.1680672269</v>
      </c>
      <c r="M27" s="37">
        <f>+(26500*100)/119</f>
        <v>22268.907563025212</v>
      </c>
      <c r="N27" s="37">
        <f t="shared" si="27"/>
        <v>1113445.3781512605</v>
      </c>
      <c r="O27" s="37">
        <f t="shared" si="17"/>
        <v>21428.571428571431</v>
      </c>
      <c r="P27" s="37">
        <f t="shared" si="18"/>
        <v>1071428.5714285716</v>
      </c>
      <c r="Q27" s="37">
        <f t="shared" si="19"/>
        <v>594.20737914835956</v>
      </c>
      <c r="R27" s="57">
        <f t="shared" si="20"/>
        <v>2.772967769359011E-2</v>
      </c>
      <c r="S27" s="37">
        <f t="shared" si="21"/>
        <v>21008.403361344539</v>
      </c>
      <c r="T27" s="192">
        <f t="shared" si="22"/>
        <v>1050420.1680672269</v>
      </c>
      <c r="U27" s="56">
        <f t="shared" si="23"/>
        <v>2.8284271247461915E-2</v>
      </c>
      <c r="V27" s="106" t="s">
        <v>478</v>
      </c>
      <c r="W27" s="24" t="s">
        <v>463</v>
      </c>
      <c r="X27" s="24" t="s">
        <v>464</v>
      </c>
    </row>
    <row r="28" spans="1:34" s="21" customFormat="1" ht="31.5">
      <c r="A28" s="173">
        <v>1</v>
      </c>
      <c r="B28" s="166">
        <v>21</v>
      </c>
      <c r="C28" s="23" t="s">
        <v>60</v>
      </c>
      <c r="D28" s="24" t="s">
        <v>98</v>
      </c>
      <c r="E28" s="18">
        <v>4</v>
      </c>
      <c r="F28" s="18" t="s">
        <v>40</v>
      </c>
      <c r="G28" s="19">
        <v>1</v>
      </c>
      <c r="H28" s="19" t="s">
        <v>58</v>
      </c>
      <c r="I28" s="37">
        <f>+(1150*100)/119</f>
        <v>966.38655462184875</v>
      </c>
      <c r="J28" s="37">
        <f t="shared" si="25"/>
        <v>3865.546218487395</v>
      </c>
      <c r="K28" s="37">
        <f>+(1850*100)/119</f>
        <v>1554.6218487394958</v>
      </c>
      <c r="L28" s="37">
        <f t="shared" si="26"/>
        <v>6218.4873949579833</v>
      </c>
      <c r="M28" s="37">
        <f>+(1680*100)/119</f>
        <v>1411.7647058823529</v>
      </c>
      <c r="N28" s="37">
        <f t="shared" si="27"/>
        <v>5647.0588235294117</v>
      </c>
      <c r="O28" s="37">
        <f t="shared" si="17"/>
        <v>1310.9243697478994</v>
      </c>
      <c r="P28" s="37">
        <f t="shared" si="18"/>
        <v>5243.6974789915976</v>
      </c>
      <c r="Q28" s="37">
        <f t="shared" si="19"/>
        <v>250.50850997547647</v>
      </c>
      <c r="R28" s="57">
        <f t="shared" si="20"/>
        <v>0.19109303004539549</v>
      </c>
      <c r="S28" s="37">
        <f t="shared" si="21"/>
        <v>1411.7647058823529</v>
      </c>
      <c r="T28" s="192">
        <f t="shared" si="22"/>
        <v>5647.0588235294117</v>
      </c>
      <c r="U28" s="56">
        <f t="shared" si="23"/>
        <v>0.17744352789929582</v>
      </c>
      <c r="V28" s="106" t="s">
        <v>62</v>
      </c>
      <c r="W28" s="20" t="s">
        <v>63</v>
      </c>
      <c r="X28" s="20" t="s">
        <v>64</v>
      </c>
    </row>
    <row r="29" spans="1:34" s="21" customFormat="1" ht="82.5">
      <c r="A29" s="173">
        <v>1</v>
      </c>
      <c r="B29" s="165">
        <v>22</v>
      </c>
      <c r="C29" s="23" t="s">
        <v>99</v>
      </c>
      <c r="D29" s="24" t="s">
        <v>100</v>
      </c>
      <c r="E29" s="18">
        <v>50</v>
      </c>
      <c r="F29" s="18" t="s">
        <v>40</v>
      </c>
      <c r="G29" s="19">
        <v>1</v>
      </c>
      <c r="H29" s="19" t="s">
        <v>58</v>
      </c>
      <c r="I29" s="37">
        <f>+(7021*100)/119</f>
        <v>5900</v>
      </c>
      <c r="J29" s="37">
        <f t="shared" si="25"/>
        <v>295000</v>
      </c>
      <c r="K29" s="37">
        <f>+(5712*100)/119</f>
        <v>4800</v>
      </c>
      <c r="L29" s="37">
        <f t="shared" si="26"/>
        <v>240000</v>
      </c>
      <c r="M29" s="37">
        <f>+(6700*100)/119</f>
        <v>5630.2521008403364</v>
      </c>
      <c r="N29" s="37">
        <f t="shared" si="27"/>
        <v>281512.60504201683</v>
      </c>
      <c r="O29" s="37">
        <f t="shared" si="17"/>
        <v>5443.4173669467791</v>
      </c>
      <c r="P29" s="37">
        <f t="shared" si="18"/>
        <v>272170.86834733898</v>
      </c>
      <c r="Q29" s="37">
        <f t="shared" si="19"/>
        <v>468.10284720476216</v>
      </c>
      <c r="R29" s="57">
        <f t="shared" si="20"/>
        <v>8.5994296532753603E-2</v>
      </c>
      <c r="S29" s="37">
        <f t="shared" si="21"/>
        <v>5630.2521008403364</v>
      </c>
      <c r="T29" s="192">
        <f t="shared" si="22"/>
        <v>281512.60504201683</v>
      </c>
      <c r="U29" s="56">
        <f t="shared" si="23"/>
        <v>8.3140654951293566E-2</v>
      </c>
      <c r="V29" s="106" t="s">
        <v>101</v>
      </c>
      <c r="W29" s="20" t="s">
        <v>83</v>
      </c>
      <c r="X29" s="20" t="s">
        <v>63</v>
      </c>
    </row>
    <row r="30" spans="1:34" s="21" customFormat="1" ht="115.5">
      <c r="A30" s="173">
        <v>1</v>
      </c>
      <c r="B30" s="166">
        <v>23</v>
      </c>
      <c r="C30" s="23" t="s">
        <v>102</v>
      </c>
      <c r="D30" s="25" t="s">
        <v>103</v>
      </c>
      <c r="E30" s="18">
        <v>10</v>
      </c>
      <c r="F30" s="18" t="s">
        <v>40</v>
      </c>
      <c r="G30" s="19">
        <v>1</v>
      </c>
      <c r="H30" s="19" t="s">
        <v>68</v>
      </c>
      <c r="I30" s="37">
        <f>+(9200*100)/119</f>
        <v>7731.09243697479</v>
      </c>
      <c r="J30" s="37">
        <f t="shared" si="25"/>
        <v>77310.924369747896</v>
      </c>
      <c r="K30" s="37">
        <f>+(13050*100)/119</f>
        <v>10966.386554621849</v>
      </c>
      <c r="L30" s="37">
        <f t="shared" si="26"/>
        <v>109663.8655462185</v>
      </c>
      <c r="M30" s="37">
        <f>+(13440*100)/119</f>
        <v>11294.117647058823</v>
      </c>
      <c r="N30" s="37">
        <f t="shared" si="27"/>
        <v>112941.17647058824</v>
      </c>
      <c r="O30" s="37">
        <f t="shared" si="17"/>
        <v>9997.1988795518209</v>
      </c>
      <c r="P30" s="37">
        <f t="shared" si="18"/>
        <v>99971.988795518206</v>
      </c>
      <c r="Q30" s="37">
        <f t="shared" si="19"/>
        <v>1607.9553733555122</v>
      </c>
      <c r="R30" s="57">
        <f t="shared" si="20"/>
        <v>0.16084059072230816</v>
      </c>
      <c r="S30" s="37">
        <f t="shared" si="21"/>
        <v>10966.386554621849</v>
      </c>
      <c r="T30" s="192">
        <f t="shared" si="22"/>
        <v>109663.8655462185</v>
      </c>
      <c r="U30" s="56">
        <f t="shared" si="23"/>
        <v>0.14662581565464056</v>
      </c>
      <c r="V30" s="106" t="s">
        <v>62</v>
      </c>
      <c r="W30" s="20" t="s">
        <v>63</v>
      </c>
      <c r="X30" s="20" t="s">
        <v>64</v>
      </c>
    </row>
    <row r="31" spans="1:34" s="197" customFormat="1" ht="140.1" customHeight="1">
      <c r="A31" s="186">
        <v>1</v>
      </c>
      <c r="B31" s="198">
        <v>24</v>
      </c>
      <c r="C31" s="188" t="s">
        <v>104</v>
      </c>
      <c r="D31" s="211" t="s">
        <v>105</v>
      </c>
      <c r="E31" s="190">
        <f>6*10</f>
        <v>60</v>
      </c>
      <c r="F31" s="190" t="s">
        <v>40</v>
      </c>
      <c r="G31" s="191">
        <v>1</v>
      </c>
      <c r="H31" s="191" t="s">
        <v>68</v>
      </c>
      <c r="I31" s="192">
        <f>+(821100*100)/119</f>
        <v>690000</v>
      </c>
      <c r="J31" s="192">
        <f t="shared" si="25"/>
        <v>41400000</v>
      </c>
      <c r="K31" s="192">
        <f>+(313321*100)/119</f>
        <v>263294.95798319328</v>
      </c>
      <c r="L31" s="192">
        <f t="shared" si="26"/>
        <v>15797697.478991596</v>
      </c>
      <c r="M31" s="192">
        <v>258000</v>
      </c>
      <c r="N31" s="192">
        <f t="shared" si="27"/>
        <v>15480000</v>
      </c>
      <c r="O31" s="192">
        <f t="shared" si="17"/>
        <v>403764.98599439772</v>
      </c>
      <c r="P31" s="192">
        <f t="shared" si="18"/>
        <v>24225899.159663863</v>
      </c>
      <c r="Q31" s="192">
        <f t="shared" si="19"/>
        <v>202410.26254796056</v>
      </c>
      <c r="R31" s="193">
        <f t="shared" si="20"/>
        <v>0.50130712064955785</v>
      </c>
      <c r="S31" s="192">
        <f t="shared" si="21"/>
        <v>263294.95798319328</v>
      </c>
      <c r="T31" s="192">
        <f t="shared" si="22"/>
        <v>15797697.478991596</v>
      </c>
      <c r="U31" s="194">
        <f t="shared" si="23"/>
        <v>0.76875859719608031</v>
      </c>
      <c r="V31" s="195" t="s">
        <v>106</v>
      </c>
      <c r="W31" s="196" t="s">
        <v>107</v>
      </c>
      <c r="X31" s="196" t="s">
        <v>457</v>
      </c>
    </row>
    <row r="32" spans="1:34" s="21" customFormat="1" ht="86.1" customHeight="1">
      <c r="A32" s="173">
        <v>1</v>
      </c>
      <c r="B32" s="165">
        <v>25</v>
      </c>
      <c r="C32" s="23" t="s">
        <v>108</v>
      </c>
      <c r="D32" s="48" t="s">
        <v>109</v>
      </c>
      <c r="E32" s="18">
        <v>10</v>
      </c>
      <c r="F32" s="18" t="s">
        <v>40</v>
      </c>
      <c r="G32" s="19">
        <v>1</v>
      </c>
      <c r="H32" s="19" t="s">
        <v>68</v>
      </c>
      <c r="I32" s="37">
        <f>+(690200*100)/119</f>
        <v>580000</v>
      </c>
      <c r="J32" s="37">
        <f t="shared" si="25"/>
        <v>5800000</v>
      </c>
      <c r="K32" s="37">
        <f>+(975144*100)/119</f>
        <v>819448.73949579836</v>
      </c>
      <c r="L32" s="37">
        <f t="shared" si="26"/>
        <v>8194487.3949579839</v>
      </c>
      <c r="M32" s="37">
        <v>625000</v>
      </c>
      <c r="N32" s="37">
        <f t="shared" si="27"/>
        <v>6250000</v>
      </c>
      <c r="O32" s="37">
        <f t="shared" si="17"/>
        <v>674816.24649859953</v>
      </c>
      <c r="P32" s="37">
        <f t="shared" si="18"/>
        <v>6748162.4649859956</v>
      </c>
      <c r="Q32" s="37">
        <f t="shared" si="19"/>
        <v>103907.55032860881</v>
      </c>
      <c r="R32" s="57">
        <f t="shared" si="20"/>
        <v>0.15397902891009374</v>
      </c>
      <c r="S32" s="37">
        <f t="shared" si="21"/>
        <v>625000</v>
      </c>
      <c r="T32" s="192">
        <f t="shared" si="22"/>
        <v>6250000</v>
      </c>
      <c r="U32" s="56">
        <f t="shared" si="23"/>
        <v>0.16625208052577409</v>
      </c>
      <c r="V32" s="106" t="s">
        <v>106</v>
      </c>
      <c r="W32" s="20" t="s">
        <v>107</v>
      </c>
      <c r="X32" s="20" t="s">
        <v>457</v>
      </c>
    </row>
    <row r="33" spans="1:34" s="21" customFormat="1" ht="40.5" customHeight="1">
      <c r="A33" s="173">
        <v>1</v>
      </c>
      <c r="B33" s="166">
        <v>26</v>
      </c>
      <c r="C33" s="23" t="s">
        <v>110</v>
      </c>
      <c r="D33" s="107" t="s">
        <v>468</v>
      </c>
      <c r="E33" s="18">
        <v>20</v>
      </c>
      <c r="F33" s="18" t="s">
        <v>40</v>
      </c>
      <c r="G33" s="19">
        <v>1</v>
      </c>
      <c r="H33" s="19" t="s">
        <v>68</v>
      </c>
      <c r="I33" s="37">
        <f>+(459000*100)/119</f>
        <v>385714.28571428574</v>
      </c>
      <c r="J33" s="37">
        <f t="shared" si="25"/>
        <v>7714285.7142857146</v>
      </c>
      <c r="K33" s="37">
        <f>+(801676*100)/119</f>
        <v>673677.31092436973</v>
      </c>
      <c r="L33" s="37">
        <f t="shared" si="26"/>
        <v>13473546.218487395</v>
      </c>
      <c r="M33" s="37">
        <v>701000</v>
      </c>
      <c r="N33" s="37">
        <f t="shared" si="27"/>
        <v>14020000</v>
      </c>
      <c r="O33" s="37">
        <f t="shared" si="17"/>
        <v>586797.19887955184</v>
      </c>
      <c r="P33" s="37">
        <f t="shared" si="18"/>
        <v>11735943.977591038</v>
      </c>
      <c r="Q33" s="37">
        <f t="shared" si="19"/>
        <v>142623.94798876604</v>
      </c>
      <c r="R33" s="57">
        <f t="shared" si="20"/>
        <v>0.24305492299741116</v>
      </c>
      <c r="S33" s="37">
        <f t="shared" si="21"/>
        <v>673677.31092436973</v>
      </c>
      <c r="T33" s="192">
        <f t="shared" si="22"/>
        <v>13473546.218487395</v>
      </c>
      <c r="U33" s="56">
        <f t="shared" si="23"/>
        <v>0.21170959104006057</v>
      </c>
      <c r="V33" s="106" t="s">
        <v>113</v>
      </c>
      <c r="W33" s="20" t="s">
        <v>107</v>
      </c>
      <c r="X33" s="20" t="s">
        <v>457</v>
      </c>
    </row>
    <row r="34" spans="1:34" s="197" customFormat="1" ht="102.6" customHeight="1">
      <c r="A34" s="186">
        <v>1</v>
      </c>
      <c r="B34" s="198">
        <v>27</v>
      </c>
      <c r="C34" s="188" t="s">
        <v>111</v>
      </c>
      <c r="D34" s="211" t="s">
        <v>112</v>
      </c>
      <c r="E34" s="190">
        <v>10</v>
      </c>
      <c r="F34" s="190" t="s">
        <v>40</v>
      </c>
      <c r="G34" s="191">
        <v>1</v>
      </c>
      <c r="H34" s="191" t="s">
        <v>68</v>
      </c>
      <c r="I34" s="192">
        <f>+(2889000*100)/119</f>
        <v>2427731.0924369749</v>
      </c>
      <c r="J34" s="192">
        <f t="shared" si="25"/>
        <v>24277310.924369749</v>
      </c>
      <c r="K34" s="192">
        <f>+(2849900*100)/119</f>
        <v>2394873.9495798321</v>
      </c>
      <c r="L34" s="192">
        <f t="shared" si="26"/>
        <v>23948739.49579832</v>
      </c>
      <c r="M34" s="192">
        <f>+(2699900*100)/119</f>
        <v>2268823.5294117648</v>
      </c>
      <c r="N34" s="192">
        <f t="shared" si="27"/>
        <v>22688235.294117648</v>
      </c>
      <c r="O34" s="192">
        <f t="shared" si="17"/>
        <v>2363809.5238095238</v>
      </c>
      <c r="P34" s="192">
        <f t="shared" si="18"/>
        <v>23638095.238095239</v>
      </c>
      <c r="Q34" s="192">
        <f t="shared" si="19"/>
        <v>68491.616557464018</v>
      </c>
      <c r="R34" s="193">
        <f t="shared" si="20"/>
        <v>2.8975099671771642E-2</v>
      </c>
      <c r="S34" s="192">
        <f t="shared" si="21"/>
        <v>2394873.9495798321</v>
      </c>
      <c r="T34" s="192">
        <f t="shared" si="22"/>
        <v>23948739.49579832</v>
      </c>
      <c r="U34" s="194">
        <f t="shared" si="23"/>
        <v>2.8599257413727562E-2</v>
      </c>
      <c r="V34" s="195" t="s">
        <v>113</v>
      </c>
      <c r="W34" s="196" t="s">
        <v>114</v>
      </c>
      <c r="X34" s="196" t="s">
        <v>115</v>
      </c>
    </row>
    <row r="35" spans="1:34" s="21" customFormat="1" ht="118.5" customHeight="1">
      <c r="A35" s="173">
        <v>1</v>
      </c>
      <c r="B35" s="165">
        <v>28</v>
      </c>
      <c r="C35" s="23" t="s">
        <v>116</v>
      </c>
      <c r="D35" s="112" t="s">
        <v>117</v>
      </c>
      <c r="E35" s="18">
        <v>10</v>
      </c>
      <c r="F35" s="18" t="s">
        <v>118</v>
      </c>
      <c r="G35" s="19">
        <v>1</v>
      </c>
      <c r="H35" s="19" t="s">
        <v>68</v>
      </c>
      <c r="I35" s="37">
        <f>+(1515148*100)/119</f>
        <v>1273233.6134453781</v>
      </c>
      <c r="J35" s="37">
        <f t="shared" si="25"/>
        <v>12732336.134453781</v>
      </c>
      <c r="K35" s="37">
        <f>+(1100000*100)/119</f>
        <v>924369.74789915967</v>
      </c>
      <c r="L35" s="37">
        <f t="shared" si="26"/>
        <v>9243697.478991596</v>
      </c>
      <c r="M35" s="37">
        <f>+(1096416*100)/119</f>
        <v>921357.98319327726</v>
      </c>
      <c r="N35" s="37">
        <f t="shared" si="27"/>
        <v>9213579.831932772</v>
      </c>
      <c r="O35" s="37">
        <f t="shared" si="17"/>
        <v>1039653.781512605</v>
      </c>
      <c r="P35" s="37">
        <f t="shared" si="18"/>
        <v>10396537.81512605</v>
      </c>
      <c r="Q35" s="37">
        <f t="shared" si="19"/>
        <v>165170.45961867753</v>
      </c>
      <c r="R35" s="57">
        <f t="shared" si="20"/>
        <v>0.15887063804872523</v>
      </c>
      <c r="S35" s="37">
        <f t="shared" si="21"/>
        <v>924369.74789915967</v>
      </c>
      <c r="T35" s="192">
        <f t="shared" si="22"/>
        <v>9243697.478991596</v>
      </c>
      <c r="U35" s="56">
        <f t="shared" si="23"/>
        <v>0.17868440631475113</v>
      </c>
      <c r="V35" s="106" t="s">
        <v>400</v>
      </c>
      <c r="W35" s="24" t="s">
        <v>401</v>
      </c>
      <c r="X35" s="24" t="s">
        <v>402</v>
      </c>
    </row>
    <row r="36" spans="1:34" s="197" customFormat="1" ht="409.5" customHeight="1">
      <c r="A36" s="186">
        <v>1</v>
      </c>
      <c r="B36" s="198">
        <v>29</v>
      </c>
      <c r="C36" s="188" t="s">
        <v>119</v>
      </c>
      <c r="D36" s="211" t="s">
        <v>499</v>
      </c>
      <c r="E36" s="190">
        <v>10</v>
      </c>
      <c r="F36" s="190" t="s">
        <v>118</v>
      </c>
      <c r="G36" s="191">
        <v>1</v>
      </c>
      <c r="H36" s="191" t="s">
        <v>68</v>
      </c>
      <c r="I36" s="192">
        <v>6195000</v>
      </c>
      <c r="J36" s="192">
        <f t="shared" si="25"/>
        <v>61950000</v>
      </c>
      <c r="K36" s="192"/>
      <c r="L36" s="192">
        <f t="shared" si="26"/>
        <v>0</v>
      </c>
      <c r="M36" s="192"/>
      <c r="N36" s="192">
        <f t="shared" si="27"/>
        <v>0</v>
      </c>
      <c r="O36" s="192">
        <f t="shared" si="17"/>
        <v>6195000</v>
      </c>
      <c r="P36" s="192">
        <f t="shared" si="18"/>
        <v>61950000</v>
      </c>
      <c r="Q36" s="192">
        <f t="shared" si="19"/>
        <v>0</v>
      </c>
      <c r="R36" s="193">
        <f t="shared" si="20"/>
        <v>0</v>
      </c>
      <c r="S36" s="192">
        <f t="shared" si="21"/>
        <v>6195000</v>
      </c>
      <c r="T36" s="192">
        <f t="shared" si="22"/>
        <v>61950000</v>
      </c>
      <c r="U36" s="194">
        <f t="shared" si="23"/>
        <v>0</v>
      </c>
      <c r="V36" s="195" t="s">
        <v>389</v>
      </c>
      <c r="W36" s="212" t="s">
        <v>472</v>
      </c>
      <c r="X36" s="212"/>
    </row>
    <row r="37" spans="1:34" s="21" customFormat="1" ht="204.75" customHeight="1">
      <c r="A37" s="173">
        <v>1</v>
      </c>
      <c r="B37" s="166">
        <v>30</v>
      </c>
      <c r="C37" s="113" t="s">
        <v>120</v>
      </c>
      <c r="D37" s="115" t="s">
        <v>498</v>
      </c>
      <c r="E37" s="60">
        <v>10</v>
      </c>
      <c r="F37" s="60" t="s">
        <v>118</v>
      </c>
      <c r="G37" s="61">
        <v>1</v>
      </c>
      <c r="H37" s="61" t="s">
        <v>68</v>
      </c>
      <c r="I37" s="62">
        <v>2352941</v>
      </c>
      <c r="J37" s="62">
        <f t="shared" si="25"/>
        <v>23529410</v>
      </c>
      <c r="K37" s="183"/>
      <c r="L37" s="62">
        <f t="shared" si="26"/>
        <v>0</v>
      </c>
      <c r="M37" s="181">
        <v>4954000</v>
      </c>
      <c r="N37" s="62">
        <f t="shared" si="27"/>
        <v>49540000</v>
      </c>
      <c r="O37" s="62">
        <f t="shared" si="17"/>
        <v>3653470.5</v>
      </c>
      <c r="P37" s="62">
        <f t="shared" si="18"/>
        <v>36534705</v>
      </c>
      <c r="Q37" s="62">
        <f t="shared" si="19"/>
        <v>1300529.5</v>
      </c>
      <c r="R37" s="63">
        <f t="shared" si="20"/>
        <v>0.35597098703821478</v>
      </c>
      <c r="S37" s="62">
        <f t="shared" si="21"/>
        <v>3653470.5</v>
      </c>
      <c r="T37" s="183">
        <f t="shared" si="22"/>
        <v>36534705</v>
      </c>
      <c r="U37" s="64">
        <f t="shared" si="23"/>
        <v>0.35597098703821478</v>
      </c>
      <c r="V37" s="106" t="s">
        <v>389</v>
      </c>
      <c r="W37" s="144" t="s">
        <v>472</v>
      </c>
      <c r="X37" s="144"/>
    </row>
    <row r="38" spans="1:34" s="21" customFormat="1" ht="16.5">
      <c r="A38" s="173">
        <f t="shared" si="8"/>
        <v>0</v>
      </c>
      <c r="B38" s="171"/>
      <c r="C38" s="108" t="s">
        <v>70</v>
      </c>
      <c r="D38" s="91" t="s">
        <v>121</v>
      </c>
      <c r="E38" s="92"/>
      <c r="F38" s="92"/>
      <c r="G38" s="93"/>
      <c r="H38" s="93"/>
      <c r="I38" s="94"/>
      <c r="J38" s="94"/>
      <c r="K38" s="94"/>
      <c r="L38" s="94"/>
      <c r="M38" s="94"/>
      <c r="N38" s="94"/>
      <c r="O38" s="94"/>
      <c r="P38" s="94"/>
      <c r="Q38" s="94"/>
      <c r="R38" s="95"/>
      <c r="S38" s="94"/>
      <c r="T38" s="202"/>
      <c r="U38" s="96"/>
      <c r="V38" s="106"/>
      <c r="W38" s="97"/>
      <c r="X38" s="90"/>
    </row>
    <row r="39" spans="1:34" s="21" customFormat="1" ht="49.5">
      <c r="A39" s="173">
        <v>2</v>
      </c>
      <c r="B39" s="165">
        <v>33</v>
      </c>
      <c r="C39" s="66" t="s">
        <v>122</v>
      </c>
      <c r="D39" s="67" t="s">
        <v>123</v>
      </c>
      <c r="E39" s="78">
        <v>12000</v>
      </c>
      <c r="F39" s="78" t="s">
        <v>40</v>
      </c>
      <c r="G39" s="79">
        <v>1</v>
      </c>
      <c r="H39" s="79" t="s">
        <v>68</v>
      </c>
      <c r="I39" s="55">
        <f>+(130*100)/119</f>
        <v>109.24369747899159</v>
      </c>
      <c r="J39" s="55">
        <f t="shared" ref="J39:J53" si="28">+I39*E39*G39</f>
        <v>1310924.369747899</v>
      </c>
      <c r="K39" s="55">
        <f>+(160*100)/119</f>
        <v>134.45378151260505</v>
      </c>
      <c r="L39" s="55">
        <f t="shared" ref="L39:L53" si="29">+K39*G39*E39</f>
        <v>1613445.3781512605</v>
      </c>
      <c r="M39" s="55">
        <f>+(163*100)/119</f>
        <v>136.9747899159664</v>
      </c>
      <c r="N39" s="55">
        <f t="shared" ref="N39:N53" si="30">+M39*G39*E39</f>
        <v>1643697.4789915967</v>
      </c>
      <c r="O39" s="55">
        <f t="shared" si="17"/>
        <v>126.89075630252103</v>
      </c>
      <c r="P39" s="55">
        <f t="shared" si="18"/>
        <v>1522689.0756302522</v>
      </c>
      <c r="Q39" s="55">
        <f t="shared" si="19"/>
        <v>12.52072640819441</v>
      </c>
      <c r="R39" s="68">
        <f t="shared" si="20"/>
        <v>9.8673274342724146E-2</v>
      </c>
      <c r="S39" s="55">
        <f t="shared" si="21"/>
        <v>134.45378151260505</v>
      </c>
      <c r="T39" s="184">
        <f t="shared" si="22"/>
        <v>1613445.3781512605</v>
      </c>
      <c r="U39" s="69">
        <f t="shared" si="23"/>
        <v>9.3122902660945917E-2</v>
      </c>
      <c r="V39" s="106" t="s">
        <v>124</v>
      </c>
      <c r="W39" s="43" t="s">
        <v>125</v>
      </c>
      <c r="X39" s="43" t="s">
        <v>126</v>
      </c>
    </row>
    <row r="40" spans="1:34" s="21" customFormat="1" ht="33">
      <c r="A40" s="173">
        <v>2</v>
      </c>
      <c r="B40" s="166">
        <v>34</v>
      </c>
      <c r="C40" s="23" t="s">
        <v>127</v>
      </c>
      <c r="D40" s="24" t="s">
        <v>128</v>
      </c>
      <c r="E40" s="18">
        <v>4</v>
      </c>
      <c r="F40" s="18" t="s">
        <v>40</v>
      </c>
      <c r="G40" s="19">
        <v>1</v>
      </c>
      <c r="H40" s="19" t="s">
        <v>68</v>
      </c>
      <c r="I40" s="37">
        <f>+(333200*100)/119</f>
        <v>280000</v>
      </c>
      <c r="J40" s="37">
        <f t="shared" si="28"/>
        <v>1120000</v>
      </c>
      <c r="K40" s="37">
        <f>+(267750*100)/119</f>
        <v>225000</v>
      </c>
      <c r="L40" s="37">
        <f t="shared" si="29"/>
        <v>900000</v>
      </c>
      <c r="M40" s="37">
        <f>+(297500*100)/119</f>
        <v>250000</v>
      </c>
      <c r="N40" s="37">
        <f t="shared" si="30"/>
        <v>1000000</v>
      </c>
      <c r="O40" s="37">
        <f t="shared" si="17"/>
        <v>251666.66666666666</v>
      </c>
      <c r="P40" s="37">
        <f t="shared" si="18"/>
        <v>1006666.6666666666</v>
      </c>
      <c r="Q40" s="37">
        <f t="shared" si="19"/>
        <v>22484.562605386735</v>
      </c>
      <c r="R40" s="57">
        <f t="shared" si="20"/>
        <v>8.9342632869086364E-2</v>
      </c>
      <c r="S40" s="37">
        <f t="shared" si="21"/>
        <v>250000</v>
      </c>
      <c r="T40" s="192">
        <f t="shared" si="22"/>
        <v>1000000</v>
      </c>
      <c r="U40" s="56">
        <f t="shared" si="23"/>
        <v>8.9938250421546934E-2</v>
      </c>
      <c r="V40" s="106" t="s">
        <v>129</v>
      </c>
      <c r="W40" s="20" t="s">
        <v>130</v>
      </c>
      <c r="X40" s="20" t="s">
        <v>131</v>
      </c>
    </row>
    <row r="41" spans="1:34" s="21" customFormat="1" ht="49.5">
      <c r="A41" s="173">
        <v>2</v>
      </c>
      <c r="B41" s="165">
        <v>35</v>
      </c>
      <c r="C41" s="23" t="s">
        <v>132</v>
      </c>
      <c r="D41" s="110" t="s">
        <v>133</v>
      </c>
      <c r="E41" s="18">
        <v>2000</v>
      </c>
      <c r="F41" s="18" t="s">
        <v>40</v>
      </c>
      <c r="G41" s="19">
        <v>1</v>
      </c>
      <c r="H41" s="19" t="s">
        <v>68</v>
      </c>
      <c r="I41" s="37">
        <f>+(204*100)/119</f>
        <v>171.42857142857142</v>
      </c>
      <c r="J41" s="37">
        <f t="shared" si="28"/>
        <v>342857.14285714284</v>
      </c>
      <c r="K41" s="37">
        <f>+(140*100)/119</f>
        <v>117.64705882352941</v>
      </c>
      <c r="L41" s="37">
        <f t="shared" si="29"/>
        <v>235294.11764705883</v>
      </c>
      <c r="M41" s="37">
        <f>+(163*100)/119</f>
        <v>136.9747899159664</v>
      </c>
      <c r="N41" s="37">
        <f t="shared" si="30"/>
        <v>273949.57983193279</v>
      </c>
      <c r="O41" s="37">
        <f t="shared" si="17"/>
        <v>142.0168067226891</v>
      </c>
      <c r="P41" s="37">
        <f t="shared" si="18"/>
        <v>284033.6134453782</v>
      </c>
      <c r="Q41" s="37">
        <f t="shared" si="19"/>
        <v>22.243789015228892</v>
      </c>
      <c r="R41" s="57">
        <f t="shared" si="20"/>
        <v>0.15662786348001406</v>
      </c>
      <c r="S41" s="37">
        <f t="shared" si="21"/>
        <v>136.9747899159664</v>
      </c>
      <c r="T41" s="192">
        <f t="shared" si="22"/>
        <v>273949.57983193279</v>
      </c>
      <c r="U41" s="56">
        <f t="shared" si="23"/>
        <v>0.16239330630749926</v>
      </c>
      <c r="V41" s="106" t="s">
        <v>63</v>
      </c>
      <c r="W41" s="24" t="s">
        <v>403</v>
      </c>
      <c r="X41" s="24" t="s">
        <v>404</v>
      </c>
    </row>
    <row r="42" spans="1:34" s="21" customFormat="1" ht="66">
      <c r="A42" s="173">
        <v>2</v>
      </c>
      <c r="B42" s="166">
        <v>36</v>
      </c>
      <c r="C42" s="23" t="s">
        <v>134</v>
      </c>
      <c r="D42" s="24" t="s">
        <v>135</v>
      </c>
      <c r="E42" s="18">
        <v>1</v>
      </c>
      <c r="F42" s="18" t="s">
        <v>40</v>
      </c>
      <c r="G42" s="19">
        <v>1</v>
      </c>
      <c r="H42" s="19" t="s">
        <v>68</v>
      </c>
      <c r="I42" s="37">
        <f>+(1490000*100)/119</f>
        <v>1252100.8403361344</v>
      </c>
      <c r="J42" s="37">
        <f t="shared" si="28"/>
        <v>1252100.8403361344</v>
      </c>
      <c r="K42" s="37">
        <f>+(1150000*100)/119</f>
        <v>966386.55462184874</v>
      </c>
      <c r="L42" s="37">
        <f t="shared" si="29"/>
        <v>966386.55462184874</v>
      </c>
      <c r="M42" s="37">
        <f>+(1673000*100)/119</f>
        <v>1405882.3529411764</v>
      </c>
      <c r="N42" s="37">
        <f t="shared" si="30"/>
        <v>1405882.3529411764</v>
      </c>
      <c r="O42" s="37">
        <f t="shared" si="17"/>
        <v>1208123.2492997197</v>
      </c>
      <c r="P42" s="37">
        <f t="shared" si="18"/>
        <v>1208123.2492997197</v>
      </c>
      <c r="Q42" s="37">
        <f t="shared" si="19"/>
        <v>182098.25291146294</v>
      </c>
      <c r="R42" s="57">
        <f t="shared" si="20"/>
        <v>0.15072820841500645</v>
      </c>
      <c r="S42" s="37">
        <f t="shared" si="21"/>
        <v>1252100.8403361344</v>
      </c>
      <c r="T42" s="192">
        <f t="shared" si="22"/>
        <v>1252100.8403361344</v>
      </c>
      <c r="U42" s="56">
        <f t="shared" si="23"/>
        <v>0.1454341751440543</v>
      </c>
      <c r="V42" s="106" t="s">
        <v>136</v>
      </c>
      <c r="W42" s="20" t="s">
        <v>137</v>
      </c>
      <c r="X42" s="20" t="s">
        <v>138</v>
      </c>
    </row>
    <row r="43" spans="1:34" s="21" customFormat="1" ht="66">
      <c r="A43" s="173">
        <v>2</v>
      </c>
      <c r="B43" s="165">
        <v>37</v>
      </c>
      <c r="C43" s="23" t="s">
        <v>139</v>
      </c>
      <c r="D43" s="24" t="s">
        <v>140</v>
      </c>
      <c r="E43" s="18">
        <v>1</v>
      </c>
      <c r="F43" s="18" t="s">
        <v>40</v>
      </c>
      <c r="G43" s="19">
        <v>1</v>
      </c>
      <c r="H43" s="19" t="s">
        <v>68</v>
      </c>
      <c r="I43" s="37">
        <f>+(5085565*100)/119</f>
        <v>4273584.0336134452</v>
      </c>
      <c r="J43" s="37">
        <f t="shared" si="28"/>
        <v>4273584.0336134452</v>
      </c>
      <c r="K43" s="37">
        <f>+(6271300*100)/119</f>
        <v>5270000</v>
      </c>
      <c r="L43" s="37">
        <f t="shared" si="29"/>
        <v>5270000</v>
      </c>
      <c r="M43" s="37">
        <f>+(2830653*100)/119</f>
        <v>2378700</v>
      </c>
      <c r="N43" s="37">
        <f t="shared" si="30"/>
        <v>2378700</v>
      </c>
      <c r="O43" s="37">
        <f t="shared" si="17"/>
        <v>3974094.6778711486</v>
      </c>
      <c r="P43" s="37">
        <f t="shared" si="18"/>
        <v>3974094.6778711486</v>
      </c>
      <c r="Q43" s="37">
        <f t="shared" si="19"/>
        <v>1199214.8342845561</v>
      </c>
      <c r="R43" s="57">
        <f t="shared" si="20"/>
        <v>0.3017579930750301</v>
      </c>
      <c r="S43" s="37">
        <f t="shared" si="21"/>
        <v>4273584.0336134452</v>
      </c>
      <c r="T43" s="192">
        <f t="shared" si="22"/>
        <v>4273584.0336134452</v>
      </c>
      <c r="U43" s="56">
        <f t="shared" si="23"/>
        <v>0.28061103393597797</v>
      </c>
      <c r="V43" s="106" t="s">
        <v>470</v>
      </c>
      <c r="W43" s="20" t="s">
        <v>141</v>
      </c>
      <c r="X43" s="20" t="s">
        <v>142</v>
      </c>
    </row>
    <row r="44" spans="1:34" ht="82.5">
      <c r="A44" s="173">
        <v>2</v>
      </c>
      <c r="B44" s="166">
        <v>38</v>
      </c>
      <c r="C44" s="23" t="s">
        <v>143</v>
      </c>
      <c r="D44" s="24" t="s">
        <v>144</v>
      </c>
      <c r="E44" s="18">
        <v>1</v>
      </c>
      <c r="F44" s="18" t="s">
        <v>40</v>
      </c>
      <c r="G44" s="19">
        <v>1</v>
      </c>
      <c r="H44" s="19" t="s">
        <v>68</v>
      </c>
      <c r="I44" s="37">
        <f>+(2039000*100)/119</f>
        <v>1713445.3781512605</v>
      </c>
      <c r="J44" s="37">
        <f t="shared" si="28"/>
        <v>1713445.3781512605</v>
      </c>
      <c r="K44" s="37">
        <f>+(1959000*100)/119</f>
        <v>1646218.487394958</v>
      </c>
      <c r="L44" s="37">
        <f t="shared" si="29"/>
        <v>1646218.487394958</v>
      </c>
      <c r="M44" s="37">
        <f>+(1959000*100)/119</f>
        <v>1646218.487394958</v>
      </c>
      <c r="N44" s="37">
        <f t="shared" si="30"/>
        <v>1646218.487394958</v>
      </c>
      <c r="O44" s="37">
        <f t="shared" si="17"/>
        <v>1668627.4509803923</v>
      </c>
      <c r="P44" s="37">
        <f t="shared" si="18"/>
        <v>1668627.4509803923</v>
      </c>
      <c r="Q44" s="37">
        <f t="shared" si="19"/>
        <v>31691.060221245825</v>
      </c>
      <c r="R44" s="57">
        <f t="shared" si="20"/>
        <v>1.8992292259501022E-2</v>
      </c>
      <c r="S44" s="37">
        <f t="shared" si="21"/>
        <v>1646218.487394958</v>
      </c>
      <c r="T44" s="192">
        <f t="shared" si="22"/>
        <v>1646218.487394958</v>
      </c>
      <c r="U44" s="56">
        <f t="shared" si="23"/>
        <v>1.9250822696928297E-2</v>
      </c>
      <c r="V44" s="106" t="s">
        <v>145</v>
      </c>
      <c r="W44" s="20" t="s">
        <v>146</v>
      </c>
      <c r="X44" s="20" t="s">
        <v>147</v>
      </c>
      <c r="Y44" s="33"/>
      <c r="Z44" s="33"/>
      <c r="AA44" s="33"/>
      <c r="AB44" s="33"/>
      <c r="AC44" s="33"/>
      <c r="AD44" s="33"/>
      <c r="AE44" s="33"/>
      <c r="AF44" s="33"/>
      <c r="AG44" s="33"/>
      <c r="AH44" s="33"/>
    </row>
    <row r="45" spans="1:34" s="21" customFormat="1" ht="66">
      <c r="A45" s="173">
        <v>2</v>
      </c>
      <c r="B45" s="165">
        <v>39</v>
      </c>
      <c r="C45" s="23" t="s">
        <v>148</v>
      </c>
      <c r="D45" s="24" t="s">
        <v>149</v>
      </c>
      <c r="E45" s="18">
        <v>1</v>
      </c>
      <c r="F45" s="18" t="s">
        <v>40</v>
      </c>
      <c r="G45" s="19">
        <v>1</v>
      </c>
      <c r="H45" s="19" t="s">
        <v>68</v>
      </c>
      <c r="I45" s="37">
        <f>+(3499900
*100)/119</f>
        <v>2941092.4369747899</v>
      </c>
      <c r="J45" s="37">
        <f t="shared" si="28"/>
        <v>2941092.4369747899</v>
      </c>
      <c r="K45" s="37">
        <f>+(2249900*100)/119</f>
        <v>1890672.2689075631</v>
      </c>
      <c r="L45" s="37">
        <f t="shared" si="29"/>
        <v>1890672.2689075631</v>
      </c>
      <c r="M45" s="37">
        <f>+(2249900*100)/119</f>
        <v>1890672.2689075631</v>
      </c>
      <c r="N45" s="37">
        <f t="shared" si="30"/>
        <v>1890672.2689075631</v>
      </c>
      <c r="O45" s="37">
        <f t="shared" si="17"/>
        <v>2240812.3249299717</v>
      </c>
      <c r="P45" s="37">
        <f t="shared" si="18"/>
        <v>2240812.3249299717</v>
      </c>
      <c r="Q45" s="37">
        <f t="shared" si="19"/>
        <v>495172.81595696643</v>
      </c>
      <c r="R45" s="57">
        <f t="shared" si="20"/>
        <v>0.22097915583914027</v>
      </c>
      <c r="S45" s="37">
        <f t="shared" si="21"/>
        <v>1890672.2689075631</v>
      </c>
      <c r="T45" s="192">
        <f t="shared" si="22"/>
        <v>1890672.2689075631</v>
      </c>
      <c r="U45" s="56">
        <f t="shared" si="23"/>
        <v>0.2619030405745989</v>
      </c>
      <c r="V45" s="106" t="s">
        <v>150</v>
      </c>
      <c r="W45" s="20" t="s">
        <v>151</v>
      </c>
      <c r="X45" s="20" t="s">
        <v>152</v>
      </c>
    </row>
    <row r="46" spans="1:34" s="21" customFormat="1" ht="33">
      <c r="A46" s="173">
        <v>2</v>
      </c>
      <c r="B46" s="166">
        <v>40</v>
      </c>
      <c r="C46" s="23" t="s">
        <v>153</v>
      </c>
      <c r="D46" s="24" t="s">
        <v>154</v>
      </c>
      <c r="E46" s="18">
        <v>1</v>
      </c>
      <c r="F46" s="18" t="s">
        <v>40</v>
      </c>
      <c r="G46" s="19">
        <v>1</v>
      </c>
      <c r="H46" s="19" t="s">
        <v>68</v>
      </c>
      <c r="I46" s="37">
        <f>+(33670*100)/119</f>
        <v>28294.117647058825</v>
      </c>
      <c r="J46" s="37">
        <f t="shared" si="28"/>
        <v>28294.117647058825</v>
      </c>
      <c r="K46" s="37">
        <f>+(28300*100)/119</f>
        <v>23781.512605042019</v>
      </c>
      <c r="L46" s="37">
        <f t="shared" si="29"/>
        <v>23781.512605042019</v>
      </c>
      <c r="M46" s="37">
        <f>+(39900*100)/119</f>
        <v>33529.411764705881</v>
      </c>
      <c r="N46" s="37">
        <f t="shared" si="30"/>
        <v>33529.411764705881</v>
      </c>
      <c r="O46" s="37">
        <f t="shared" si="17"/>
        <v>28535.014005602239</v>
      </c>
      <c r="P46" s="37">
        <f t="shared" si="18"/>
        <v>28535.014005602239</v>
      </c>
      <c r="Q46" s="37">
        <f t="shared" si="19"/>
        <v>3983.2070662062911</v>
      </c>
      <c r="R46" s="57">
        <f t="shared" si="20"/>
        <v>0.13959015634000649</v>
      </c>
      <c r="S46" s="37">
        <f t="shared" si="21"/>
        <v>28294.117647058825</v>
      </c>
      <c r="T46" s="192">
        <f t="shared" si="22"/>
        <v>28294.117647058825</v>
      </c>
      <c r="U46" s="56">
        <f t="shared" si="23"/>
        <v>0.14077862811955705</v>
      </c>
      <c r="V46" s="106" t="s">
        <v>155</v>
      </c>
      <c r="W46" s="20" t="s">
        <v>466</v>
      </c>
      <c r="X46" s="20" t="s">
        <v>156</v>
      </c>
    </row>
    <row r="47" spans="1:34" s="21" customFormat="1" ht="49.5">
      <c r="A47" s="173">
        <v>2</v>
      </c>
      <c r="B47" s="165">
        <v>41</v>
      </c>
      <c r="C47" s="23" t="s">
        <v>157</v>
      </c>
      <c r="D47" s="24" t="s">
        <v>158</v>
      </c>
      <c r="E47" s="18">
        <v>1</v>
      </c>
      <c r="F47" s="18" t="s">
        <v>40</v>
      </c>
      <c r="G47" s="19">
        <v>1</v>
      </c>
      <c r="H47" s="19" t="s">
        <v>68</v>
      </c>
      <c r="I47" s="37">
        <f>+(13500*100)/119</f>
        <v>11344.53781512605</v>
      </c>
      <c r="J47" s="37">
        <f t="shared" si="28"/>
        <v>11344.53781512605</v>
      </c>
      <c r="K47" s="37">
        <f>+(17090*100)/119</f>
        <v>14361.344537815126</v>
      </c>
      <c r="L47" s="37">
        <f t="shared" si="29"/>
        <v>14361.344537815126</v>
      </c>
      <c r="M47" s="37">
        <f>+(17090*100)/119</f>
        <v>14361.344537815126</v>
      </c>
      <c r="N47" s="37">
        <f t="shared" si="30"/>
        <v>14361.344537815126</v>
      </c>
      <c r="O47" s="37">
        <f t="shared" si="17"/>
        <v>13355.742296918766</v>
      </c>
      <c r="P47" s="37">
        <f t="shared" si="18"/>
        <v>13355.742296918766</v>
      </c>
      <c r="Q47" s="37">
        <f t="shared" si="19"/>
        <v>1422.1363274284183</v>
      </c>
      <c r="R47" s="57">
        <f t="shared" si="20"/>
        <v>0.10648126444881405</v>
      </c>
      <c r="S47" s="37">
        <f t="shared" si="21"/>
        <v>14361.344537815126</v>
      </c>
      <c r="T47" s="192">
        <f t="shared" si="22"/>
        <v>14361.344537815126</v>
      </c>
      <c r="U47" s="56">
        <f t="shared" si="23"/>
        <v>9.9025291377403027E-2</v>
      </c>
      <c r="V47" s="106" t="s">
        <v>159</v>
      </c>
      <c r="W47" s="20" t="s">
        <v>160</v>
      </c>
      <c r="X47" s="20" t="s">
        <v>161</v>
      </c>
    </row>
    <row r="48" spans="1:34" s="21" customFormat="1" ht="33">
      <c r="A48" s="173">
        <v>2</v>
      </c>
      <c r="B48" s="166">
        <v>42</v>
      </c>
      <c r="C48" s="23" t="s">
        <v>162</v>
      </c>
      <c r="D48" s="24" t="s">
        <v>163</v>
      </c>
      <c r="E48" s="18">
        <v>1</v>
      </c>
      <c r="F48" s="18" t="s">
        <v>40</v>
      </c>
      <c r="G48" s="19">
        <v>1</v>
      </c>
      <c r="H48" s="19" t="s">
        <v>68</v>
      </c>
      <c r="I48" s="37">
        <f>+(418900*100)/119</f>
        <v>352016.80672268907</v>
      </c>
      <c r="J48" s="37">
        <f t="shared" si="28"/>
        <v>352016.80672268907</v>
      </c>
      <c r="K48" s="37">
        <f>+(452900*100)/119</f>
        <v>380588.23529411765</v>
      </c>
      <c r="L48" s="37">
        <f t="shared" si="29"/>
        <v>380588.23529411765</v>
      </c>
      <c r="M48" s="37">
        <f>+(374900*100)/119</f>
        <v>315042.01680672268</v>
      </c>
      <c r="N48" s="37">
        <f t="shared" si="30"/>
        <v>315042.01680672268</v>
      </c>
      <c r="O48" s="37">
        <f t="shared" si="17"/>
        <v>349215.68627450982</v>
      </c>
      <c r="P48" s="37">
        <f t="shared" si="18"/>
        <v>349215.68627450982</v>
      </c>
      <c r="Q48" s="37">
        <f t="shared" si="19"/>
        <v>26832.336167681904</v>
      </c>
      <c r="R48" s="57">
        <f t="shared" si="20"/>
        <v>7.6835999132609606E-2</v>
      </c>
      <c r="S48" s="37">
        <f t="shared" si="21"/>
        <v>352016.80672268907</v>
      </c>
      <c r="T48" s="192">
        <f t="shared" si="22"/>
        <v>352016.80672268907</v>
      </c>
      <c r="U48" s="56">
        <f t="shared" si="23"/>
        <v>7.6224588301602933E-2</v>
      </c>
      <c r="V48" s="106" t="s">
        <v>164</v>
      </c>
      <c r="W48" s="20" t="s">
        <v>165</v>
      </c>
      <c r="X48" s="20" t="s">
        <v>166</v>
      </c>
    </row>
    <row r="49" spans="1:34" s="21" customFormat="1" ht="187.5" customHeight="1">
      <c r="A49" s="173">
        <v>2</v>
      </c>
      <c r="B49" s="165">
        <v>43</v>
      </c>
      <c r="C49" s="23" t="s">
        <v>167</v>
      </c>
      <c r="D49" s="110" t="s">
        <v>168</v>
      </c>
      <c r="E49" s="18">
        <v>1</v>
      </c>
      <c r="F49" s="18" t="s">
        <v>118</v>
      </c>
      <c r="G49" s="19">
        <v>1</v>
      </c>
      <c r="H49" s="19" t="s">
        <v>68</v>
      </c>
      <c r="I49" s="37">
        <f>+(254600*100)/119</f>
        <v>213949.57983193276</v>
      </c>
      <c r="J49" s="37">
        <f t="shared" si="28"/>
        <v>213949.57983193276</v>
      </c>
      <c r="K49" s="37">
        <f>+(261690*100)/119</f>
        <v>219907.56302521008</v>
      </c>
      <c r="L49" s="37">
        <f t="shared" si="29"/>
        <v>219907.56302521008</v>
      </c>
      <c r="M49" s="37">
        <f>+(255290*100)/119</f>
        <v>214529.41176470587</v>
      </c>
      <c r="N49" s="37">
        <f t="shared" si="30"/>
        <v>214529.41176470587</v>
      </c>
      <c r="O49" s="37">
        <f t="shared" si="17"/>
        <v>216128.85154061625</v>
      </c>
      <c r="P49" s="37">
        <f t="shared" si="18"/>
        <v>216128.85154061625</v>
      </c>
      <c r="Q49" s="37">
        <f t="shared" si="19"/>
        <v>2682.4176446403608</v>
      </c>
      <c r="R49" s="57">
        <f t="shared" si="20"/>
        <v>1.2411196494681158E-2</v>
      </c>
      <c r="S49" s="37">
        <f t="shared" si="21"/>
        <v>214529.41176470587</v>
      </c>
      <c r="T49" s="192">
        <f t="shared" si="22"/>
        <v>214529.41176470587</v>
      </c>
      <c r="U49" s="56">
        <f t="shared" si="23"/>
        <v>1.2503729081131378E-2</v>
      </c>
      <c r="V49" s="106" t="s">
        <v>405</v>
      </c>
      <c r="W49" s="20" t="s">
        <v>406</v>
      </c>
      <c r="X49" s="20" t="s">
        <v>407</v>
      </c>
    </row>
    <row r="50" spans="1:34" s="21" customFormat="1" ht="115.5">
      <c r="A50" s="173">
        <v>2</v>
      </c>
      <c r="B50" s="166">
        <v>44</v>
      </c>
      <c r="C50" s="23" t="s">
        <v>169</v>
      </c>
      <c r="D50" s="110" t="s">
        <v>170</v>
      </c>
      <c r="E50" s="18">
        <v>1</v>
      </c>
      <c r="F50" s="18" t="s">
        <v>40</v>
      </c>
      <c r="G50" s="19">
        <v>1</v>
      </c>
      <c r="H50" s="19" t="s">
        <v>68</v>
      </c>
      <c r="I50" s="37">
        <f>+(101150*100)/119</f>
        <v>85000</v>
      </c>
      <c r="J50" s="37">
        <f t="shared" si="28"/>
        <v>85000</v>
      </c>
      <c r="K50" s="37">
        <f>+(123760*100)/119</f>
        <v>104000</v>
      </c>
      <c r="L50" s="37">
        <f t="shared" si="29"/>
        <v>104000</v>
      </c>
      <c r="M50" s="37">
        <v>35353</v>
      </c>
      <c r="N50" s="37">
        <f t="shared" si="30"/>
        <v>35353</v>
      </c>
      <c r="O50" s="37">
        <f t="shared" si="17"/>
        <v>74784.333333333328</v>
      </c>
      <c r="P50" s="37">
        <f t="shared" si="18"/>
        <v>74784.333333333328</v>
      </c>
      <c r="Q50" s="37">
        <f t="shared" si="19"/>
        <v>28941.003626151061</v>
      </c>
      <c r="R50" s="57">
        <f t="shared" si="20"/>
        <v>0.38699286783975784</v>
      </c>
      <c r="S50" s="37">
        <f t="shared" si="21"/>
        <v>85000</v>
      </c>
      <c r="T50" s="192">
        <f t="shared" si="22"/>
        <v>85000</v>
      </c>
      <c r="U50" s="56">
        <f t="shared" si="23"/>
        <v>0.34048239560177718</v>
      </c>
      <c r="V50" s="106" t="s">
        <v>408</v>
      </c>
      <c r="W50" s="20" t="s">
        <v>409</v>
      </c>
      <c r="X50" s="20" t="s">
        <v>472</v>
      </c>
    </row>
    <row r="51" spans="1:34" s="21" customFormat="1" ht="99">
      <c r="A51" s="173">
        <v>2</v>
      </c>
      <c r="B51" s="165">
        <v>45</v>
      </c>
      <c r="C51" s="23" t="s">
        <v>171</v>
      </c>
      <c r="D51" s="24" t="s">
        <v>172</v>
      </c>
      <c r="E51" s="18">
        <v>10</v>
      </c>
      <c r="F51" s="18" t="s">
        <v>40</v>
      </c>
      <c r="G51" s="19">
        <v>1</v>
      </c>
      <c r="H51" s="19" t="s">
        <v>68</v>
      </c>
      <c r="I51" s="37">
        <f>+(9639*100)/119</f>
        <v>8100</v>
      </c>
      <c r="J51" s="37">
        <f t="shared" si="28"/>
        <v>81000</v>
      </c>
      <c r="K51" s="37">
        <f>+(7497*100)/119</f>
        <v>6300</v>
      </c>
      <c r="L51" s="37">
        <f t="shared" si="29"/>
        <v>63000</v>
      </c>
      <c r="M51" s="37">
        <f>+(12733*100)/119</f>
        <v>10700</v>
      </c>
      <c r="N51" s="37">
        <f t="shared" si="30"/>
        <v>107000</v>
      </c>
      <c r="O51" s="37">
        <f t="shared" si="17"/>
        <v>8366.6666666666661</v>
      </c>
      <c r="P51" s="37">
        <f t="shared" si="18"/>
        <v>83666.666666666657</v>
      </c>
      <c r="Q51" s="37">
        <f t="shared" si="19"/>
        <v>1806.1622912192088</v>
      </c>
      <c r="R51" s="57">
        <f t="shared" si="20"/>
        <v>0.21587597106205683</v>
      </c>
      <c r="S51" s="37">
        <f t="shared" si="21"/>
        <v>8100</v>
      </c>
      <c r="T51" s="192">
        <f t="shared" si="22"/>
        <v>81000</v>
      </c>
      <c r="U51" s="56">
        <f t="shared" si="23"/>
        <v>0.22298299891595169</v>
      </c>
      <c r="V51" s="106" t="s">
        <v>173</v>
      </c>
      <c r="W51" s="20" t="s">
        <v>174</v>
      </c>
      <c r="X51" s="20" t="s">
        <v>458</v>
      </c>
    </row>
    <row r="52" spans="1:34" s="21" customFormat="1" ht="49.5">
      <c r="A52" s="173">
        <v>2</v>
      </c>
      <c r="B52" s="166">
        <v>46</v>
      </c>
      <c r="C52" s="23" t="s">
        <v>175</v>
      </c>
      <c r="D52" s="24" t="s">
        <v>176</v>
      </c>
      <c r="E52" s="18">
        <v>3</v>
      </c>
      <c r="F52" s="18" t="s">
        <v>40</v>
      </c>
      <c r="G52" s="19">
        <v>1</v>
      </c>
      <c r="H52" s="19" t="s">
        <v>68</v>
      </c>
      <c r="I52" s="37">
        <f>+(25585*100)/119</f>
        <v>21500</v>
      </c>
      <c r="J52" s="37">
        <f t="shared" si="28"/>
        <v>64500</v>
      </c>
      <c r="K52" s="37">
        <f>+(30821*100)/119</f>
        <v>25900</v>
      </c>
      <c r="L52" s="37">
        <f t="shared" si="29"/>
        <v>77700</v>
      </c>
      <c r="M52" s="37">
        <f>+(25585*100)/119</f>
        <v>21500</v>
      </c>
      <c r="N52" s="37">
        <f t="shared" si="30"/>
        <v>64500</v>
      </c>
      <c r="O52" s="37">
        <f t="shared" si="17"/>
        <v>22966.666666666668</v>
      </c>
      <c r="P52" s="37">
        <f t="shared" si="18"/>
        <v>68900</v>
      </c>
      <c r="Q52" s="37">
        <f t="shared" si="19"/>
        <v>2074.1798914805395</v>
      </c>
      <c r="R52" s="57">
        <f t="shared" si="20"/>
        <v>9.03126222705605E-2</v>
      </c>
      <c r="S52" s="37">
        <f t="shared" si="21"/>
        <v>21500</v>
      </c>
      <c r="T52" s="192">
        <f t="shared" si="22"/>
        <v>64500</v>
      </c>
      <c r="U52" s="56">
        <f t="shared" si="23"/>
        <v>9.6473483324676257E-2</v>
      </c>
      <c r="V52" s="106" t="s">
        <v>177</v>
      </c>
      <c r="W52" s="20" t="s">
        <v>178</v>
      </c>
      <c r="X52" s="20" t="s">
        <v>179</v>
      </c>
    </row>
    <row r="53" spans="1:34" s="21" customFormat="1" ht="49.5">
      <c r="A53" s="173">
        <v>2</v>
      </c>
      <c r="B53" s="170">
        <v>47</v>
      </c>
      <c r="C53" s="113" t="s">
        <v>180</v>
      </c>
      <c r="D53" s="100" t="s">
        <v>181</v>
      </c>
      <c r="E53" s="60">
        <v>1</v>
      </c>
      <c r="F53" s="60" t="s">
        <v>40</v>
      </c>
      <c r="G53" s="61">
        <v>1</v>
      </c>
      <c r="H53" s="61" t="s">
        <v>68</v>
      </c>
      <c r="I53" s="62">
        <f>+(23681*100)/119</f>
        <v>19900</v>
      </c>
      <c r="J53" s="62">
        <f t="shared" si="28"/>
        <v>19900</v>
      </c>
      <c r="K53" s="62">
        <f>+(17731*100)/119</f>
        <v>14900</v>
      </c>
      <c r="L53" s="62">
        <f t="shared" si="29"/>
        <v>14900</v>
      </c>
      <c r="M53" s="62">
        <f>+(23800*100)/119</f>
        <v>20000</v>
      </c>
      <c r="N53" s="62">
        <f t="shared" si="30"/>
        <v>20000</v>
      </c>
      <c r="O53" s="62">
        <f t="shared" si="17"/>
        <v>18266.666666666668</v>
      </c>
      <c r="P53" s="62">
        <f t="shared" si="18"/>
        <v>18266.666666666668</v>
      </c>
      <c r="Q53" s="62">
        <f t="shared" si="19"/>
        <v>2380.9428571238095</v>
      </c>
      <c r="R53" s="63">
        <f t="shared" si="20"/>
        <v>0.13034358706882168</v>
      </c>
      <c r="S53" s="62">
        <f t="shared" si="21"/>
        <v>19900</v>
      </c>
      <c r="T53" s="183">
        <f t="shared" si="22"/>
        <v>19900</v>
      </c>
      <c r="U53" s="64">
        <f t="shared" si="23"/>
        <v>0.11964536970471405</v>
      </c>
      <c r="V53" s="106" t="s">
        <v>138</v>
      </c>
      <c r="W53" s="65" t="s">
        <v>182</v>
      </c>
      <c r="X53" s="65" t="s">
        <v>183</v>
      </c>
    </row>
    <row r="54" spans="1:34" s="21" customFormat="1" ht="16.5">
      <c r="A54" s="173">
        <f t="shared" si="8"/>
        <v>0</v>
      </c>
      <c r="B54" s="168"/>
      <c r="C54" s="119" t="s">
        <v>184</v>
      </c>
      <c r="D54" s="118"/>
      <c r="E54" s="82"/>
      <c r="F54" s="82"/>
      <c r="G54" s="83"/>
      <c r="H54" s="83"/>
      <c r="I54" s="83"/>
      <c r="J54" s="84"/>
      <c r="K54" s="83"/>
      <c r="L54" s="84"/>
      <c r="M54" s="83"/>
      <c r="N54" s="84"/>
      <c r="O54" s="84"/>
      <c r="P54" s="84"/>
      <c r="Q54" s="84"/>
      <c r="R54" s="83"/>
      <c r="S54" s="84"/>
      <c r="T54" s="202"/>
      <c r="U54" s="83"/>
      <c r="V54" s="106"/>
      <c r="W54" s="87"/>
      <c r="X54" s="88"/>
    </row>
    <row r="55" spans="1:34" s="21" customFormat="1" ht="16.5">
      <c r="A55" s="173">
        <f t="shared" si="8"/>
        <v>0</v>
      </c>
      <c r="B55" s="172"/>
      <c r="C55" s="164" t="s">
        <v>185</v>
      </c>
      <c r="D55" s="164" t="s">
        <v>186</v>
      </c>
      <c r="E55" s="159"/>
      <c r="F55" s="159"/>
      <c r="G55" s="160"/>
      <c r="H55" s="160"/>
      <c r="I55" s="160"/>
      <c r="J55" s="161"/>
      <c r="K55" s="160"/>
      <c r="L55" s="161"/>
      <c r="M55" s="160"/>
      <c r="N55" s="161"/>
      <c r="O55" s="161"/>
      <c r="P55" s="161"/>
      <c r="Q55" s="161"/>
      <c r="R55" s="160"/>
      <c r="S55" s="161"/>
      <c r="T55" s="206"/>
      <c r="U55" s="160"/>
      <c r="V55" s="106"/>
      <c r="W55" s="162"/>
      <c r="X55" s="163"/>
    </row>
    <row r="56" spans="1:34" s="21" customFormat="1" ht="78.75">
      <c r="A56" s="173">
        <v>3</v>
      </c>
      <c r="B56" s="165">
        <v>48</v>
      </c>
      <c r="C56" s="66" t="s">
        <v>187</v>
      </c>
      <c r="D56" s="111" t="s">
        <v>188</v>
      </c>
      <c r="E56" s="78">
        <v>3</v>
      </c>
      <c r="F56" s="78" t="s">
        <v>40</v>
      </c>
      <c r="G56" s="79">
        <v>4</v>
      </c>
      <c r="H56" s="79" t="s">
        <v>74</v>
      </c>
      <c r="I56" s="55">
        <v>1602000</v>
      </c>
      <c r="J56" s="116">
        <f t="shared" ref="J56" si="31">+I56*G56*E56</f>
        <v>19224000</v>
      </c>
      <c r="K56" s="55"/>
      <c r="L56" s="55"/>
      <c r="M56" s="55"/>
      <c r="N56" s="55"/>
      <c r="O56" s="55">
        <f t="shared" si="17"/>
        <v>1602000</v>
      </c>
      <c r="P56" s="55">
        <f t="shared" si="18"/>
        <v>19224000</v>
      </c>
      <c r="Q56" s="55">
        <f t="shared" si="19"/>
        <v>0</v>
      </c>
      <c r="R56" s="68">
        <f t="shared" si="20"/>
        <v>0</v>
      </c>
      <c r="S56" s="55">
        <f t="shared" si="21"/>
        <v>1602000</v>
      </c>
      <c r="T56" s="184">
        <f t="shared" si="22"/>
        <v>19224000</v>
      </c>
      <c r="U56" s="69">
        <f t="shared" si="23"/>
        <v>0</v>
      </c>
      <c r="V56" s="106" t="s">
        <v>462</v>
      </c>
      <c r="W56" s="43"/>
      <c r="X56" s="43"/>
    </row>
    <row r="57" spans="1:34" s="21" customFormat="1" ht="231">
      <c r="A57" s="173">
        <v>3</v>
      </c>
      <c r="B57" s="166">
        <v>49</v>
      </c>
      <c r="C57" s="23" t="s">
        <v>189</v>
      </c>
      <c r="D57" s="112" t="s">
        <v>190</v>
      </c>
      <c r="E57" s="18">
        <v>3</v>
      </c>
      <c r="F57" s="18" t="s">
        <v>40</v>
      </c>
      <c r="G57" s="19">
        <v>1</v>
      </c>
      <c r="H57" s="19" t="s">
        <v>68</v>
      </c>
      <c r="I57" s="37">
        <f>+(45700*100)/119</f>
        <v>38403.361344537814</v>
      </c>
      <c r="J57" s="37">
        <f t="shared" ref="J57:J72" si="32">+I57*E57*G57</f>
        <v>115210.08403361344</v>
      </c>
      <c r="K57" s="37">
        <f>+(61000*100)/119</f>
        <v>51260.504201680669</v>
      </c>
      <c r="L57" s="37">
        <f t="shared" ref="L57:L72" si="33">+K57*G57*E57</f>
        <v>153781.51260504202</v>
      </c>
      <c r="M57" s="37">
        <f>+(69500*100)/119</f>
        <v>58403.361344537814</v>
      </c>
      <c r="N57" s="37">
        <f t="shared" ref="N57:N72" si="34">+M57*G57*E57</f>
        <v>175210.08403361344</v>
      </c>
      <c r="O57" s="37">
        <f t="shared" si="17"/>
        <v>49355.742296918761</v>
      </c>
      <c r="P57" s="37">
        <f t="shared" si="18"/>
        <v>148067.22689075628</v>
      </c>
      <c r="Q57" s="37">
        <f t="shared" si="19"/>
        <v>8275.3081890394296</v>
      </c>
      <c r="R57" s="57">
        <f t="shared" si="20"/>
        <v>0.16766657341016328</v>
      </c>
      <c r="S57" s="37">
        <f t="shared" si="21"/>
        <v>51260.504201680669</v>
      </c>
      <c r="T57" s="192">
        <f t="shared" si="22"/>
        <v>153781.51260504202</v>
      </c>
      <c r="U57" s="56">
        <f t="shared" si="23"/>
        <v>0.16143634008126101</v>
      </c>
      <c r="V57" s="20" t="s">
        <v>191</v>
      </c>
      <c r="W57" s="20" t="s">
        <v>192</v>
      </c>
      <c r="X57" s="20" t="s">
        <v>459</v>
      </c>
    </row>
    <row r="58" spans="1:34" s="21" customFormat="1" ht="214.5">
      <c r="A58" s="173">
        <f t="shared" si="8"/>
        <v>3</v>
      </c>
      <c r="B58" s="165">
        <v>50</v>
      </c>
      <c r="C58" s="23" t="s">
        <v>193</v>
      </c>
      <c r="D58" s="112" t="s">
        <v>194</v>
      </c>
      <c r="E58" s="18">
        <v>6</v>
      </c>
      <c r="F58" s="18" t="s">
        <v>40</v>
      </c>
      <c r="G58" s="19">
        <v>1</v>
      </c>
      <c r="H58" s="19" t="s">
        <v>68</v>
      </c>
      <c r="I58" s="37">
        <f>+(99900*100)/119</f>
        <v>83949.579831932773</v>
      </c>
      <c r="J58" s="37">
        <f t="shared" si="32"/>
        <v>503697.47899159661</v>
      </c>
      <c r="K58" s="37">
        <f>+(92900*100)/119</f>
        <v>78067.226890756298</v>
      </c>
      <c r="L58" s="37">
        <f t="shared" si="33"/>
        <v>468403.36134453781</v>
      </c>
      <c r="M58" s="37">
        <f>+(60000*100)/119</f>
        <v>50420.168067226892</v>
      </c>
      <c r="N58" s="37">
        <f t="shared" si="34"/>
        <v>302521.00840336137</v>
      </c>
      <c r="O58" s="37">
        <f t="shared" si="17"/>
        <v>70812.32492997199</v>
      </c>
      <c r="P58" s="37">
        <f t="shared" si="18"/>
        <v>424873.94957983191</v>
      </c>
      <c r="Q58" s="37">
        <f t="shared" si="19"/>
        <v>14618.038289894759</v>
      </c>
      <c r="R58" s="57">
        <f t="shared" si="20"/>
        <v>0.20643353122992203</v>
      </c>
      <c r="S58" s="37">
        <f t="shared" si="21"/>
        <v>78067.226890756298</v>
      </c>
      <c r="T58" s="192">
        <f t="shared" si="22"/>
        <v>468403.36134453781</v>
      </c>
      <c r="U58" s="56">
        <f t="shared" si="23"/>
        <v>0.18724936022577787</v>
      </c>
      <c r="V58" s="20" t="s">
        <v>195</v>
      </c>
      <c r="W58" s="20" t="s">
        <v>196</v>
      </c>
      <c r="X58" s="20" t="s">
        <v>197</v>
      </c>
    </row>
    <row r="59" spans="1:34" s="21" customFormat="1" ht="76.5" customHeight="1">
      <c r="A59" s="173">
        <f t="shared" si="8"/>
        <v>3</v>
      </c>
      <c r="B59" s="166">
        <v>51</v>
      </c>
      <c r="C59" s="23" t="s">
        <v>198</v>
      </c>
      <c r="D59" s="110" t="s">
        <v>199</v>
      </c>
      <c r="E59" s="18">
        <v>6</v>
      </c>
      <c r="F59" s="18" t="s">
        <v>40</v>
      </c>
      <c r="G59" s="19">
        <v>1</v>
      </c>
      <c r="H59" s="19" t="s">
        <v>68</v>
      </c>
      <c r="I59" s="37">
        <f>+(9797*100)/119</f>
        <v>8232.773109243697</v>
      </c>
      <c r="J59" s="37">
        <f t="shared" si="32"/>
        <v>49396.638655462186</v>
      </c>
      <c r="K59" s="37">
        <v>8622</v>
      </c>
      <c r="L59" s="37">
        <f t="shared" si="33"/>
        <v>51732</v>
      </c>
      <c r="M59" s="37">
        <f>+(10260*100)/119</f>
        <v>8621.8487394957974</v>
      </c>
      <c r="N59" s="37">
        <f t="shared" si="34"/>
        <v>51731.092436974781</v>
      </c>
      <c r="O59" s="37">
        <f t="shared" si="17"/>
        <v>8492.2072829131648</v>
      </c>
      <c r="P59" s="37">
        <f t="shared" si="18"/>
        <v>50953.243697478989</v>
      </c>
      <c r="Q59" s="37">
        <f t="shared" si="19"/>
        <v>183.44767386660919</v>
      </c>
      <c r="R59" s="57">
        <f t="shared" si="20"/>
        <v>2.1601883674662183E-2</v>
      </c>
      <c r="S59" s="37">
        <f t="shared" si="21"/>
        <v>8621.8487394957974</v>
      </c>
      <c r="T59" s="192">
        <f t="shared" si="22"/>
        <v>51731.092436974781</v>
      </c>
      <c r="U59" s="56">
        <f t="shared" si="23"/>
        <v>2.1277069386088202E-2</v>
      </c>
      <c r="V59" s="44" t="s">
        <v>200</v>
      </c>
      <c r="W59" s="44" t="s">
        <v>201</v>
      </c>
      <c r="X59" s="45" t="s">
        <v>201</v>
      </c>
    </row>
    <row r="60" spans="1:34" ht="181.5">
      <c r="A60" s="173">
        <f t="shared" si="8"/>
        <v>3</v>
      </c>
      <c r="B60" s="165">
        <v>52</v>
      </c>
      <c r="C60" s="23" t="s">
        <v>202</v>
      </c>
      <c r="D60" s="110" t="s">
        <v>203</v>
      </c>
      <c r="E60" s="18">
        <v>3</v>
      </c>
      <c r="F60" s="18" t="s">
        <v>40</v>
      </c>
      <c r="G60" s="19">
        <v>1</v>
      </c>
      <c r="H60" s="19" t="s">
        <v>68</v>
      </c>
      <c r="I60" s="37">
        <f>+(3630*100)/119</f>
        <v>3050.4201680672268</v>
      </c>
      <c r="J60" s="37">
        <f t="shared" si="32"/>
        <v>9151.2605042016803</v>
      </c>
      <c r="K60" s="47">
        <f>(2600*5.35%)+2600</f>
        <v>2739.1</v>
      </c>
      <c r="L60" s="37">
        <f t="shared" si="33"/>
        <v>8217.2999999999993</v>
      </c>
      <c r="M60" s="47">
        <f>(2900*5.35%)+2600</f>
        <v>2755.15</v>
      </c>
      <c r="N60" s="37">
        <f t="shared" si="34"/>
        <v>8265.4500000000007</v>
      </c>
      <c r="O60" s="37">
        <f t="shared" si="17"/>
        <v>2848.2233893557423</v>
      </c>
      <c r="P60" s="37">
        <f t="shared" si="18"/>
        <v>8544.6701680672268</v>
      </c>
      <c r="Q60" s="37">
        <f t="shared" si="19"/>
        <v>143.12477916367425</v>
      </c>
      <c r="R60" s="57">
        <f t="shared" si="20"/>
        <v>5.0250545550097656E-2</v>
      </c>
      <c r="S60" s="37">
        <f t="shared" si="21"/>
        <v>2755.15</v>
      </c>
      <c r="T60" s="192">
        <f t="shared" si="22"/>
        <v>8265.4500000000007</v>
      </c>
      <c r="U60" s="56">
        <f t="shared" si="23"/>
        <v>5.1948089637106599E-2</v>
      </c>
      <c r="V60" s="20" t="s">
        <v>62</v>
      </c>
      <c r="W60" s="20" t="s">
        <v>204</v>
      </c>
      <c r="X60" s="20" t="s">
        <v>205</v>
      </c>
      <c r="Y60" s="33"/>
      <c r="Z60" s="33"/>
      <c r="AA60" s="33"/>
      <c r="AB60" s="33"/>
      <c r="AC60" s="33"/>
      <c r="AD60" s="33"/>
      <c r="AE60" s="33"/>
      <c r="AF60" s="33"/>
      <c r="AG60" s="33"/>
      <c r="AH60" s="33"/>
    </row>
    <row r="61" spans="1:34" ht="148.5">
      <c r="A61" s="173">
        <f t="shared" si="8"/>
        <v>3</v>
      </c>
      <c r="B61" s="166">
        <v>53</v>
      </c>
      <c r="C61" s="23" t="s">
        <v>206</v>
      </c>
      <c r="D61" s="110" t="s">
        <v>207</v>
      </c>
      <c r="E61" s="18">
        <v>3</v>
      </c>
      <c r="F61" s="18" t="s">
        <v>40</v>
      </c>
      <c r="G61" s="19">
        <v>1</v>
      </c>
      <c r="H61" s="19" t="s">
        <v>68</v>
      </c>
      <c r="I61" s="37">
        <f>+(1500*100)/119</f>
        <v>1260.5042016806722</v>
      </c>
      <c r="J61" s="37">
        <f t="shared" si="32"/>
        <v>3781.5126050420167</v>
      </c>
      <c r="K61" s="37">
        <f>+(1200*100)/119</f>
        <v>1008.4033613445379</v>
      </c>
      <c r="L61" s="37">
        <f t="shared" si="33"/>
        <v>3025.2100840336134</v>
      </c>
      <c r="M61" s="37">
        <f>+(1000*100)/119</f>
        <v>840.33613445378148</v>
      </c>
      <c r="N61" s="37">
        <f t="shared" si="34"/>
        <v>2521.0084033613443</v>
      </c>
      <c r="O61" s="37">
        <f t="shared" si="17"/>
        <v>1036.4145658263305</v>
      </c>
      <c r="P61" s="37">
        <f t="shared" si="18"/>
        <v>3109.2436974789916</v>
      </c>
      <c r="Q61" s="37">
        <f t="shared" si="19"/>
        <v>172.67266114759019</v>
      </c>
      <c r="R61" s="57">
        <f t="shared" si="20"/>
        <v>0.16660578386402622</v>
      </c>
      <c r="S61" s="37">
        <f t="shared" si="21"/>
        <v>1008.4033613445379</v>
      </c>
      <c r="T61" s="192">
        <f t="shared" si="22"/>
        <v>3025.2100840336134</v>
      </c>
      <c r="U61" s="56">
        <f t="shared" si="23"/>
        <v>0.17123372230469361</v>
      </c>
      <c r="V61" s="20" t="s">
        <v>208</v>
      </c>
      <c r="W61" s="20" t="s">
        <v>209</v>
      </c>
      <c r="X61" s="20" t="s">
        <v>210</v>
      </c>
      <c r="Y61" s="33"/>
      <c r="Z61" s="33"/>
      <c r="AA61" s="33"/>
      <c r="AB61" s="33"/>
      <c r="AC61" s="33"/>
      <c r="AD61" s="33"/>
      <c r="AE61" s="33"/>
      <c r="AF61" s="33"/>
      <c r="AG61" s="33"/>
      <c r="AH61" s="33"/>
    </row>
    <row r="62" spans="1:34" s="197" customFormat="1" ht="174.75" customHeight="1">
      <c r="A62" s="186">
        <f t="shared" si="8"/>
        <v>3</v>
      </c>
      <c r="B62" s="187">
        <v>54</v>
      </c>
      <c r="C62" s="188" t="s">
        <v>211</v>
      </c>
      <c r="D62" s="189" t="s">
        <v>212</v>
      </c>
      <c r="E62" s="190">
        <v>1</v>
      </c>
      <c r="F62" s="190" t="s">
        <v>40</v>
      </c>
      <c r="G62" s="191">
        <v>50</v>
      </c>
      <c r="H62" s="191" t="s">
        <v>213</v>
      </c>
      <c r="I62" s="192">
        <v>1442655</v>
      </c>
      <c r="J62" s="192">
        <f t="shared" si="32"/>
        <v>72132750</v>
      </c>
      <c r="K62" s="192">
        <v>1308779</v>
      </c>
      <c r="L62" s="192">
        <f t="shared" si="33"/>
        <v>65438950</v>
      </c>
      <c r="M62" s="192">
        <v>1379931</v>
      </c>
      <c r="N62" s="192">
        <f t="shared" si="34"/>
        <v>68996550</v>
      </c>
      <c r="O62" s="192">
        <f t="shared" si="17"/>
        <v>1377121.6666666667</v>
      </c>
      <c r="P62" s="192">
        <f t="shared" si="18"/>
        <v>68856083.333333343</v>
      </c>
      <c r="Q62" s="192">
        <f t="shared" si="19"/>
        <v>54690.737237264919</v>
      </c>
      <c r="R62" s="193">
        <f t="shared" si="20"/>
        <v>3.9713802027125357E-2</v>
      </c>
      <c r="S62" s="192">
        <f t="shared" si="21"/>
        <v>1379931</v>
      </c>
      <c r="T62" s="192">
        <f t="shared" si="22"/>
        <v>68996550</v>
      </c>
      <c r="U62" s="194">
        <f t="shared" si="23"/>
        <v>3.9632950660043811E-2</v>
      </c>
      <c r="V62" s="196" t="s">
        <v>410</v>
      </c>
      <c r="W62" s="196" t="s">
        <v>411</v>
      </c>
      <c r="X62" s="196" t="s">
        <v>410</v>
      </c>
    </row>
    <row r="63" spans="1:34" s="21" customFormat="1" ht="231">
      <c r="A63" s="173">
        <f t="shared" si="8"/>
        <v>3</v>
      </c>
      <c r="B63" s="166">
        <v>55</v>
      </c>
      <c r="C63" s="23" t="s">
        <v>189</v>
      </c>
      <c r="D63" s="112" t="s">
        <v>190</v>
      </c>
      <c r="E63" s="18">
        <v>3</v>
      </c>
      <c r="F63" s="18" t="s">
        <v>40</v>
      </c>
      <c r="G63" s="19">
        <v>1</v>
      </c>
      <c r="H63" s="19" t="s">
        <v>68</v>
      </c>
      <c r="I63" s="37">
        <f>+(45700*100)/119</f>
        <v>38403.361344537814</v>
      </c>
      <c r="J63" s="37">
        <f t="shared" si="32"/>
        <v>115210.08403361344</v>
      </c>
      <c r="K63" s="37">
        <f>+(61000*100)/119</f>
        <v>51260.504201680669</v>
      </c>
      <c r="L63" s="37">
        <f t="shared" si="33"/>
        <v>153781.51260504202</v>
      </c>
      <c r="M63" s="37">
        <f>+(69500*100)/119</f>
        <v>58403.361344537814</v>
      </c>
      <c r="N63" s="37">
        <f t="shared" si="34"/>
        <v>175210.08403361344</v>
      </c>
      <c r="O63" s="37">
        <f t="shared" si="17"/>
        <v>49355.742296918761</v>
      </c>
      <c r="P63" s="37">
        <f t="shared" si="18"/>
        <v>148067.22689075628</v>
      </c>
      <c r="Q63" s="37">
        <f t="shared" si="19"/>
        <v>8275.3081890394296</v>
      </c>
      <c r="R63" s="57">
        <f t="shared" si="20"/>
        <v>0.16766657341016328</v>
      </c>
      <c r="S63" s="37">
        <f t="shared" si="21"/>
        <v>51260.504201680669</v>
      </c>
      <c r="T63" s="192">
        <f t="shared" si="22"/>
        <v>153781.51260504202</v>
      </c>
      <c r="U63" s="56">
        <f t="shared" si="23"/>
        <v>0.16143634008126101</v>
      </c>
      <c r="V63" s="20" t="s">
        <v>191</v>
      </c>
      <c r="W63" s="20" t="s">
        <v>192</v>
      </c>
      <c r="X63" s="20" t="s">
        <v>459</v>
      </c>
    </row>
    <row r="64" spans="1:34" s="21" customFormat="1" ht="214.5">
      <c r="A64" s="173">
        <f t="shared" si="8"/>
        <v>3</v>
      </c>
      <c r="B64" s="165">
        <v>56</v>
      </c>
      <c r="C64" s="23" t="s">
        <v>193</v>
      </c>
      <c r="D64" s="110" t="s">
        <v>214</v>
      </c>
      <c r="E64" s="18">
        <v>6</v>
      </c>
      <c r="F64" s="18" t="s">
        <v>40</v>
      </c>
      <c r="G64" s="19">
        <v>1</v>
      </c>
      <c r="H64" s="19" t="s">
        <v>68</v>
      </c>
      <c r="I64" s="37">
        <f>+(99900*100)/119</f>
        <v>83949.579831932773</v>
      </c>
      <c r="J64" s="37">
        <f t="shared" si="32"/>
        <v>503697.47899159661</v>
      </c>
      <c r="K64" s="37">
        <f>+(92900*100)/119</f>
        <v>78067.226890756298</v>
      </c>
      <c r="L64" s="37">
        <f t="shared" si="33"/>
        <v>468403.36134453781</v>
      </c>
      <c r="M64" s="37">
        <f>+(60000*100)/119</f>
        <v>50420.168067226892</v>
      </c>
      <c r="N64" s="37">
        <f t="shared" si="34"/>
        <v>302521.00840336137</v>
      </c>
      <c r="O64" s="37">
        <f t="shared" si="17"/>
        <v>70812.32492997199</v>
      </c>
      <c r="P64" s="37">
        <f t="shared" si="18"/>
        <v>424873.94957983191</v>
      </c>
      <c r="Q64" s="37">
        <f t="shared" si="19"/>
        <v>14618.038289894759</v>
      </c>
      <c r="R64" s="57">
        <f t="shared" si="20"/>
        <v>0.20643353122992203</v>
      </c>
      <c r="S64" s="37">
        <f t="shared" si="21"/>
        <v>78067.226890756298</v>
      </c>
      <c r="T64" s="192">
        <f t="shared" si="22"/>
        <v>468403.36134453781</v>
      </c>
      <c r="U64" s="56">
        <f t="shared" si="23"/>
        <v>0.18724936022577787</v>
      </c>
      <c r="V64" s="20" t="s">
        <v>195</v>
      </c>
      <c r="W64" s="20" t="s">
        <v>196</v>
      </c>
      <c r="X64" s="20" t="s">
        <v>197</v>
      </c>
    </row>
    <row r="65" spans="1:34" s="21" customFormat="1" ht="264">
      <c r="A65" s="173">
        <f t="shared" si="8"/>
        <v>3</v>
      </c>
      <c r="B65" s="166">
        <v>57</v>
      </c>
      <c r="C65" s="23" t="s">
        <v>198</v>
      </c>
      <c r="D65" s="110" t="s">
        <v>199</v>
      </c>
      <c r="E65" s="18">
        <v>6</v>
      </c>
      <c r="F65" s="18" t="s">
        <v>40</v>
      </c>
      <c r="G65" s="19">
        <v>1</v>
      </c>
      <c r="H65" s="19" t="s">
        <v>68</v>
      </c>
      <c r="I65" s="37">
        <f>+(9797*100)/119</f>
        <v>8232.773109243697</v>
      </c>
      <c r="J65" s="37">
        <f t="shared" si="32"/>
        <v>49396.638655462186</v>
      </c>
      <c r="K65" s="37">
        <v>8622</v>
      </c>
      <c r="L65" s="37">
        <f t="shared" si="33"/>
        <v>51732</v>
      </c>
      <c r="M65" s="37">
        <f>+(10260*100)/119</f>
        <v>8621.8487394957974</v>
      </c>
      <c r="N65" s="37">
        <f t="shared" si="34"/>
        <v>51731.092436974781</v>
      </c>
      <c r="O65" s="37">
        <f t="shared" si="17"/>
        <v>8492.2072829131648</v>
      </c>
      <c r="P65" s="37">
        <f t="shared" si="18"/>
        <v>50953.243697478989</v>
      </c>
      <c r="Q65" s="37">
        <f t="shared" si="19"/>
        <v>183.44767386660919</v>
      </c>
      <c r="R65" s="57">
        <f t="shared" si="20"/>
        <v>2.1601883674662183E-2</v>
      </c>
      <c r="S65" s="37">
        <f t="shared" si="21"/>
        <v>8621.8487394957974</v>
      </c>
      <c r="T65" s="192">
        <f t="shared" si="22"/>
        <v>51731.092436974781</v>
      </c>
      <c r="U65" s="56">
        <f t="shared" si="23"/>
        <v>2.1277069386088202E-2</v>
      </c>
      <c r="V65" s="44" t="s">
        <v>200</v>
      </c>
      <c r="W65" s="44" t="s">
        <v>201</v>
      </c>
      <c r="X65" s="45" t="s">
        <v>201</v>
      </c>
    </row>
    <row r="66" spans="1:34" s="21" customFormat="1" ht="181.5">
      <c r="A66" s="173">
        <f t="shared" si="8"/>
        <v>3</v>
      </c>
      <c r="B66" s="165">
        <v>58</v>
      </c>
      <c r="C66" s="23" t="s">
        <v>202</v>
      </c>
      <c r="D66" s="110" t="s">
        <v>203</v>
      </c>
      <c r="E66" s="18">
        <v>3</v>
      </c>
      <c r="F66" s="18" t="s">
        <v>40</v>
      </c>
      <c r="G66" s="19">
        <v>1</v>
      </c>
      <c r="H66" s="19" t="s">
        <v>68</v>
      </c>
      <c r="I66" s="37">
        <f>+(3630*100)/119</f>
        <v>3050.4201680672268</v>
      </c>
      <c r="J66" s="37">
        <f t="shared" si="32"/>
        <v>9151.2605042016803</v>
      </c>
      <c r="K66" s="47">
        <f>+(2600*5.35%)+2600</f>
        <v>2739.1</v>
      </c>
      <c r="L66" s="37">
        <f t="shared" si="33"/>
        <v>8217.2999999999993</v>
      </c>
      <c r="M66" s="47">
        <f>+(2900*5.35%)+2600</f>
        <v>2755.15</v>
      </c>
      <c r="N66" s="37">
        <f t="shared" si="34"/>
        <v>8265.4500000000007</v>
      </c>
      <c r="O66" s="37">
        <f t="shared" si="17"/>
        <v>2848.2233893557423</v>
      </c>
      <c r="P66" s="37">
        <f t="shared" si="18"/>
        <v>8544.6701680672268</v>
      </c>
      <c r="Q66" s="37">
        <f t="shared" si="19"/>
        <v>143.12477916367425</v>
      </c>
      <c r="R66" s="57">
        <f t="shared" si="20"/>
        <v>5.0250545550097656E-2</v>
      </c>
      <c r="S66" s="37">
        <f t="shared" si="21"/>
        <v>2755.15</v>
      </c>
      <c r="T66" s="192">
        <f t="shared" si="22"/>
        <v>8265.4500000000007</v>
      </c>
      <c r="U66" s="56">
        <f t="shared" si="23"/>
        <v>5.1948089637106599E-2</v>
      </c>
      <c r="V66" s="20" t="s">
        <v>62</v>
      </c>
      <c r="W66" s="20" t="s">
        <v>204</v>
      </c>
      <c r="X66" s="20" t="s">
        <v>205</v>
      </c>
    </row>
    <row r="67" spans="1:34" s="21" customFormat="1" ht="148.5">
      <c r="A67" s="173">
        <f t="shared" si="8"/>
        <v>3</v>
      </c>
      <c r="B67" s="166">
        <v>59</v>
      </c>
      <c r="C67" s="23" t="s">
        <v>206</v>
      </c>
      <c r="D67" s="110" t="s">
        <v>207</v>
      </c>
      <c r="E67" s="18">
        <v>3</v>
      </c>
      <c r="F67" s="18" t="s">
        <v>40</v>
      </c>
      <c r="G67" s="19">
        <v>1</v>
      </c>
      <c r="H67" s="19" t="s">
        <v>68</v>
      </c>
      <c r="I67" s="37">
        <f>+(1500*100)/119</f>
        <v>1260.5042016806722</v>
      </c>
      <c r="J67" s="37">
        <f t="shared" si="32"/>
        <v>3781.5126050420167</v>
      </c>
      <c r="K67" s="37">
        <f>+(1200*100)/119</f>
        <v>1008.4033613445379</v>
      </c>
      <c r="L67" s="37">
        <f t="shared" si="33"/>
        <v>3025.2100840336134</v>
      </c>
      <c r="M67" s="37">
        <f>+(1000*100)/119</f>
        <v>840.33613445378148</v>
      </c>
      <c r="N67" s="37">
        <f t="shared" si="34"/>
        <v>2521.0084033613443</v>
      </c>
      <c r="O67" s="37">
        <f t="shared" si="17"/>
        <v>1036.4145658263305</v>
      </c>
      <c r="P67" s="37">
        <f t="shared" si="18"/>
        <v>3109.2436974789916</v>
      </c>
      <c r="Q67" s="37">
        <f t="shared" si="19"/>
        <v>172.67266114759019</v>
      </c>
      <c r="R67" s="57">
        <f t="shared" si="20"/>
        <v>0.16660578386402622</v>
      </c>
      <c r="S67" s="37">
        <f t="shared" si="21"/>
        <v>1008.4033613445379</v>
      </c>
      <c r="T67" s="192">
        <f t="shared" si="22"/>
        <v>3025.2100840336134</v>
      </c>
      <c r="U67" s="56">
        <f t="shared" si="23"/>
        <v>0.17123372230469361</v>
      </c>
      <c r="V67" s="20" t="s">
        <v>208</v>
      </c>
      <c r="W67" s="20" t="s">
        <v>209</v>
      </c>
      <c r="X67" s="20" t="s">
        <v>210</v>
      </c>
    </row>
    <row r="68" spans="1:34" s="21" customFormat="1" ht="82.5">
      <c r="A68" s="173">
        <f t="shared" si="8"/>
        <v>3</v>
      </c>
      <c r="B68" s="165">
        <v>60</v>
      </c>
      <c r="C68" s="23" t="s">
        <v>215</v>
      </c>
      <c r="D68" s="110" t="s">
        <v>216</v>
      </c>
      <c r="E68" s="18">
        <v>1500</v>
      </c>
      <c r="F68" s="18" t="s">
        <v>40</v>
      </c>
      <c r="G68" s="19">
        <v>1</v>
      </c>
      <c r="H68" s="19" t="s">
        <v>68</v>
      </c>
      <c r="I68" s="37">
        <f>+(10948*100)/119</f>
        <v>9200</v>
      </c>
      <c r="J68" s="37">
        <f t="shared" si="32"/>
        <v>13800000</v>
      </c>
      <c r="K68" s="37">
        <f>+(11900*100)/119</f>
        <v>10000</v>
      </c>
      <c r="L68" s="37">
        <f t="shared" si="33"/>
        <v>15000000</v>
      </c>
      <c r="M68" s="37">
        <f>+(8403*100)/119</f>
        <v>7061.3445378151264</v>
      </c>
      <c r="N68" s="37">
        <f t="shared" si="34"/>
        <v>10592016.806722689</v>
      </c>
      <c r="O68" s="37">
        <f t="shared" si="17"/>
        <v>8753.7815126050427</v>
      </c>
      <c r="P68" s="37">
        <f t="shared" si="18"/>
        <v>13130672.268907564</v>
      </c>
      <c r="Q68" s="37">
        <f t="shared" si="19"/>
        <v>1240.4991428794665</v>
      </c>
      <c r="R68" s="57">
        <f t="shared" si="20"/>
        <v>0.14171008735975474</v>
      </c>
      <c r="S68" s="37">
        <f t="shared" si="21"/>
        <v>9200</v>
      </c>
      <c r="T68" s="192">
        <f t="shared" si="22"/>
        <v>13800000</v>
      </c>
      <c r="U68" s="56">
        <f t="shared" si="23"/>
        <v>0.13483686335646375</v>
      </c>
      <c r="V68" s="20" t="s">
        <v>217</v>
      </c>
      <c r="W68" s="44" t="s">
        <v>218</v>
      </c>
      <c r="X68" s="98"/>
    </row>
    <row r="69" spans="1:34" s="21" customFormat="1" ht="115.5">
      <c r="A69" s="173">
        <f t="shared" ref="A69:A72" si="35">+COUNT(I69,K69,M69)</f>
        <v>3</v>
      </c>
      <c r="B69" s="166">
        <v>61</v>
      </c>
      <c r="C69" s="23" t="s">
        <v>219</v>
      </c>
      <c r="D69" s="110" t="s">
        <v>220</v>
      </c>
      <c r="E69" s="18">
        <v>1500</v>
      </c>
      <c r="F69" s="18" t="s">
        <v>40</v>
      </c>
      <c r="G69" s="19">
        <v>1</v>
      </c>
      <c r="H69" s="19" t="s">
        <v>68</v>
      </c>
      <c r="I69" s="37">
        <f>+(14161*100)/119</f>
        <v>11900</v>
      </c>
      <c r="J69" s="37">
        <f t="shared" si="32"/>
        <v>17850000</v>
      </c>
      <c r="K69" s="37">
        <f>+(12495*100)/119</f>
        <v>10500</v>
      </c>
      <c r="L69" s="37">
        <f t="shared" si="33"/>
        <v>15750000</v>
      </c>
      <c r="M69" s="37">
        <f>+(10710*100)/119</f>
        <v>9000</v>
      </c>
      <c r="N69" s="37">
        <f t="shared" si="34"/>
        <v>13500000</v>
      </c>
      <c r="O69" s="37">
        <f t="shared" si="17"/>
        <v>10466.666666666666</v>
      </c>
      <c r="P69" s="37">
        <f t="shared" si="18"/>
        <v>15700000</v>
      </c>
      <c r="Q69" s="37">
        <f t="shared" si="19"/>
        <v>1184.1546445554407</v>
      </c>
      <c r="R69" s="57">
        <f t="shared" si="20"/>
        <v>0.11313579406580644</v>
      </c>
      <c r="S69" s="37">
        <f t="shared" si="21"/>
        <v>10500</v>
      </c>
      <c r="T69" s="192">
        <f t="shared" si="22"/>
        <v>15750000</v>
      </c>
      <c r="U69" s="56">
        <f t="shared" si="23"/>
        <v>0.11277663281480388</v>
      </c>
      <c r="V69" s="20" t="s">
        <v>412</v>
      </c>
      <c r="W69" s="20" t="s">
        <v>413</v>
      </c>
      <c r="X69" s="20" t="s">
        <v>414</v>
      </c>
    </row>
    <row r="70" spans="1:34" s="21" customFormat="1" ht="49.5">
      <c r="A70" s="173">
        <f t="shared" si="35"/>
        <v>3</v>
      </c>
      <c r="B70" s="165">
        <v>62</v>
      </c>
      <c r="C70" s="23" t="s">
        <v>221</v>
      </c>
      <c r="D70" s="110" t="s">
        <v>222</v>
      </c>
      <c r="E70" s="18">
        <v>3000</v>
      </c>
      <c r="F70" s="18" t="s">
        <v>40</v>
      </c>
      <c r="G70" s="19">
        <v>1</v>
      </c>
      <c r="H70" s="19" t="s">
        <v>68</v>
      </c>
      <c r="I70" s="37">
        <f>+(3332*100)/119</f>
        <v>2800</v>
      </c>
      <c r="J70" s="37">
        <f t="shared" si="32"/>
        <v>8400000</v>
      </c>
      <c r="K70" s="37">
        <f>+(3808*100)/119</f>
        <v>3200</v>
      </c>
      <c r="L70" s="37">
        <f t="shared" si="33"/>
        <v>9600000</v>
      </c>
      <c r="M70" s="37">
        <f>+(4712*100)/119</f>
        <v>3959.6638655462184</v>
      </c>
      <c r="N70" s="37">
        <f t="shared" si="34"/>
        <v>11878991.596638655</v>
      </c>
      <c r="O70" s="37">
        <f t="shared" si="17"/>
        <v>3319.8879551820733</v>
      </c>
      <c r="P70" s="37">
        <f t="shared" si="18"/>
        <v>9959663.8655462191</v>
      </c>
      <c r="Q70" s="37">
        <f t="shared" si="19"/>
        <v>480.96078260893478</v>
      </c>
      <c r="R70" s="57">
        <f t="shared" si="20"/>
        <v>0.14487259482904968</v>
      </c>
      <c r="S70" s="37">
        <f t="shared" si="21"/>
        <v>3200</v>
      </c>
      <c r="T70" s="192">
        <f t="shared" si="22"/>
        <v>9600000</v>
      </c>
      <c r="U70" s="56">
        <f t="shared" si="23"/>
        <v>0.15030024456529212</v>
      </c>
      <c r="V70" s="20" t="s">
        <v>415</v>
      </c>
      <c r="W70" s="20" t="s">
        <v>416</v>
      </c>
      <c r="X70" s="20" t="s">
        <v>417</v>
      </c>
    </row>
    <row r="71" spans="1:34" s="21" customFormat="1" ht="58.5" customHeight="1">
      <c r="A71" s="173">
        <f t="shared" si="35"/>
        <v>3</v>
      </c>
      <c r="B71" s="166">
        <v>63</v>
      </c>
      <c r="C71" s="23" t="s">
        <v>223</v>
      </c>
      <c r="D71" s="110" t="s">
        <v>224</v>
      </c>
      <c r="E71" s="18">
        <v>1500</v>
      </c>
      <c r="F71" s="18" t="s">
        <v>40</v>
      </c>
      <c r="G71" s="19">
        <v>1</v>
      </c>
      <c r="H71" s="19" t="s">
        <v>68</v>
      </c>
      <c r="I71" s="47">
        <f>(9000*5.35%)+9000</f>
        <v>9481.5</v>
      </c>
      <c r="J71" s="37">
        <f t="shared" si="32"/>
        <v>14222250</v>
      </c>
      <c r="K71" s="37">
        <f>+(11900*100)/119</f>
        <v>10000</v>
      </c>
      <c r="L71" s="37">
        <f t="shared" si="33"/>
        <v>15000000</v>
      </c>
      <c r="M71" s="37">
        <f>+(9401*100)/119</f>
        <v>7900</v>
      </c>
      <c r="N71" s="37">
        <f t="shared" si="34"/>
        <v>11850000</v>
      </c>
      <c r="O71" s="37">
        <f t="shared" si="17"/>
        <v>9127.1666666666661</v>
      </c>
      <c r="P71" s="37">
        <f t="shared" si="18"/>
        <v>13690750</v>
      </c>
      <c r="Q71" s="37">
        <f t="shared" si="19"/>
        <v>893.18310303965984</v>
      </c>
      <c r="R71" s="57">
        <f t="shared" si="20"/>
        <v>9.7859843657906967E-2</v>
      </c>
      <c r="S71" s="37">
        <f t="shared" si="21"/>
        <v>9481.5</v>
      </c>
      <c r="T71" s="192">
        <f t="shared" si="22"/>
        <v>14222250</v>
      </c>
      <c r="U71" s="56">
        <f t="shared" si="23"/>
        <v>9.4202721409023873E-2</v>
      </c>
      <c r="V71" s="20" t="s">
        <v>225</v>
      </c>
      <c r="W71" s="20" t="s">
        <v>83</v>
      </c>
      <c r="X71" s="20" t="s">
        <v>226</v>
      </c>
    </row>
    <row r="72" spans="1:34" s="21" customFormat="1" ht="49.5">
      <c r="A72" s="173">
        <f t="shared" si="35"/>
        <v>3</v>
      </c>
      <c r="B72" s="165">
        <v>64</v>
      </c>
      <c r="C72" s="113" t="s">
        <v>132</v>
      </c>
      <c r="D72" s="114" t="s">
        <v>227</v>
      </c>
      <c r="E72" s="60">
        <v>1500</v>
      </c>
      <c r="F72" s="60" t="s">
        <v>40</v>
      </c>
      <c r="G72" s="61">
        <v>1</v>
      </c>
      <c r="H72" s="61" t="s">
        <v>68</v>
      </c>
      <c r="I72" s="62">
        <f>+(1146*100)/119</f>
        <v>963.02521008403357</v>
      </c>
      <c r="J72" s="62">
        <f t="shared" si="32"/>
        <v>1444537.8151260503</v>
      </c>
      <c r="K72" s="62">
        <f>+(1615*100)/119</f>
        <v>1357.1428571428571</v>
      </c>
      <c r="L72" s="62">
        <f t="shared" si="33"/>
        <v>2035714.2857142857</v>
      </c>
      <c r="M72" s="62">
        <f>+(1575*100)/119</f>
        <v>1323.5294117647059</v>
      </c>
      <c r="N72" s="62">
        <f t="shared" si="34"/>
        <v>1985294.1176470588</v>
      </c>
      <c r="O72" s="62">
        <f t="shared" ref="O72:O131" si="36">+AVERAGE(I72,K72,M72)</f>
        <v>1214.5658263305322</v>
      </c>
      <c r="P72" s="62">
        <f t="shared" ref="P72:P131" si="37">+O72*E72*G72</f>
        <v>1821848.7394957982</v>
      </c>
      <c r="Q72" s="62">
        <f t="shared" ref="Q72:Q131" si="38">+_xlfn.STDEV.P(I72,K72,M72)</f>
        <v>178.39465078639239</v>
      </c>
      <c r="R72" s="63">
        <f t="shared" ref="R72:R131" si="39">+Q72/O72</f>
        <v>0.14687935961887011</v>
      </c>
      <c r="S72" s="62">
        <f t="shared" ref="S72:S131" si="40">+MEDIAN(I72,K72,M72)</f>
        <v>1323.5294117647059</v>
      </c>
      <c r="T72" s="183">
        <f t="shared" ref="T72:T131" si="41">+S72*G72*E72</f>
        <v>1985294.1176470588</v>
      </c>
      <c r="U72" s="64">
        <f t="shared" ref="U72:U131" si="42">+Q72/S72</f>
        <v>0.13478706948305202</v>
      </c>
      <c r="V72" s="65" t="s">
        <v>418</v>
      </c>
      <c r="W72" s="65" t="s">
        <v>63</v>
      </c>
      <c r="X72" s="65" t="s">
        <v>419</v>
      </c>
    </row>
    <row r="73" spans="1:34" s="21" customFormat="1" ht="16.5">
      <c r="A73" s="173">
        <f t="shared" ref="A73" si="43">+COUNT(I73,K73,M73)</f>
        <v>0</v>
      </c>
      <c r="B73" s="171"/>
      <c r="C73" s="108" t="s">
        <v>228</v>
      </c>
      <c r="D73" s="91" t="s">
        <v>229</v>
      </c>
      <c r="E73" s="92"/>
      <c r="F73" s="92"/>
      <c r="G73" s="93"/>
      <c r="H73" s="93"/>
      <c r="I73" s="94"/>
      <c r="J73" s="94"/>
      <c r="K73" s="94"/>
      <c r="L73" s="94"/>
      <c r="M73" s="94"/>
      <c r="N73" s="94"/>
      <c r="O73" s="94"/>
      <c r="P73" s="94"/>
      <c r="Q73" s="94"/>
      <c r="R73" s="95"/>
      <c r="S73" s="94"/>
      <c r="T73" s="202"/>
      <c r="U73" s="96"/>
      <c r="V73" s="97"/>
      <c r="W73" s="97"/>
      <c r="X73" s="97"/>
    </row>
    <row r="74" spans="1:34" s="21" customFormat="1" ht="49.5">
      <c r="A74" s="173">
        <v>4</v>
      </c>
      <c r="B74" s="165">
        <v>65</v>
      </c>
      <c r="C74" s="66" t="s">
        <v>51</v>
      </c>
      <c r="D74" s="109" t="s">
        <v>452</v>
      </c>
      <c r="E74" s="78">
        <v>8</v>
      </c>
      <c r="F74" s="78" t="s">
        <v>390</v>
      </c>
      <c r="G74" s="79">
        <v>2</v>
      </c>
      <c r="H74" s="79" t="s">
        <v>58</v>
      </c>
      <c r="I74" s="55">
        <f>(50000*E74)</f>
        <v>400000</v>
      </c>
      <c r="J74" s="55">
        <f>+I74*G74</f>
        <v>800000</v>
      </c>
      <c r="K74" s="184">
        <v>266667</v>
      </c>
      <c r="L74" s="55">
        <f>+K74*G74</f>
        <v>533334</v>
      </c>
      <c r="M74" s="184">
        <f>(2020168/24)*8</f>
        <v>673389.33333333337</v>
      </c>
      <c r="N74" s="55">
        <f>+M74*G74</f>
        <v>1346778.6666666667</v>
      </c>
      <c r="O74" s="55">
        <f t="shared" si="36"/>
        <v>446685.4444444445</v>
      </c>
      <c r="P74" s="55">
        <f>+O74*G74</f>
        <v>893370.88888888899</v>
      </c>
      <c r="Q74" s="55">
        <f t="shared" si="38"/>
        <v>169293.45754292887</v>
      </c>
      <c r="R74" s="68">
        <f t="shared" si="39"/>
        <v>0.37899927040041342</v>
      </c>
      <c r="S74" s="55">
        <f t="shared" si="40"/>
        <v>400000</v>
      </c>
      <c r="T74" s="184">
        <f>+S74*G74</f>
        <v>800000</v>
      </c>
      <c r="U74" s="69">
        <f t="shared" si="42"/>
        <v>0.42323364385732215</v>
      </c>
      <c r="V74" s="67" t="s">
        <v>454</v>
      </c>
      <c r="W74" s="179" t="s">
        <v>496</v>
      </c>
      <c r="X74" s="180" t="s">
        <v>472</v>
      </c>
    </row>
    <row r="75" spans="1:34" s="21" customFormat="1" ht="181.5">
      <c r="A75" s="173">
        <v>4</v>
      </c>
      <c r="B75" s="166">
        <v>66</v>
      </c>
      <c r="C75" s="66" t="s">
        <v>90</v>
      </c>
      <c r="D75" s="109" t="s">
        <v>230</v>
      </c>
      <c r="E75" s="18">
        <v>1</v>
      </c>
      <c r="F75" s="18" t="s">
        <v>40</v>
      </c>
      <c r="G75" s="19">
        <v>2</v>
      </c>
      <c r="H75" s="19" t="s">
        <v>58</v>
      </c>
      <c r="I75" s="46">
        <f>+(831810*100)/119</f>
        <v>699000</v>
      </c>
      <c r="J75" s="37">
        <f t="shared" ref="J75:J134" si="44">+I75*E75*G75</f>
        <v>1398000</v>
      </c>
      <c r="K75" s="46">
        <f>+(876506*100)/119</f>
        <v>736559.66386554623</v>
      </c>
      <c r="L75" s="37">
        <f t="shared" ref="L75:L134" si="45">+K75*G75*E75</f>
        <v>1473119.3277310925</v>
      </c>
      <c r="M75" s="46">
        <f>+(933199*100)/119</f>
        <v>784200.84033613442</v>
      </c>
      <c r="N75" s="37">
        <f t="shared" ref="N75:N134" si="46">+M75*G75*E75</f>
        <v>1568401.6806722688</v>
      </c>
      <c r="O75" s="37">
        <f t="shared" si="36"/>
        <v>739920.16806722677</v>
      </c>
      <c r="P75" s="37">
        <f t="shared" si="37"/>
        <v>1479840.3361344535</v>
      </c>
      <c r="Q75" s="37">
        <f t="shared" si="38"/>
        <v>34864.170145131349</v>
      </c>
      <c r="R75" s="57">
        <f t="shared" si="39"/>
        <v>4.7118826665045979E-2</v>
      </c>
      <c r="S75" s="37">
        <f t="shared" si="40"/>
        <v>736559.66386554623</v>
      </c>
      <c r="T75" s="192">
        <f t="shared" si="41"/>
        <v>1473119.3277310925</v>
      </c>
      <c r="U75" s="56">
        <f t="shared" si="42"/>
        <v>4.7333803160168102E-2</v>
      </c>
      <c r="V75" s="37" t="s">
        <v>91</v>
      </c>
      <c r="W75" s="37" t="s">
        <v>92</v>
      </c>
      <c r="X75" s="37" t="s">
        <v>93</v>
      </c>
    </row>
    <row r="76" spans="1:34" s="21" customFormat="1" ht="82.5">
      <c r="A76" s="173">
        <v>4</v>
      </c>
      <c r="B76" s="165">
        <v>67</v>
      </c>
      <c r="C76" s="66" t="s">
        <v>94</v>
      </c>
      <c r="D76" s="109" t="s">
        <v>231</v>
      </c>
      <c r="E76" s="18">
        <v>30</v>
      </c>
      <c r="F76" s="18" t="s">
        <v>40</v>
      </c>
      <c r="G76" s="19">
        <v>2</v>
      </c>
      <c r="H76" s="19" t="s">
        <v>58</v>
      </c>
      <c r="I76" s="37">
        <f>+(20000*100)/119</f>
        <v>16806.722689075632</v>
      </c>
      <c r="J76" s="37">
        <f t="shared" si="44"/>
        <v>1008403.3613445379</v>
      </c>
      <c r="K76" s="37">
        <f>+(20000*100)/119</f>
        <v>16806.722689075632</v>
      </c>
      <c r="L76" s="37">
        <f t="shared" si="45"/>
        <v>1008403.3613445379</v>
      </c>
      <c r="M76" s="37">
        <f>+(21500*100)/119</f>
        <v>18067.226890756301</v>
      </c>
      <c r="N76" s="37">
        <f t="shared" si="46"/>
        <v>1084033.6134453781</v>
      </c>
      <c r="O76" s="37">
        <f t="shared" si="36"/>
        <v>17226.890756302524</v>
      </c>
      <c r="P76" s="37">
        <f t="shared" si="37"/>
        <v>1033613.4453781515</v>
      </c>
      <c r="Q76" s="37">
        <f t="shared" si="38"/>
        <v>594.20737914835786</v>
      </c>
      <c r="R76" s="57">
        <f t="shared" si="39"/>
        <v>3.4493013716416866E-2</v>
      </c>
      <c r="S76" s="37">
        <f t="shared" si="40"/>
        <v>16806.722689075632</v>
      </c>
      <c r="T76" s="192">
        <f t="shared" si="41"/>
        <v>1008403.3613445379</v>
      </c>
      <c r="U76" s="56">
        <f t="shared" si="42"/>
        <v>3.5355339059327286E-2</v>
      </c>
      <c r="V76" s="24" t="s">
        <v>478</v>
      </c>
      <c r="W76" s="24" t="s">
        <v>463</v>
      </c>
      <c r="X76" s="24" t="s">
        <v>464</v>
      </c>
    </row>
    <row r="77" spans="1:34" s="21" customFormat="1" ht="181.5">
      <c r="A77" s="173">
        <v>4</v>
      </c>
      <c r="B77" s="166">
        <v>68</v>
      </c>
      <c r="C77" s="66" t="s">
        <v>96</v>
      </c>
      <c r="D77" s="109" t="s">
        <v>97</v>
      </c>
      <c r="E77" s="18">
        <v>30</v>
      </c>
      <c r="F77" s="18" t="s">
        <v>40</v>
      </c>
      <c r="G77" s="19">
        <v>2</v>
      </c>
      <c r="H77" s="19" t="s">
        <v>58</v>
      </c>
      <c r="I77" s="37">
        <f>+(25000*100)/119</f>
        <v>21008.403361344539</v>
      </c>
      <c r="J77" s="37">
        <f t="shared" si="44"/>
        <v>1260504.2016806724</v>
      </c>
      <c r="K77" s="37">
        <f>+(25000*100)/119</f>
        <v>21008.403361344539</v>
      </c>
      <c r="L77" s="37">
        <f t="shared" si="45"/>
        <v>1260504.2016806724</v>
      </c>
      <c r="M77" s="37">
        <f>+(26500*100)/119</f>
        <v>22268.907563025212</v>
      </c>
      <c r="N77" s="37">
        <f t="shared" si="46"/>
        <v>1336134.4537815128</v>
      </c>
      <c r="O77" s="37">
        <f t="shared" si="36"/>
        <v>21428.571428571431</v>
      </c>
      <c r="P77" s="37">
        <f t="shared" si="37"/>
        <v>1285714.2857142859</v>
      </c>
      <c r="Q77" s="37">
        <f t="shared" si="38"/>
        <v>594.20737914835956</v>
      </c>
      <c r="R77" s="57">
        <f t="shared" si="39"/>
        <v>2.772967769359011E-2</v>
      </c>
      <c r="S77" s="37">
        <f t="shared" si="40"/>
        <v>21008.403361344539</v>
      </c>
      <c r="T77" s="192">
        <f t="shared" si="41"/>
        <v>1260504.2016806724</v>
      </c>
      <c r="U77" s="56">
        <f t="shared" si="42"/>
        <v>2.8284271247461915E-2</v>
      </c>
      <c r="V77" s="24" t="s">
        <v>478</v>
      </c>
      <c r="W77" s="24" t="s">
        <v>463</v>
      </c>
      <c r="X77" s="24" t="s">
        <v>464</v>
      </c>
    </row>
    <row r="78" spans="1:34" ht="33">
      <c r="A78" s="173">
        <v>4</v>
      </c>
      <c r="B78" s="165">
        <v>69</v>
      </c>
      <c r="C78" s="66" t="s">
        <v>60</v>
      </c>
      <c r="D78" s="109" t="s">
        <v>98</v>
      </c>
      <c r="E78" s="18">
        <v>5</v>
      </c>
      <c r="F78" s="18" t="s">
        <v>40</v>
      </c>
      <c r="G78" s="19">
        <v>2</v>
      </c>
      <c r="H78" s="19" t="s">
        <v>58</v>
      </c>
      <c r="I78" s="37">
        <f>+(1150*100)/119</f>
        <v>966.38655462184875</v>
      </c>
      <c r="J78" s="37">
        <f t="shared" si="44"/>
        <v>9663.865546218487</v>
      </c>
      <c r="K78" s="37">
        <f>+(1850*100)/119</f>
        <v>1554.6218487394958</v>
      </c>
      <c r="L78" s="37">
        <f t="shared" si="45"/>
        <v>15546.218487394959</v>
      </c>
      <c r="M78" s="37">
        <f>+(1680*100)/119</f>
        <v>1411.7647058823529</v>
      </c>
      <c r="N78" s="37">
        <f t="shared" si="46"/>
        <v>14117.64705882353</v>
      </c>
      <c r="O78" s="37">
        <f t="shared" si="36"/>
        <v>1310.9243697478994</v>
      </c>
      <c r="P78" s="37">
        <f t="shared" si="37"/>
        <v>13109.243697478994</v>
      </c>
      <c r="Q78" s="37">
        <f t="shared" si="38"/>
        <v>250.50850997547647</v>
      </c>
      <c r="R78" s="57">
        <f t="shared" si="39"/>
        <v>0.19109303004539549</v>
      </c>
      <c r="S78" s="37">
        <f t="shared" si="40"/>
        <v>1411.7647058823529</v>
      </c>
      <c r="T78" s="192">
        <f t="shared" si="41"/>
        <v>14117.64705882353</v>
      </c>
      <c r="U78" s="56">
        <f t="shared" si="42"/>
        <v>0.17744352789929582</v>
      </c>
      <c r="V78" s="20" t="s">
        <v>62</v>
      </c>
      <c r="W78" s="20" t="s">
        <v>63</v>
      </c>
      <c r="X78" s="20" t="s">
        <v>64</v>
      </c>
      <c r="Y78" s="33"/>
      <c r="Z78" s="33"/>
      <c r="AA78" s="33"/>
      <c r="AB78" s="33"/>
      <c r="AC78" s="33"/>
      <c r="AD78" s="33"/>
      <c r="AE78" s="33"/>
      <c r="AF78" s="33"/>
      <c r="AG78" s="33"/>
      <c r="AH78" s="33"/>
    </row>
    <row r="79" spans="1:34" s="21" customFormat="1" ht="82.5">
      <c r="A79" s="173">
        <v>4</v>
      </c>
      <c r="B79" s="166">
        <v>70</v>
      </c>
      <c r="C79" s="66" t="s">
        <v>99</v>
      </c>
      <c r="D79" s="109" t="s">
        <v>100</v>
      </c>
      <c r="E79" s="18">
        <v>20</v>
      </c>
      <c r="F79" s="18" t="s">
        <v>40</v>
      </c>
      <c r="G79" s="19">
        <v>1</v>
      </c>
      <c r="H79" s="19" t="s">
        <v>68</v>
      </c>
      <c r="I79" s="37">
        <f>+(7021*100)/119</f>
        <v>5900</v>
      </c>
      <c r="J79" s="37">
        <f t="shared" si="44"/>
        <v>118000</v>
      </c>
      <c r="K79" s="37">
        <f>+(5712*100)/119</f>
        <v>4800</v>
      </c>
      <c r="L79" s="37">
        <f t="shared" si="45"/>
        <v>96000</v>
      </c>
      <c r="M79" s="37">
        <f>+(6700*100)/119</f>
        <v>5630.2521008403364</v>
      </c>
      <c r="N79" s="37">
        <f t="shared" si="46"/>
        <v>112605.04201680672</v>
      </c>
      <c r="O79" s="37">
        <f t="shared" si="36"/>
        <v>5443.4173669467791</v>
      </c>
      <c r="P79" s="37">
        <f t="shared" si="37"/>
        <v>108868.34733893558</v>
      </c>
      <c r="Q79" s="37">
        <f t="shared" si="38"/>
        <v>468.10284720476216</v>
      </c>
      <c r="R79" s="57">
        <f t="shared" si="39"/>
        <v>8.5994296532753603E-2</v>
      </c>
      <c r="S79" s="37">
        <f t="shared" si="40"/>
        <v>5630.2521008403364</v>
      </c>
      <c r="T79" s="192">
        <f t="shared" si="41"/>
        <v>112605.04201680672</v>
      </c>
      <c r="U79" s="56">
        <f t="shared" si="42"/>
        <v>8.3140654951293566E-2</v>
      </c>
      <c r="V79" s="20" t="s">
        <v>101</v>
      </c>
      <c r="W79" s="20" t="s">
        <v>83</v>
      </c>
      <c r="X79" s="20" t="s">
        <v>63</v>
      </c>
    </row>
    <row r="80" spans="1:34" s="21" customFormat="1" ht="66">
      <c r="A80" s="173">
        <v>4</v>
      </c>
      <c r="B80" s="165">
        <v>71</v>
      </c>
      <c r="C80" s="66" t="s">
        <v>232</v>
      </c>
      <c r="D80" s="109" t="s">
        <v>233</v>
      </c>
      <c r="E80" s="18">
        <v>6</v>
      </c>
      <c r="F80" s="18" t="s">
        <v>40</v>
      </c>
      <c r="G80" s="19">
        <v>1</v>
      </c>
      <c r="H80" s="19" t="s">
        <v>68</v>
      </c>
      <c r="I80" s="37">
        <f>+(3200000*100)/119</f>
        <v>2689075.630252101</v>
      </c>
      <c r="J80" s="37">
        <f t="shared" si="44"/>
        <v>16134453.781512607</v>
      </c>
      <c r="K80" s="37">
        <f>+(3199000*100)/119</f>
        <v>2688235.2941176472</v>
      </c>
      <c r="L80" s="37">
        <f t="shared" si="45"/>
        <v>16129411.764705883</v>
      </c>
      <c r="M80" s="37">
        <f>+(4160000*100)/119</f>
        <v>3495798.3193277312</v>
      </c>
      <c r="N80" s="37">
        <f t="shared" si="46"/>
        <v>20974789.915966388</v>
      </c>
      <c r="O80" s="37">
        <f t="shared" si="36"/>
        <v>2957703.0812324933</v>
      </c>
      <c r="P80" s="37">
        <f t="shared" si="37"/>
        <v>17746218.487394959</v>
      </c>
      <c r="Q80" s="37">
        <f t="shared" si="38"/>
        <v>380490.9464422522</v>
      </c>
      <c r="R80" s="57">
        <f t="shared" si="39"/>
        <v>0.12864406466510467</v>
      </c>
      <c r="S80" s="37">
        <f t="shared" si="40"/>
        <v>2689075.630252101</v>
      </c>
      <c r="T80" s="192">
        <f t="shared" si="41"/>
        <v>16134453.781512607</v>
      </c>
      <c r="U80" s="56">
        <f t="shared" si="42"/>
        <v>0.14149507070821252</v>
      </c>
      <c r="V80" s="20" t="s">
        <v>234</v>
      </c>
      <c r="W80" s="20" t="s">
        <v>235</v>
      </c>
      <c r="X80" s="20" t="s">
        <v>236</v>
      </c>
    </row>
    <row r="81" spans="1:26" s="21" customFormat="1" ht="49.5">
      <c r="A81" s="173">
        <v>4</v>
      </c>
      <c r="B81" s="166">
        <v>72</v>
      </c>
      <c r="C81" s="23" t="s">
        <v>237</v>
      </c>
      <c r="D81" s="110" t="s">
        <v>238</v>
      </c>
      <c r="E81" s="18">
        <v>6</v>
      </c>
      <c r="F81" s="18" t="s">
        <v>40</v>
      </c>
      <c r="G81" s="19">
        <v>1</v>
      </c>
      <c r="H81" s="19" t="s">
        <v>68</v>
      </c>
      <c r="I81" s="37">
        <f>+(239940*100)/119</f>
        <v>201630.25210084033</v>
      </c>
      <c r="J81" s="37">
        <f t="shared" si="44"/>
        <v>1209781.512605042</v>
      </c>
      <c r="K81" s="37">
        <f>+(299900*100)/119</f>
        <v>252016.80672268907</v>
      </c>
      <c r="L81" s="37">
        <f t="shared" si="45"/>
        <v>1512100.8403361344</v>
      </c>
      <c r="M81" s="37">
        <f>+(369900*100)/119</f>
        <v>310840.33613445377</v>
      </c>
      <c r="N81" s="37">
        <f t="shared" si="46"/>
        <v>1865042.0168067226</v>
      </c>
      <c r="O81" s="37">
        <f t="shared" si="36"/>
        <v>254829.13165266105</v>
      </c>
      <c r="P81" s="37">
        <f t="shared" si="37"/>
        <v>1528974.7899159663</v>
      </c>
      <c r="Q81" s="37">
        <f t="shared" si="38"/>
        <v>44629.157078387187</v>
      </c>
      <c r="R81" s="57">
        <f t="shared" si="39"/>
        <v>0.17513365441757234</v>
      </c>
      <c r="S81" s="37">
        <f t="shared" si="40"/>
        <v>252016.80672268907</v>
      </c>
      <c r="T81" s="192">
        <f t="shared" si="41"/>
        <v>1512100.8403361344</v>
      </c>
      <c r="U81" s="56">
        <f t="shared" si="42"/>
        <v>0.17708801908396382</v>
      </c>
      <c r="V81" s="24" t="s">
        <v>420</v>
      </c>
      <c r="W81" s="24" t="s">
        <v>421</v>
      </c>
      <c r="X81" s="24" t="s">
        <v>422</v>
      </c>
      <c r="Z81" s="35"/>
    </row>
    <row r="82" spans="1:26" s="21" customFormat="1" ht="132">
      <c r="A82" s="173">
        <v>4</v>
      </c>
      <c r="B82" s="165">
        <v>73</v>
      </c>
      <c r="C82" s="23" t="s">
        <v>239</v>
      </c>
      <c r="D82" s="110" t="s">
        <v>240</v>
      </c>
      <c r="E82" s="18">
        <v>3</v>
      </c>
      <c r="F82" s="18" t="s">
        <v>40</v>
      </c>
      <c r="G82" s="19">
        <v>1</v>
      </c>
      <c r="H82" s="19" t="s">
        <v>68</v>
      </c>
      <c r="I82" s="37">
        <f>+(1362550*100)/119</f>
        <v>1145000</v>
      </c>
      <c r="J82" s="37">
        <f t="shared" si="44"/>
        <v>3435000</v>
      </c>
      <c r="K82" s="37">
        <f>+(2176952*100)/119</f>
        <v>1829371.4285714286</v>
      </c>
      <c r="L82" s="37">
        <f t="shared" si="45"/>
        <v>5488114.2857142854</v>
      </c>
      <c r="M82" s="37">
        <f>+(2019900*100)/119</f>
        <v>1697394.9579831932</v>
      </c>
      <c r="N82" s="37">
        <f t="shared" si="46"/>
        <v>5092184.8739495799</v>
      </c>
      <c r="O82" s="37">
        <f t="shared" si="36"/>
        <v>1557255.4621848741</v>
      </c>
      <c r="P82" s="37">
        <f t="shared" si="37"/>
        <v>4671766.3865546221</v>
      </c>
      <c r="Q82" s="37">
        <f t="shared" si="38"/>
        <v>296446.02855964674</v>
      </c>
      <c r="R82" s="57">
        <f t="shared" si="39"/>
        <v>0.19036441724450556</v>
      </c>
      <c r="S82" s="37">
        <f t="shared" si="40"/>
        <v>1697394.9579831932</v>
      </c>
      <c r="T82" s="192">
        <f t="shared" si="41"/>
        <v>5092184.8739495799</v>
      </c>
      <c r="U82" s="56">
        <f t="shared" si="42"/>
        <v>0.1746476429456803</v>
      </c>
      <c r="V82" s="24" t="s">
        <v>423</v>
      </c>
      <c r="W82" s="24" t="s">
        <v>424</v>
      </c>
      <c r="X82" s="24" t="s">
        <v>425</v>
      </c>
    </row>
    <row r="83" spans="1:26" s="21" customFormat="1" ht="99">
      <c r="A83" s="173">
        <v>4</v>
      </c>
      <c r="B83" s="166">
        <v>74</v>
      </c>
      <c r="C83" s="23" t="s">
        <v>241</v>
      </c>
      <c r="D83" s="110" t="s">
        <v>242</v>
      </c>
      <c r="E83" s="18">
        <v>6</v>
      </c>
      <c r="F83" s="18" t="s">
        <v>40</v>
      </c>
      <c r="G83" s="19">
        <v>1</v>
      </c>
      <c r="H83" s="19" t="s">
        <v>68</v>
      </c>
      <c r="I83" s="37">
        <f>+(1642200*100)/119</f>
        <v>1380000</v>
      </c>
      <c r="J83" s="37">
        <f t="shared" si="44"/>
        <v>8280000</v>
      </c>
      <c r="K83" s="37">
        <f>+(1606381*100)/119</f>
        <v>1349900</v>
      </c>
      <c r="L83" s="37">
        <f t="shared" si="45"/>
        <v>8099400</v>
      </c>
      <c r="M83" s="37">
        <f>+(1606381*100)/119</f>
        <v>1349900</v>
      </c>
      <c r="N83" s="37">
        <f t="shared" si="46"/>
        <v>8099400</v>
      </c>
      <c r="O83" s="37">
        <f t="shared" si="36"/>
        <v>1359933.3333333333</v>
      </c>
      <c r="P83" s="37">
        <f t="shared" si="37"/>
        <v>8159600</v>
      </c>
      <c r="Q83" s="37">
        <f t="shared" si="38"/>
        <v>14189.276075810054</v>
      </c>
      <c r="R83" s="57">
        <f t="shared" si="39"/>
        <v>1.0433802693129605E-2</v>
      </c>
      <c r="S83" s="37">
        <f t="shared" si="40"/>
        <v>1349900</v>
      </c>
      <c r="T83" s="192">
        <f t="shared" si="41"/>
        <v>8099400</v>
      </c>
      <c r="U83" s="56">
        <f t="shared" si="42"/>
        <v>1.0511353489747429E-2</v>
      </c>
      <c r="V83" s="24" t="s">
        <v>426</v>
      </c>
      <c r="W83" s="24" t="s">
        <v>395</v>
      </c>
      <c r="X83" s="24" t="s">
        <v>247</v>
      </c>
    </row>
    <row r="84" spans="1:26" s="21" customFormat="1" ht="115.5">
      <c r="A84" s="173">
        <v>4</v>
      </c>
      <c r="B84" s="165">
        <v>75</v>
      </c>
      <c r="C84" s="23" t="s">
        <v>243</v>
      </c>
      <c r="D84" s="110" t="s">
        <v>244</v>
      </c>
      <c r="E84" s="18">
        <v>6</v>
      </c>
      <c r="F84" s="18" t="s">
        <v>40</v>
      </c>
      <c r="G84" s="19">
        <v>1</v>
      </c>
      <c r="H84" s="19" t="s">
        <v>68</v>
      </c>
      <c r="I84" s="37">
        <f>+(184331*100)/119</f>
        <v>154900</v>
      </c>
      <c r="J84" s="37">
        <f t="shared" si="44"/>
        <v>929400</v>
      </c>
      <c r="K84" s="37">
        <f>+(200000*100)/119</f>
        <v>168067.22689075631</v>
      </c>
      <c r="L84" s="37">
        <f t="shared" si="45"/>
        <v>1008403.3613445379</v>
      </c>
      <c r="M84" s="37">
        <f>+(177191*100)/119</f>
        <v>148900</v>
      </c>
      <c r="N84" s="37">
        <f t="shared" si="46"/>
        <v>893400</v>
      </c>
      <c r="O84" s="37">
        <f t="shared" si="36"/>
        <v>157289.0756302521</v>
      </c>
      <c r="P84" s="37">
        <f t="shared" si="37"/>
        <v>943734.45378151257</v>
      </c>
      <c r="Q84" s="37">
        <f t="shared" si="38"/>
        <v>8005.265285869933</v>
      </c>
      <c r="R84" s="57">
        <f t="shared" si="39"/>
        <v>5.0895240205291438E-2</v>
      </c>
      <c r="S84" s="37">
        <f t="shared" si="40"/>
        <v>154900</v>
      </c>
      <c r="T84" s="192">
        <f t="shared" si="41"/>
        <v>929400</v>
      </c>
      <c r="U84" s="56">
        <f t="shared" si="42"/>
        <v>5.1680214886184205E-2</v>
      </c>
      <c r="V84" s="24" t="s">
        <v>247</v>
      </c>
      <c r="W84" s="24" t="s">
        <v>248</v>
      </c>
      <c r="X84" s="24" t="s">
        <v>138</v>
      </c>
    </row>
    <row r="85" spans="1:26" s="21" customFormat="1" ht="66">
      <c r="A85" s="173">
        <v>4</v>
      </c>
      <c r="B85" s="166">
        <v>76</v>
      </c>
      <c r="C85" s="110" t="s">
        <v>245</v>
      </c>
      <c r="D85" s="110" t="s">
        <v>246</v>
      </c>
      <c r="E85" s="18">
        <v>12</v>
      </c>
      <c r="F85" s="18" t="s">
        <v>40</v>
      </c>
      <c r="G85" s="19">
        <v>1</v>
      </c>
      <c r="H85" s="19" t="s">
        <v>68</v>
      </c>
      <c r="I85" s="37">
        <f>+(184331*100)/119</f>
        <v>154900</v>
      </c>
      <c r="J85" s="37">
        <f t="shared" si="44"/>
        <v>1858800</v>
      </c>
      <c r="K85" s="37">
        <f>+(200000*100)/119</f>
        <v>168067.22689075631</v>
      </c>
      <c r="L85" s="37">
        <f t="shared" si="45"/>
        <v>2016806.7226890759</v>
      </c>
      <c r="M85" s="37">
        <f>+(177191*100)/119</f>
        <v>148900</v>
      </c>
      <c r="N85" s="37">
        <f t="shared" si="46"/>
        <v>1786800</v>
      </c>
      <c r="O85" s="37">
        <f t="shared" si="36"/>
        <v>157289.0756302521</v>
      </c>
      <c r="P85" s="37">
        <f t="shared" si="37"/>
        <v>1887468.9075630251</v>
      </c>
      <c r="Q85" s="37">
        <f t="shared" si="38"/>
        <v>8005.265285869933</v>
      </c>
      <c r="R85" s="57">
        <f t="shared" si="39"/>
        <v>5.0895240205291438E-2</v>
      </c>
      <c r="S85" s="37">
        <f t="shared" si="40"/>
        <v>154900</v>
      </c>
      <c r="T85" s="192">
        <f t="shared" si="41"/>
        <v>1858800</v>
      </c>
      <c r="U85" s="56">
        <f t="shared" si="42"/>
        <v>5.1680214886184205E-2</v>
      </c>
      <c r="V85" s="20" t="s">
        <v>247</v>
      </c>
      <c r="W85" s="20" t="s">
        <v>248</v>
      </c>
      <c r="X85" s="20" t="s">
        <v>138</v>
      </c>
    </row>
    <row r="86" spans="1:26" s="21" customFormat="1" ht="49.5">
      <c r="A86" s="173">
        <v>4</v>
      </c>
      <c r="B86" s="165">
        <v>77</v>
      </c>
      <c r="C86" s="110" t="s">
        <v>157</v>
      </c>
      <c r="D86" s="110" t="s">
        <v>249</v>
      </c>
      <c r="E86" s="18">
        <v>6</v>
      </c>
      <c r="F86" s="18" t="s">
        <v>40</v>
      </c>
      <c r="G86" s="19">
        <v>1</v>
      </c>
      <c r="H86" s="19" t="s">
        <v>68</v>
      </c>
      <c r="I86" s="37">
        <f>+(13500*100)/119</f>
        <v>11344.53781512605</v>
      </c>
      <c r="J86" s="37">
        <f t="shared" si="44"/>
        <v>68067.226890756298</v>
      </c>
      <c r="K86" s="37">
        <f>+(17090*100)/119</f>
        <v>14361.344537815126</v>
      </c>
      <c r="L86" s="37">
        <f t="shared" si="45"/>
        <v>86168.067226890766</v>
      </c>
      <c r="M86" s="37">
        <f>+(17090*100)/119</f>
        <v>14361.344537815126</v>
      </c>
      <c r="N86" s="37">
        <f t="shared" si="46"/>
        <v>86168.067226890766</v>
      </c>
      <c r="O86" s="37">
        <f t="shared" si="36"/>
        <v>13355.742296918766</v>
      </c>
      <c r="P86" s="37">
        <f t="shared" si="37"/>
        <v>80134.453781512595</v>
      </c>
      <c r="Q86" s="37">
        <f t="shared" si="38"/>
        <v>1422.1363274284183</v>
      </c>
      <c r="R86" s="57">
        <f t="shared" si="39"/>
        <v>0.10648126444881405</v>
      </c>
      <c r="S86" s="37">
        <f t="shared" si="40"/>
        <v>14361.344537815126</v>
      </c>
      <c r="T86" s="192">
        <f t="shared" si="41"/>
        <v>86168.067226890766</v>
      </c>
      <c r="U86" s="56">
        <f t="shared" si="42"/>
        <v>9.9025291377403027E-2</v>
      </c>
      <c r="V86" s="20" t="s">
        <v>159</v>
      </c>
      <c r="W86" s="20" t="s">
        <v>160</v>
      </c>
      <c r="X86" s="20" t="s">
        <v>161</v>
      </c>
    </row>
    <row r="87" spans="1:26" s="21" customFormat="1" ht="231">
      <c r="A87" s="173">
        <v>4</v>
      </c>
      <c r="B87" s="166">
        <v>78</v>
      </c>
      <c r="C87" s="110" t="s">
        <v>250</v>
      </c>
      <c r="D87" s="110" t="s">
        <v>473</v>
      </c>
      <c r="E87" s="18">
        <v>6</v>
      </c>
      <c r="F87" s="18" t="s">
        <v>40</v>
      </c>
      <c r="G87" s="19">
        <v>1</v>
      </c>
      <c r="H87" s="19" t="s">
        <v>68</v>
      </c>
      <c r="I87" s="37">
        <f>+(84900*100)/119</f>
        <v>71344.537815126052</v>
      </c>
      <c r="J87" s="37">
        <f t="shared" si="44"/>
        <v>428067.22689075628</v>
      </c>
      <c r="K87" s="37">
        <f>+(74000*100)/119</f>
        <v>62184.873949579829</v>
      </c>
      <c r="L87" s="37">
        <f t="shared" si="45"/>
        <v>373109.24369747896</v>
      </c>
      <c r="M87" s="37">
        <f>+(98000*100)/119</f>
        <v>82352.941176470587</v>
      </c>
      <c r="N87" s="37">
        <f t="shared" si="46"/>
        <v>494117.6470588235</v>
      </c>
      <c r="O87" s="37">
        <f t="shared" si="36"/>
        <v>71960.784313725482</v>
      </c>
      <c r="P87" s="37">
        <f t="shared" si="37"/>
        <v>431764.70588235289</v>
      </c>
      <c r="Q87" s="37">
        <f t="shared" si="38"/>
        <v>8245.1017267778952</v>
      </c>
      <c r="R87" s="57">
        <f t="shared" si="39"/>
        <v>0.11457770791980183</v>
      </c>
      <c r="S87" s="37">
        <f t="shared" si="40"/>
        <v>71344.537815126052</v>
      </c>
      <c r="T87" s="192">
        <f t="shared" si="41"/>
        <v>428067.22689075628</v>
      </c>
      <c r="U87" s="56">
        <f t="shared" si="42"/>
        <v>0.11556738580524965</v>
      </c>
      <c r="V87" s="49" t="s">
        <v>251</v>
      </c>
      <c r="W87" s="24" t="s">
        <v>460</v>
      </c>
      <c r="X87" s="24" t="s">
        <v>459</v>
      </c>
    </row>
    <row r="88" spans="1:26" s="21" customFormat="1" ht="132">
      <c r="A88" s="173">
        <v>4</v>
      </c>
      <c r="B88" s="165">
        <v>79</v>
      </c>
      <c r="C88" s="110" t="s">
        <v>252</v>
      </c>
      <c r="D88" s="110" t="s">
        <v>253</v>
      </c>
      <c r="E88" s="18">
        <v>3</v>
      </c>
      <c r="F88" s="18" t="s">
        <v>40</v>
      </c>
      <c r="G88" s="19">
        <v>1</v>
      </c>
      <c r="H88" s="19" t="s">
        <v>68</v>
      </c>
      <c r="I88" s="37">
        <f>+(321300*100)/119</f>
        <v>270000</v>
      </c>
      <c r="J88" s="37">
        <f t="shared" si="44"/>
        <v>810000</v>
      </c>
      <c r="K88" s="47">
        <f>+(261800*100)/119</f>
        <v>220000</v>
      </c>
      <c r="L88" s="37">
        <f t="shared" si="45"/>
        <v>660000</v>
      </c>
      <c r="M88" s="37">
        <f>+(232050*100)/119</f>
        <v>195000</v>
      </c>
      <c r="N88" s="37">
        <f t="shared" si="46"/>
        <v>585000</v>
      </c>
      <c r="O88" s="37">
        <f t="shared" si="36"/>
        <v>228333.33333333334</v>
      </c>
      <c r="P88" s="37">
        <f t="shared" si="37"/>
        <v>685000</v>
      </c>
      <c r="Q88" s="37">
        <f t="shared" si="38"/>
        <v>31180.478223116177</v>
      </c>
      <c r="R88" s="57">
        <f t="shared" si="39"/>
        <v>0.13655683893335552</v>
      </c>
      <c r="S88" s="37">
        <f t="shared" si="40"/>
        <v>220000</v>
      </c>
      <c r="T88" s="192">
        <f t="shared" si="41"/>
        <v>660000</v>
      </c>
      <c r="U88" s="56">
        <f t="shared" si="42"/>
        <v>0.14172944646870989</v>
      </c>
      <c r="V88" s="43" t="s">
        <v>83</v>
      </c>
      <c r="W88" s="20" t="s">
        <v>129</v>
      </c>
      <c r="X88" s="20" t="s">
        <v>84</v>
      </c>
    </row>
    <row r="89" spans="1:26" s="21" customFormat="1" ht="181.5">
      <c r="A89" s="173">
        <v>4</v>
      </c>
      <c r="B89" s="166">
        <v>80</v>
      </c>
      <c r="C89" s="110" t="s">
        <v>202</v>
      </c>
      <c r="D89" s="110" t="s">
        <v>474</v>
      </c>
      <c r="E89" s="18">
        <v>9</v>
      </c>
      <c r="F89" s="18" t="s">
        <v>40</v>
      </c>
      <c r="G89" s="19">
        <v>1</v>
      </c>
      <c r="H89" s="19" t="s">
        <v>68</v>
      </c>
      <c r="I89" s="37">
        <f>+(3630*100)/119</f>
        <v>3050.4201680672268</v>
      </c>
      <c r="J89" s="37">
        <f t="shared" si="44"/>
        <v>27453.781512605041</v>
      </c>
      <c r="K89" s="47">
        <f>+(3094*100)/119</f>
        <v>2600</v>
      </c>
      <c r="L89" s="37">
        <f t="shared" si="45"/>
        <v>23400</v>
      </c>
      <c r="M89" s="47">
        <f>+(3451*100)/119</f>
        <v>2900</v>
      </c>
      <c r="N89" s="37">
        <f t="shared" si="46"/>
        <v>26100</v>
      </c>
      <c r="O89" s="37">
        <f t="shared" si="36"/>
        <v>2850.1400560224088</v>
      </c>
      <c r="P89" s="37">
        <f t="shared" si="37"/>
        <v>25651.26050420168</v>
      </c>
      <c r="Q89" s="37">
        <f t="shared" si="38"/>
        <v>187.2326404245328</v>
      </c>
      <c r="R89" s="57">
        <f t="shared" si="39"/>
        <v>6.5692435018730427E-2</v>
      </c>
      <c r="S89" s="37">
        <f t="shared" si="40"/>
        <v>2900</v>
      </c>
      <c r="T89" s="192">
        <f t="shared" si="41"/>
        <v>26100</v>
      </c>
      <c r="U89" s="56">
        <f t="shared" si="42"/>
        <v>6.4562979456735448E-2</v>
      </c>
      <c r="V89" s="20" t="s">
        <v>62</v>
      </c>
      <c r="W89" s="20" t="s">
        <v>204</v>
      </c>
      <c r="X89" s="20" t="s">
        <v>205</v>
      </c>
    </row>
    <row r="90" spans="1:26" s="21" customFormat="1" ht="148.5">
      <c r="A90" s="173">
        <v>4</v>
      </c>
      <c r="B90" s="165">
        <v>81</v>
      </c>
      <c r="C90" s="110" t="s">
        <v>206</v>
      </c>
      <c r="D90" s="110" t="s">
        <v>475</v>
      </c>
      <c r="E90" s="18">
        <v>9</v>
      </c>
      <c r="F90" s="18" t="s">
        <v>40</v>
      </c>
      <c r="G90" s="19">
        <v>1</v>
      </c>
      <c r="H90" s="19" t="s">
        <v>68</v>
      </c>
      <c r="I90" s="37">
        <f>+(1500*100)/119</f>
        <v>1260.5042016806722</v>
      </c>
      <c r="J90" s="37">
        <f t="shared" si="44"/>
        <v>11344.53781512605</v>
      </c>
      <c r="K90" s="37">
        <f>+(1200*100)/119</f>
        <v>1008.4033613445379</v>
      </c>
      <c r="L90" s="37">
        <f t="shared" si="45"/>
        <v>9075.6302521008402</v>
      </c>
      <c r="M90" s="37">
        <f>+(1000*100)/119</f>
        <v>840.33613445378148</v>
      </c>
      <c r="N90" s="37">
        <f t="shared" si="46"/>
        <v>7563.0252100840335</v>
      </c>
      <c r="O90" s="37">
        <f t="shared" si="36"/>
        <v>1036.4145658263305</v>
      </c>
      <c r="P90" s="37">
        <f t="shared" si="37"/>
        <v>9327.731092436974</v>
      </c>
      <c r="Q90" s="37">
        <f t="shared" si="38"/>
        <v>172.67266114759019</v>
      </c>
      <c r="R90" s="57">
        <f t="shared" si="39"/>
        <v>0.16660578386402622</v>
      </c>
      <c r="S90" s="37">
        <f t="shared" si="40"/>
        <v>1008.4033613445379</v>
      </c>
      <c r="T90" s="192">
        <f t="shared" si="41"/>
        <v>9075.6302521008402</v>
      </c>
      <c r="U90" s="56">
        <f t="shared" si="42"/>
        <v>0.17123372230469361</v>
      </c>
      <c r="V90" s="20" t="s">
        <v>208</v>
      </c>
      <c r="W90" s="20" t="s">
        <v>209</v>
      </c>
      <c r="X90" s="20" t="s">
        <v>210</v>
      </c>
    </row>
    <row r="91" spans="1:26" s="21" customFormat="1" ht="33">
      <c r="A91" s="173">
        <v>4</v>
      </c>
      <c r="B91" s="166">
        <v>82</v>
      </c>
      <c r="C91" s="110" t="s">
        <v>254</v>
      </c>
      <c r="D91" s="110" t="s">
        <v>255</v>
      </c>
      <c r="E91" s="18">
        <v>30</v>
      </c>
      <c r="F91" s="18" t="s">
        <v>40</v>
      </c>
      <c r="G91" s="19">
        <v>1</v>
      </c>
      <c r="H91" s="19" t="s">
        <v>68</v>
      </c>
      <c r="I91" s="37">
        <v>15500</v>
      </c>
      <c r="J91" s="37">
        <f t="shared" si="44"/>
        <v>465000</v>
      </c>
      <c r="K91" s="37">
        <v>14000</v>
      </c>
      <c r="L91" s="37">
        <f t="shared" si="45"/>
        <v>420000</v>
      </c>
      <c r="M91" s="42">
        <v>16800</v>
      </c>
      <c r="N91" s="37">
        <f t="shared" si="46"/>
        <v>504000</v>
      </c>
      <c r="O91" s="37">
        <f t="shared" si="36"/>
        <v>15433.333333333334</v>
      </c>
      <c r="P91" s="37">
        <f t="shared" si="37"/>
        <v>463000</v>
      </c>
      <c r="Q91" s="37">
        <f t="shared" si="38"/>
        <v>1144.0668201153676</v>
      </c>
      <c r="R91" s="57">
        <f t="shared" si="39"/>
        <v>7.4129599575509783E-2</v>
      </c>
      <c r="S91" s="37">
        <f t="shared" si="40"/>
        <v>15500</v>
      </c>
      <c r="T91" s="192">
        <f t="shared" si="41"/>
        <v>465000</v>
      </c>
      <c r="U91" s="56">
        <f t="shared" si="42"/>
        <v>7.3810762588088233E-2</v>
      </c>
      <c r="V91" s="51" t="s">
        <v>256</v>
      </c>
      <c r="W91" s="51" t="s">
        <v>257</v>
      </c>
      <c r="X91" s="51" t="s">
        <v>258</v>
      </c>
    </row>
    <row r="92" spans="1:26" s="21" customFormat="1" ht="33">
      <c r="A92" s="173">
        <v>4</v>
      </c>
      <c r="B92" s="165">
        <v>83</v>
      </c>
      <c r="C92" s="110" t="s">
        <v>259</v>
      </c>
      <c r="D92" s="110" t="s">
        <v>260</v>
      </c>
      <c r="E92" s="18">
        <v>15</v>
      </c>
      <c r="F92" s="18" t="s">
        <v>40</v>
      </c>
      <c r="G92" s="19">
        <v>1</v>
      </c>
      <c r="H92" s="19" t="s">
        <v>68</v>
      </c>
      <c r="I92" s="37">
        <v>14900</v>
      </c>
      <c r="J92" s="37">
        <f t="shared" si="44"/>
        <v>223500</v>
      </c>
      <c r="K92" s="37">
        <f>+(27358*100)/119</f>
        <v>22989.915966386554</v>
      </c>
      <c r="L92" s="37">
        <f t="shared" si="45"/>
        <v>344848.73949579831</v>
      </c>
      <c r="M92" s="37">
        <v>19500</v>
      </c>
      <c r="N92" s="37">
        <f t="shared" si="46"/>
        <v>292500</v>
      </c>
      <c r="O92" s="37">
        <f t="shared" si="36"/>
        <v>19129.971988795518</v>
      </c>
      <c r="P92" s="37">
        <f t="shared" si="37"/>
        <v>286949.57983193279</v>
      </c>
      <c r="Q92" s="37">
        <f t="shared" si="38"/>
        <v>3313.0424720696301</v>
      </c>
      <c r="R92" s="57">
        <f t="shared" si="39"/>
        <v>0.17318595521258939</v>
      </c>
      <c r="S92" s="37">
        <f t="shared" si="40"/>
        <v>19500</v>
      </c>
      <c r="T92" s="192">
        <f t="shared" si="41"/>
        <v>292500</v>
      </c>
      <c r="U92" s="56">
        <f t="shared" si="42"/>
        <v>0.16989961395228872</v>
      </c>
      <c r="V92" s="43" t="s">
        <v>256</v>
      </c>
      <c r="W92" s="43" t="s">
        <v>161</v>
      </c>
      <c r="X92" s="43" t="s">
        <v>258</v>
      </c>
    </row>
    <row r="93" spans="1:26" s="21" customFormat="1" ht="49.5">
      <c r="A93" s="173">
        <v>4</v>
      </c>
      <c r="B93" s="166">
        <v>84</v>
      </c>
      <c r="C93" s="110" t="s">
        <v>261</v>
      </c>
      <c r="D93" s="110" t="s">
        <v>262</v>
      </c>
      <c r="E93" s="18">
        <v>3</v>
      </c>
      <c r="F93" s="18" t="s">
        <v>40</v>
      </c>
      <c r="G93" s="19">
        <v>1</v>
      </c>
      <c r="H93" s="19" t="s">
        <v>68</v>
      </c>
      <c r="I93" s="37">
        <f>+(3332*100)/119</f>
        <v>2800</v>
      </c>
      <c r="J93" s="37">
        <f t="shared" si="44"/>
        <v>8400</v>
      </c>
      <c r="K93" s="37">
        <f>+(3808*100)/119</f>
        <v>3200</v>
      </c>
      <c r="L93" s="37">
        <f t="shared" si="45"/>
        <v>9600</v>
      </c>
      <c r="M93" s="37">
        <f>+(4712*100)/119</f>
        <v>3959.6638655462184</v>
      </c>
      <c r="N93" s="37">
        <f t="shared" si="46"/>
        <v>11878.991596638654</v>
      </c>
      <c r="O93" s="37">
        <f t="shared" si="36"/>
        <v>3319.8879551820733</v>
      </c>
      <c r="P93" s="37">
        <f t="shared" si="37"/>
        <v>9959.6638655462193</v>
      </c>
      <c r="Q93" s="37">
        <f t="shared" si="38"/>
        <v>480.96078260893478</v>
      </c>
      <c r="R93" s="57">
        <f t="shared" si="39"/>
        <v>0.14487259482904968</v>
      </c>
      <c r="S93" s="37">
        <f t="shared" si="40"/>
        <v>3200</v>
      </c>
      <c r="T93" s="192">
        <f t="shared" si="41"/>
        <v>9600</v>
      </c>
      <c r="U93" s="56">
        <f t="shared" si="42"/>
        <v>0.15030024456529212</v>
      </c>
      <c r="V93" s="24" t="s">
        <v>427</v>
      </c>
      <c r="W93" s="24" t="s">
        <v>428</v>
      </c>
      <c r="X93" s="24" t="s">
        <v>429</v>
      </c>
    </row>
    <row r="94" spans="1:26" s="21" customFormat="1" ht="33">
      <c r="A94" s="173">
        <v>4</v>
      </c>
      <c r="B94" s="165">
        <v>85</v>
      </c>
      <c r="C94" s="110" t="s">
        <v>263</v>
      </c>
      <c r="D94" s="110" t="s">
        <v>264</v>
      </c>
      <c r="E94" s="18">
        <v>6</v>
      </c>
      <c r="F94" s="18" t="s">
        <v>40</v>
      </c>
      <c r="G94" s="19">
        <v>1</v>
      </c>
      <c r="H94" s="19" t="s">
        <v>68</v>
      </c>
      <c r="I94" s="37">
        <f>+(8092*100)/119</f>
        <v>6800</v>
      </c>
      <c r="J94" s="37">
        <f t="shared" si="44"/>
        <v>40800</v>
      </c>
      <c r="K94" s="37">
        <f>+(10115*100)/119</f>
        <v>8500</v>
      </c>
      <c r="L94" s="37">
        <f t="shared" si="45"/>
        <v>51000</v>
      </c>
      <c r="M94" s="37">
        <f>+(8925*100)/119</f>
        <v>7500</v>
      </c>
      <c r="N94" s="37">
        <f t="shared" si="46"/>
        <v>45000</v>
      </c>
      <c r="O94" s="37">
        <f t="shared" si="36"/>
        <v>7600</v>
      </c>
      <c r="P94" s="37">
        <f t="shared" si="37"/>
        <v>45600</v>
      </c>
      <c r="Q94" s="37">
        <f t="shared" si="38"/>
        <v>697.61498454854495</v>
      </c>
      <c r="R94" s="57">
        <f t="shared" si="39"/>
        <v>9.1791445335334856E-2</v>
      </c>
      <c r="S94" s="37">
        <f t="shared" si="40"/>
        <v>7500</v>
      </c>
      <c r="T94" s="192">
        <f t="shared" si="41"/>
        <v>45000</v>
      </c>
      <c r="U94" s="56">
        <f t="shared" si="42"/>
        <v>9.3015331273139323E-2</v>
      </c>
      <c r="V94" s="20" t="s">
        <v>265</v>
      </c>
      <c r="W94" s="20" t="s">
        <v>178</v>
      </c>
      <c r="X94" s="20" t="s">
        <v>266</v>
      </c>
    </row>
    <row r="95" spans="1:26" s="21" customFormat="1" ht="82.5">
      <c r="A95" s="173">
        <v>4</v>
      </c>
      <c r="B95" s="166">
        <v>86</v>
      </c>
      <c r="C95" s="110" t="s">
        <v>267</v>
      </c>
      <c r="D95" s="110" t="s">
        <v>268</v>
      </c>
      <c r="E95" s="18">
        <v>6</v>
      </c>
      <c r="F95" s="18" t="s">
        <v>40</v>
      </c>
      <c r="G95" s="19">
        <v>1</v>
      </c>
      <c r="H95" s="19" t="s">
        <v>68</v>
      </c>
      <c r="I95" s="37">
        <v>9205</v>
      </c>
      <c r="J95" s="37">
        <f t="shared" si="44"/>
        <v>55230</v>
      </c>
      <c r="K95" s="37">
        <f>+(11662*100)/119</f>
        <v>9800</v>
      </c>
      <c r="L95" s="37">
        <f t="shared" si="45"/>
        <v>58800</v>
      </c>
      <c r="M95" s="37">
        <f>+(11531*100)/119</f>
        <v>9689.9159663865539</v>
      </c>
      <c r="N95" s="37">
        <f t="shared" si="46"/>
        <v>58139.495798319324</v>
      </c>
      <c r="O95" s="37">
        <f t="shared" si="36"/>
        <v>9564.971988795518</v>
      </c>
      <c r="P95" s="37">
        <f t="shared" si="37"/>
        <v>57389.831932773108</v>
      </c>
      <c r="Q95" s="37">
        <f t="shared" si="38"/>
        <v>258.47565733507923</v>
      </c>
      <c r="R95" s="57">
        <f t="shared" si="39"/>
        <v>2.7023148383273847E-2</v>
      </c>
      <c r="S95" s="37">
        <f t="shared" si="40"/>
        <v>9689.9159663865539</v>
      </c>
      <c r="T95" s="192">
        <f t="shared" si="41"/>
        <v>58139.495798319324</v>
      </c>
      <c r="U95" s="56">
        <f t="shared" si="42"/>
        <v>2.6674705769555485E-2</v>
      </c>
      <c r="V95" s="20" t="s">
        <v>269</v>
      </c>
      <c r="W95" s="20" t="s">
        <v>235</v>
      </c>
      <c r="X95" s="20" t="s">
        <v>270</v>
      </c>
    </row>
    <row r="96" spans="1:26" s="21" customFormat="1" ht="33">
      <c r="A96" s="173">
        <v>4</v>
      </c>
      <c r="B96" s="165">
        <v>87</v>
      </c>
      <c r="C96" s="110" t="s">
        <v>271</v>
      </c>
      <c r="D96" s="110" t="s">
        <v>272</v>
      </c>
      <c r="E96" s="18">
        <v>9</v>
      </c>
      <c r="F96" s="18" t="s">
        <v>40</v>
      </c>
      <c r="G96" s="19">
        <v>1</v>
      </c>
      <c r="H96" s="19" t="s">
        <v>68</v>
      </c>
      <c r="I96" s="37">
        <f>+(1450*100)/119</f>
        <v>1218.4873949579833</v>
      </c>
      <c r="J96" s="37">
        <f t="shared" si="44"/>
        <v>10966.386554621849</v>
      </c>
      <c r="K96" s="37">
        <f>+(1450*100)/119</f>
        <v>1218.4873949579833</v>
      </c>
      <c r="L96" s="37">
        <f t="shared" si="45"/>
        <v>10966.386554621849</v>
      </c>
      <c r="M96" s="37">
        <f>+(1500*100)/119</f>
        <v>1260.5042016806722</v>
      </c>
      <c r="N96" s="37">
        <f t="shared" si="46"/>
        <v>11344.53781512605</v>
      </c>
      <c r="O96" s="37">
        <f t="shared" si="36"/>
        <v>1232.4929971988795</v>
      </c>
      <c r="P96" s="37">
        <f t="shared" si="37"/>
        <v>11092.436974789915</v>
      </c>
      <c r="Q96" s="37">
        <f t="shared" si="38"/>
        <v>19.806912638278558</v>
      </c>
      <c r="R96" s="57">
        <f t="shared" si="39"/>
        <v>1.6070608663330557E-2</v>
      </c>
      <c r="S96" s="37">
        <f t="shared" si="40"/>
        <v>1218.4873949579833</v>
      </c>
      <c r="T96" s="192">
        <f t="shared" si="41"/>
        <v>10966.386554621849</v>
      </c>
      <c r="U96" s="56">
        <f t="shared" si="42"/>
        <v>1.6255328303138954E-2</v>
      </c>
      <c r="V96" s="20" t="s">
        <v>273</v>
      </c>
      <c r="W96" s="20" t="s">
        <v>274</v>
      </c>
      <c r="X96" s="20" t="s">
        <v>275</v>
      </c>
    </row>
    <row r="97" spans="1:24" s="21" customFormat="1" ht="49.5">
      <c r="A97" s="173">
        <v>4</v>
      </c>
      <c r="B97" s="166">
        <v>88</v>
      </c>
      <c r="C97" s="110" t="s">
        <v>276</v>
      </c>
      <c r="D97" s="110" t="s">
        <v>277</v>
      </c>
      <c r="E97" s="18">
        <v>9</v>
      </c>
      <c r="F97" s="18" t="s">
        <v>40</v>
      </c>
      <c r="G97" s="19">
        <v>1</v>
      </c>
      <c r="H97" s="19" t="s">
        <v>68</v>
      </c>
      <c r="I97" s="37">
        <f>+(4300*100)/119</f>
        <v>3613.4453781512607</v>
      </c>
      <c r="J97" s="37">
        <f t="shared" si="44"/>
        <v>32521.008403361346</v>
      </c>
      <c r="K97" s="37">
        <f>+(3522*100)/119</f>
        <v>2959.6638655462184</v>
      </c>
      <c r="L97" s="37">
        <f t="shared" si="45"/>
        <v>26636.974789915967</v>
      </c>
      <c r="M97" s="37">
        <f>+(4400*100)/119</f>
        <v>3697.4789915966385</v>
      </c>
      <c r="N97" s="37">
        <f t="shared" si="46"/>
        <v>33277.310924369747</v>
      </c>
      <c r="O97" s="37">
        <f t="shared" si="36"/>
        <v>3423.5294117647063</v>
      </c>
      <c r="P97" s="37">
        <f t="shared" si="37"/>
        <v>30811.764705882357</v>
      </c>
      <c r="Q97" s="37">
        <f t="shared" si="38"/>
        <v>329.79169766546437</v>
      </c>
      <c r="R97" s="57">
        <f t="shared" si="39"/>
        <v>9.6330908252798858E-2</v>
      </c>
      <c r="S97" s="37">
        <f t="shared" si="40"/>
        <v>3613.4453781512607</v>
      </c>
      <c r="T97" s="192">
        <f t="shared" si="41"/>
        <v>32521.008403361346</v>
      </c>
      <c r="U97" s="56">
        <f t="shared" si="42"/>
        <v>9.1267934935326187E-2</v>
      </c>
      <c r="V97" s="20" t="s">
        <v>278</v>
      </c>
      <c r="W97" s="20" t="s">
        <v>279</v>
      </c>
      <c r="X97" s="20" t="s">
        <v>280</v>
      </c>
    </row>
    <row r="98" spans="1:24" s="21" customFormat="1" ht="49.5">
      <c r="A98" s="173">
        <v>4</v>
      </c>
      <c r="B98" s="165">
        <v>89</v>
      </c>
      <c r="C98" s="23" t="s">
        <v>281</v>
      </c>
      <c r="D98" s="110" t="s">
        <v>282</v>
      </c>
      <c r="E98" s="18">
        <v>3</v>
      </c>
      <c r="F98" s="18" t="s">
        <v>40</v>
      </c>
      <c r="G98" s="19">
        <v>1</v>
      </c>
      <c r="H98" s="19" t="s">
        <v>68</v>
      </c>
      <c r="I98" s="37">
        <f>+(290987*100)/119</f>
        <v>244526.89075630251</v>
      </c>
      <c r="J98" s="37">
        <f t="shared" si="44"/>
        <v>733580.67226890754</v>
      </c>
      <c r="K98" s="37">
        <f>+(198254*100)/119</f>
        <v>166600</v>
      </c>
      <c r="L98" s="37">
        <f t="shared" si="45"/>
        <v>499800</v>
      </c>
      <c r="M98" s="37">
        <f>+(208250*100)/119</f>
        <v>175000</v>
      </c>
      <c r="N98" s="37">
        <f t="shared" si="46"/>
        <v>525000</v>
      </c>
      <c r="O98" s="37">
        <f t="shared" si="36"/>
        <v>195375.63025210085</v>
      </c>
      <c r="P98" s="37">
        <f t="shared" si="37"/>
        <v>586126.89075630251</v>
      </c>
      <c r="Q98" s="37">
        <f t="shared" si="38"/>
        <v>34923.96318541107</v>
      </c>
      <c r="R98" s="57">
        <f t="shared" si="39"/>
        <v>0.17875291376077615</v>
      </c>
      <c r="S98" s="37">
        <f t="shared" si="40"/>
        <v>175000</v>
      </c>
      <c r="T98" s="192">
        <f t="shared" si="41"/>
        <v>525000</v>
      </c>
      <c r="U98" s="56">
        <f t="shared" si="42"/>
        <v>0.19956550391663469</v>
      </c>
      <c r="V98" s="24" t="s">
        <v>430</v>
      </c>
      <c r="W98" s="24" t="s">
        <v>431</v>
      </c>
      <c r="X98" s="24" t="s">
        <v>432</v>
      </c>
    </row>
    <row r="99" spans="1:24" s="21" customFormat="1" ht="49.5">
      <c r="A99" s="173">
        <v>4</v>
      </c>
      <c r="B99" s="166">
        <v>90</v>
      </c>
      <c r="C99" s="23" t="s">
        <v>283</v>
      </c>
      <c r="D99" s="24" t="s">
        <v>284</v>
      </c>
      <c r="E99" s="18">
        <v>9</v>
      </c>
      <c r="F99" s="18" t="s">
        <v>40</v>
      </c>
      <c r="G99" s="19">
        <v>1</v>
      </c>
      <c r="H99" s="19" t="s">
        <v>68</v>
      </c>
      <c r="I99" s="37">
        <f>+(4641*100)/119</f>
        <v>3900</v>
      </c>
      <c r="J99" s="37">
        <f t="shared" si="44"/>
        <v>35100</v>
      </c>
      <c r="K99" s="37">
        <f>+(5236*100)/119</f>
        <v>4400</v>
      </c>
      <c r="L99" s="37">
        <f t="shared" si="45"/>
        <v>39600</v>
      </c>
      <c r="M99" s="37">
        <f>+(5355*100)/119</f>
        <v>4500</v>
      </c>
      <c r="N99" s="37">
        <f t="shared" si="46"/>
        <v>40500</v>
      </c>
      <c r="O99" s="37">
        <f t="shared" si="36"/>
        <v>4266.666666666667</v>
      </c>
      <c r="P99" s="37">
        <f t="shared" si="37"/>
        <v>38400</v>
      </c>
      <c r="Q99" s="37">
        <f t="shared" si="38"/>
        <v>262.46692913372704</v>
      </c>
      <c r="R99" s="57">
        <f t="shared" si="39"/>
        <v>6.1515686515717267E-2</v>
      </c>
      <c r="S99" s="37">
        <f t="shared" si="40"/>
        <v>4400</v>
      </c>
      <c r="T99" s="192">
        <f t="shared" si="41"/>
        <v>39600</v>
      </c>
      <c r="U99" s="56">
        <f t="shared" si="42"/>
        <v>5.9651574803119778E-2</v>
      </c>
      <c r="V99" s="20" t="s">
        <v>285</v>
      </c>
      <c r="W99" s="20" t="s">
        <v>286</v>
      </c>
      <c r="X99" s="20" t="s">
        <v>287</v>
      </c>
    </row>
    <row r="100" spans="1:24" s="21" customFormat="1" ht="49.5">
      <c r="A100" s="173">
        <v>4</v>
      </c>
      <c r="B100" s="165">
        <v>91</v>
      </c>
      <c r="C100" s="23" t="s">
        <v>288</v>
      </c>
      <c r="D100" s="24" t="s">
        <v>289</v>
      </c>
      <c r="E100" s="18">
        <v>6</v>
      </c>
      <c r="F100" s="18" t="s">
        <v>40</v>
      </c>
      <c r="G100" s="19">
        <v>1</v>
      </c>
      <c r="H100" s="19" t="s">
        <v>68</v>
      </c>
      <c r="I100" s="37">
        <f>+(30464*100)/119</f>
        <v>25600</v>
      </c>
      <c r="J100" s="37">
        <f t="shared" si="44"/>
        <v>153600</v>
      </c>
      <c r="K100" s="37">
        <f>+(33308*100)/119</f>
        <v>27989.915966386554</v>
      </c>
      <c r="L100" s="37">
        <f t="shared" si="45"/>
        <v>167939.49579831932</v>
      </c>
      <c r="M100" s="37">
        <f>+(33915*100)/119</f>
        <v>28500</v>
      </c>
      <c r="N100" s="37">
        <f t="shared" si="46"/>
        <v>171000</v>
      </c>
      <c r="O100" s="37">
        <f t="shared" si="36"/>
        <v>27363.305322128854</v>
      </c>
      <c r="P100" s="37">
        <f t="shared" si="37"/>
        <v>164179.83193277312</v>
      </c>
      <c r="Q100" s="37">
        <f t="shared" si="38"/>
        <v>1264.1151515646006</v>
      </c>
      <c r="R100" s="57">
        <f t="shared" si="39"/>
        <v>4.6197458117104878E-2</v>
      </c>
      <c r="S100" s="37">
        <f t="shared" si="40"/>
        <v>27989.915966386554</v>
      </c>
      <c r="T100" s="192">
        <f t="shared" si="41"/>
        <v>167939.49579831932</v>
      </c>
      <c r="U100" s="56">
        <f t="shared" si="42"/>
        <v>4.516323496943301E-2</v>
      </c>
      <c r="V100" s="20" t="s">
        <v>290</v>
      </c>
      <c r="W100" s="20" t="s">
        <v>291</v>
      </c>
      <c r="X100" s="20" t="s">
        <v>265</v>
      </c>
    </row>
    <row r="101" spans="1:24" s="21" customFormat="1" ht="49.5">
      <c r="A101" s="173">
        <v>4</v>
      </c>
      <c r="B101" s="166">
        <v>92</v>
      </c>
      <c r="C101" s="23" t="s">
        <v>175</v>
      </c>
      <c r="D101" s="24" t="s">
        <v>176</v>
      </c>
      <c r="E101" s="18">
        <v>9</v>
      </c>
      <c r="F101" s="18" t="s">
        <v>40</v>
      </c>
      <c r="G101" s="19">
        <v>1</v>
      </c>
      <c r="H101" s="19" t="s">
        <v>68</v>
      </c>
      <c r="I101" s="37">
        <f>+(25585*100)/119</f>
        <v>21500</v>
      </c>
      <c r="J101" s="37">
        <f t="shared" si="44"/>
        <v>193500</v>
      </c>
      <c r="K101" s="37">
        <f>+(30821*100)/119</f>
        <v>25900</v>
      </c>
      <c r="L101" s="37">
        <f t="shared" si="45"/>
        <v>233100</v>
      </c>
      <c r="M101" s="37">
        <f>+(25585*100)/119</f>
        <v>21500</v>
      </c>
      <c r="N101" s="37">
        <f t="shared" si="46"/>
        <v>193500</v>
      </c>
      <c r="O101" s="37">
        <f t="shared" si="36"/>
        <v>22966.666666666668</v>
      </c>
      <c r="P101" s="37">
        <f t="shared" si="37"/>
        <v>206700</v>
      </c>
      <c r="Q101" s="37">
        <f t="shared" si="38"/>
        <v>2074.1798914805395</v>
      </c>
      <c r="R101" s="57">
        <f t="shared" si="39"/>
        <v>9.03126222705605E-2</v>
      </c>
      <c r="S101" s="37">
        <f t="shared" si="40"/>
        <v>21500</v>
      </c>
      <c r="T101" s="192">
        <f t="shared" si="41"/>
        <v>193500</v>
      </c>
      <c r="U101" s="56">
        <f t="shared" si="42"/>
        <v>9.6473483324676257E-2</v>
      </c>
      <c r="V101" s="20" t="s">
        <v>177</v>
      </c>
      <c r="W101" s="20" t="s">
        <v>178</v>
      </c>
      <c r="X101" s="20" t="s">
        <v>179</v>
      </c>
    </row>
    <row r="102" spans="1:24" s="21" customFormat="1" ht="49.5">
      <c r="A102" s="173">
        <v>4</v>
      </c>
      <c r="B102" s="165">
        <v>93</v>
      </c>
      <c r="C102" s="23" t="s">
        <v>292</v>
      </c>
      <c r="D102" s="24" t="s">
        <v>293</v>
      </c>
      <c r="E102" s="18">
        <v>9</v>
      </c>
      <c r="F102" s="18" t="s">
        <v>40</v>
      </c>
      <c r="G102" s="19">
        <v>1</v>
      </c>
      <c r="H102" s="19" t="s">
        <v>68</v>
      </c>
      <c r="I102" s="37">
        <f>+(11781*100)/119</f>
        <v>9900</v>
      </c>
      <c r="J102" s="37">
        <f t="shared" si="44"/>
        <v>89100</v>
      </c>
      <c r="K102" s="37">
        <f>+(11305*100)/119</f>
        <v>9500</v>
      </c>
      <c r="L102" s="37">
        <f t="shared" si="45"/>
        <v>85500</v>
      </c>
      <c r="M102" s="37">
        <f>+(11305*100)/119</f>
        <v>9500</v>
      </c>
      <c r="N102" s="37">
        <f t="shared" si="46"/>
        <v>85500</v>
      </c>
      <c r="O102" s="37">
        <f t="shared" si="36"/>
        <v>9633.3333333333339</v>
      </c>
      <c r="P102" s="37">
        <f t="shared" si="37"/>
        <v>86700</v>
      </c>
      <c r="Q102" s="37">
        <f t="shared" si="38"/>
        <v>188.56180831641268</v>
      </c>
      <c r="R102" s="57">
        <f t="shared" si="39"/>
        <v>1.9573890136651836E-2</v>
      </c>
      <c r="S102" s="37">
        <f t="shared" si="40"/>
        <v>9500</v>
      </c>
      <c r="T102" s="192">
        <f t="shared" si="41"/>
        <v>85500</v>
      </c>
      <c r="U102" s="56">
        <f t="shared" si="42"/>
        <v>1.984861140172765E-2</v>
      </c>
      <c r="V102" s="20" t="s">
        <v>294</v>
      </c>
      <c r="W102" s="20" t="s">
        <v>235</v>
      </c>
      <c r="X102" s="20" t="s">
        <v>273</v>
      </c>
    </row>
    <row r="103" spans="1:24" s="21" customFormat="1" ht="82.5">
      <c r="A103" s="173">
        <v>4</v>
      </c>
      <c r="B103" s="166">
        <v>94</v>
      </c>
      <c r="C103" s="23" t="s">
        <v>295</v>
      </c>
      <c r="D103" s="24" t="s">
        <v>296</v>
      </c>
      <c r="E103" s="18">
        <v>6</v>
      </c>
      <c r="F103" s="18" t="s">
        <v>40</v>
      </c>
      <c r="G103" s="19">
        <v>1</v>
      </c>
      <c r="H103" s="19" t="s">
        <v>68</v>
      </c>
      <c r="I103" s="37">
        <f>+(59381*100)/119</f>
        <v>49900</v>
      </c>
      <c r="J103" s="37">
        <f t="shared" si="44"/>
        <v>299400</v>
      </c>
      <c r="K103" s="37">
        <f>+(59381*100)/119</f>
        <v>49900</v>
      </c>
      <c r="L103" s="37">
        <f t="shared" si="45"/>
        <v>299400</v>
      </c>
      <c r="M103" s="37">
        <f>+(59976*100)/119</f>
        <v>50400</v>
      </c>
      <c r="N103" s="37">
        <f t="shared" si="46"/>
        <v>302400</v>
      </c>
      <c r="O103" s="37">
        <f t="shared" si="36"/>
        <v>50066.666666666664</v>
      </c>
      <c r="P103" s="37">
        <f t="shared" si="37"/>
        <v>300400</v>
      </c>
      <c r="Q103" s="37">
        <f t="shared" si="38"/>
        <v>235.70226039551585</v>
      </c>
      <c r="R103" s="57">
        <f t="shared" si="39"/>
        <v>4.7077681836654303E-3</v>
      </c>
      <c r="S103" s="37">
        <f t="shared" si="40"/>
        <v>49900</v>
      </c>
      <c r="T103" s="192">
        <f t="shared" si="41"/>
        <v>299400</v>
      </c>
      <c r="U103" s="56">
        <f t="shared" si="42"/>
        <v>4.7234921922949067E-3</v>
      </c>
      <c r="V103" s="20" t="s">
        <v>247</v>
      </c>
      <c r="W103" s="20" t="s">
        <v>138</v>
      </c>
      <c r="X103" s="20" t="s">
        <v>297</v>
      </c>
    </row>
    <row r="104" spans="1:24" s="21" customFormat="1" ht="82.5">
      <c r="A104" s="173">
        <v>4</v>
      </c>
      <c r="B104" s="165">
        <v>95</v>
      </c>
      <c r="C104" s="23" t="s">
        <v>298</v>
      </c>
      <c r="D104" s="24" t="s">
        <v>299</v>
      </c>
      <c r="E104" s="18">
        <v>6</v>
      </c>
      <c r="F104" s="18" t="s">
        <v>40</v>
      </c>
      <c r="G104" s="19">
        <v>1</v>
      </c>
      <c r="H104" s="19" t="s">
        <v>68</v>
      </c>
      <c r="I104" s="37">
        <f>+(7913*100)/119</f>
        <v>6649.5798319327732</v>
      </c>
      <c r="J104" s="37">
        <f t="shared" si="44"/>
        <v>39897.478991596639</v>
      </c>
      <c r="K104" s="37">
        <f>+(7913*100)/119</f>
        <v>6649.5798319327732</v>
      </c>
      <c r="L104" s="37">
        <f t="shared" si="45"/>
        <v>39897.478991596639</v>
      </c>
      <c r="M104" s="37">
        <f>+(6783*100)/119</f>
        <v>5700</v>
      </c>
      <c r="N104" s="37">
        <f t="shared" si="46"/>
        <v>34200</v>
      </c>
      <c r="O104" s="37">
        <f t="shared" si="36"/>
        <v>6333.0532212885155</v>
      </c>
      <c r="P104" s="37">
        <f t="shared" si="37"/>
        <v>37998.319327731093</v>
      </c>
      <c r="Q104" s="37">
        <f t="shared" si="38"/>
        <v>447.63622562509738</v>
      </c>
      <c r="R104" s="57">
        <f t="shared" si="39"/>
        <v>7.0682530208394781E-2</v>
      </c>
      <c r="S104" s="37">
        <f t="shared" si="40"/>
        <v>6649.5798319327732</v>
      </c>
      <c r="T104" s="192">
        <f t="shared" si="41"/>
        <v>39897.478991596639</v>
      </c>
      <c r="U104" s="56">
        <f t="shared" si="42"/>
        <v>6.7317971501815482E-2</v>
      </c>
      <c r="V104" s="20" t="s">
        <v>300</v>
      </c>
      <c r="W104" s="20" t="s">
        <v>301</v>
      </c>
      <c r="X104" s="20" t="s">
        <v>302</v>
      </c>
    </row>
    <row r="105" spans="1:24" s="21" customFormat="1" ht="82.5">
      <c r="A105" s="173">
        <v>4</v>
      </c>
      <c r="B105" s="166">
        <v>96</v>
      </c>
      <c r="C105" s="23" t="s">
        <v>303</v>
      </c>
      <c r="D105" s="24" t="s">
        <v>304</v>
      </c>
      <c r="E105" s="18">
        <v>6</v>
      </c>
      <c r="F105" s="18" t="s">
        <v>40</v>
      </c>
      <c r="G105" s="19">
        <v>1</v>
      </c>
      <c r="H105" s="19" t="s">
        <v>68</v>
      </c>
      <c r="I105" s="37">
        <f>+(17017*100)/119</f>
        <v>14300</v>
      </c>
      <c r="J105" s="37">
        <f t="shared" si="44"/>
        <v>85800</v>
      </c>
      <c r="K105" s="37">
        <f>+(18386*100)/119</f>
        <v>15450.420168067227</v>
      </c>
      <c r="L105" s="37">
        <f t="shared" si="45"/>
        <v>92702.521008403361</v>
      </c>
      <c r="M105" s="37">
        <f>+(22491*100)/119</f>
        <v>18900</v>
      </c>
      <c r="N105" s="37">
        <f t="shared" si="46"/>
        <v>113400</v>
      </c>
      <c r="O105" s="37">
        <f t="shared" si="36"/>
        <v>16216.806722689076</v>
      </c>
      <c r="P105" s="37">
        <f t="shared" si="37"/>
        <v>97300.840336134454</v>
      </c>
      <c r="Q105" s="37">
        <f t="shared" si="38"/>
        <v>1954.5692216494135</v>
      </c>
      <c r="R105" s="57">
        <f t="shared" si="39"/>
        <v>0.12052737971617794</v>
      </c>
      <c r="S105" s="37">
        <f t="shared" si="40"/>
        <v>15450.420168067227</v>
      </c>
      <c r="T105" s="192">
        <f t="shared" si="41"/>
        <v>92702.521008403361</v>
      </c>
      <c r="U105" s="56">
        <f t="shared" si="42"/>
        <v>0.12650589436325477</v>
      </c>
      <c r="V105" s="20" t="s">
        <v>481</v>
      </c>
      <c r="W105" s="20" t="s">
        <v>305</v>
      </c>
      <c r="X105" s="20" t="s">
        <v>480</v>
      </c>
    </row>
    <row r="106" spans="1:24" s="21" customFormat="1" ht="49.5">
      <c r="A106" s="173">
        <v>4</v>
      </c>
      <c r="B106" s="165">
        <v>97</v>
      </c>
      <c r="C106" s="23" t="s">
        <v>306</v>
      </c>
      <c r="D106" s="24" t="s">
        <v>307</v>
      </c>
      <c r="E106" s="18">
        <v>6</v>
      </c>
      <c r="F106" s="18" t="s">
        <v>40</v>
      </c>
      <c r="G106" s="19">
        <v>1</v>
      </c>
      <c r="H106" s="19" t="s">
        <v>68</v>
      </c>
      <c r="I106" s="37">
        <f>+(4641*100)/119</f>
        <v>3900</v>
      </c>
      <c r="J106" s="37">
        <f t="shared" si="44"/>
        <v>23400</v>
      </c>
      <c r="K106" s="37">
        <f>+(2975*100)/119</f>
        <v>2500</v>
      </c>
      <c r="L106" s="37">
        <f t="shared" si="45"/>
        <v>15000</v>
      </c>
      <c r="M106" s="37">
        <f>+(3570*100)/119</f>
        <v>3000</v>
      </c>
      <c r="N106" s="37">
        <f t="shared" si="46"/>
        <v>18000</v>
      </c>
      <c r="O106" s="37">
        <f t="shared" si="36"/>
        <v>3133.3333333333335</v>
      </c>
      <c r="P106" s="37">
        <f t="shared" si="37"/>
        <v>18800</v>
      </c>
      <c r="Q106" s="37">
        <f t="shared" si="38"/>
        <v>579.2715732327589</v>
      </c>
      <c r="R106" s="57">
        <f t="shared" si="39"/>
        <v>0.1848739063508805</v>
      </c>
      <c r="S106" s="37">
        <f t="shared" si="40"/>
        <v>3000</v>
      </c>
      <c r="T106" s="192">
        <f t="shared" si="41"/>
        <v>18000</v>
      </c>
      <c r="U106" s="56">
        <f t="shared" si="42"/>
        <v>0.19309052441091965</v>
      </c>
      <c r="V106" s="20" t="s">
        <v>178</v>
      </c>
      <c r="W106" s="20" t="s">
        <v>479</v>
      </c>
      <c r="X106" s="20" t="s">
        <v>308</v>
      </c>
    </row>
    <row r="107" spans="1:24" s="21" customFormat="1" ht="33">
      <c r="A107" s="173">
        <v>4</v>
      </c>
      <c r="B107" s="166">
        <v>98</v>
      </c>
      <c r="C107" s="23" t="s">
        <v>309</v>
      </c>
      <c r="D107" s="24" t="s">
        <v>310</v>
      </c>
      <c r="E107" s="18">
        <v>9</v>
      </c>
      <c r="F107" s="18" t="s">
        <v>40</v>
      </c>
      <c r="G107" s="19">
        <v>1</v>
      </c>
      <c r="H107" s="19" t="s">
        <v>68</v>
      </c>
      <c r="I107" s="37">
        <f>+(29631*100)/119</f>
        <v>24900</v>
      </c>
      <c r="J107" s="37">
        <f t="shared" si="44"/>
        <v>224100</v>
      </c>
      <c r="K107" s="37">
        <f>+(23205*100)/119</f>
        <v>19500</v>
      </c>
      <c r="L107" s="37">
        <f t="shared" si="45"/>
        <v>175500</v>
      </c>
      <c r="M107" s="37">
        <f>+(14875 *100)/119</f>
        <v>12500</v>
      </c>
      <c r="N107" s="37">
        <f t="shared" si="46"/>
        <v>112500</v>
      </c>
      <c r="O107" s="37">
        <f t="shared" si="36"/>
        <v>18966.666666666668</v>
      </c>
      <c r="P107" s="37">
        <f t="shared" si="37"/>
        <v>170700</v>
      </c>
      <c r="Q107" s="37">
        <f t="shared" si="38"/>
        <v>5076.3066188803932</v>
      </c>
      <c r="R107" s="57">
        <f t="shared" si="39"/>
        <v>0.26764358271777117</v>
      </c>
      <c r="S107" s="37">
        <f t="shared" si="40"/>
        <v>19500</v>
      </c>
      <c r="T107" s="192">
        <f t="shared" si="41"/>
        <v>175500</v>
      </c>
      <c r="U107" s="56">
        <f t="shared" si="42"/>
        <v>0.26032341635284068</v>
      </c>
      <c r="V107" s="20" t="s">
        <v>247</v>
      </c>
      <c r="W107" s="20" t="s">
        <v>235</v>
      </c>
      <c r="X107" s="20" t="s">
        <v>482</v>
      </c>
    </row>
    <row r="108" spans="1:24" s="21" customFormat="1" ht="33">
      <c r="A108" s="173">
        <v>4</v>
      </c>
      <c r="B108" s="165">
        <v>99</v>
      </c>
      <c r="C108" s="23" t="s">
        <v>311</v>
      </c>
      <c r="D108" s="24" t="s">
        <v>312</v>
      </c>
      <c r="E108" s="18">
        <v>6</v>
      </c>
      <c r="F108" s="18" t="s">
        <v>40</v>
      </c>
      <c r="G108" s="19">
        <v>1</v>
      </c>
      <c r="H108" s="19" t="s">
        <v>68</v>
      </c>
      <c r="I108" s="37">
        <f>+(7140*100)/119</f>
        <v>6000</v>
      </c>
      <c r="J108" s="37">
        <f t="shared" si="44"/>
        <v>36000</v>
      </c>
      <c r="K108" s="37">
        <f>+(7140*100)/119</f>
        <v>6000</v>
      </c>
      <c r="L108" s="37">
        <f t="shared" si="45"/>
        <v>36000</v>
      </c>
      <c r="M108" s="37">
        <f>+(9496*100)/119</f>
        <v>7979.8319327731097</v>
      </c>
      <c r="N108" s="37">
        <f t="shared" si="46"/>
        <v>47878.991596638662</v>
      </c>
      <c r="O108" s="37">
        <f t="shared" si="36"/>
        <v>6659.9439775910359</v>
      </c>
      <c r="P108" s="37">
        <f t="shared" si="37"/>
        <v>39959.663865546216</v>
      </c>
      <c r="Q108" s="37">
        <f t="shared" si="38"/>
        <v>933.3017235156957</v>
      </c>
      <c r="R108" s="57">
        <f t="shared" si="39"/>
        <v>0.14013657271833083</v>
      </c>
      <c r="S108" s="37">
        <f t="shared" si="40"/>
        <v>6000</v>
      </c>
      <c r="T108" s="192">
        <f t="shared" si="41"/>
        <v>36000</v>
      </c>
      <c r="U108" s="56">
        <f t="shared" si="42"/>
        <v>0.15555028725261594</v>
      </c>
      <c r="V108" s="20" t="s">
        <v>313</v>
      </c>
      <c r="W108" s="20" t="s">
        <v>314</v>
      </c>
      <c r="X108" s="20" t="s">
        <v>315</v>
      </c>
    </row>
    <row r="109" spans="1:24" s="21" customFormat="1" ht="33">
      <c r="A109" s="173">
        <v>4</v>
      </c>
      <c r="B109" s="166">
        <v>100</v>
      </c>
      <c r="C109" s="23" t="s">
        <v>316</v>
      </c>
      <c r="D109" s="24" t="s">
        <v>317</v>
      </c>
      <c r="E109" s="18">
        <v>3</v>
      </c>
      <c r="F109" s="18" t="s">
        <v>40</v>
      </c>
      <c r="G109" s="19">
        <v>1</v>
      </c>
      <c r="H109" s="19" t="s">
        <v>68</v>
      </c>
      <c r="I109" s="37">
        <f>+(19040*100)/119</f>
        <v>16000</v>
      </c>
      <c r="J109" s="37">
        <f t="shared" si="44"/>
        <v>48000</v>
      </c>
      <c r="K109" s="37">
        <f>+(12499*100)/119</f>
        <v>10503.361344537816</v>
      </c>
      <c r="L109" s="37">
        <f t="shared" si="45"/>
        <v>31510.08403361345</v>
      </c>
      <c r="M109" s="37">
        <f>+(25704*100)/119</f>
        <v>21600</v>
      </c>
      <c r="N109" s="37">
        <f t="shared" si="46"/>
        <v>64800</v>
      </c>
      <c r="O109" s="37">
        <f t="shared" si="36"/>
        <v>16034.453781512604</v>
      </c>
      <c r="P109" s="37">
        <f t="shared" si="37"/>
        <v>48103.361344537814</v>
      </c>
      <c r="Q109" s="37">
        <f t="shared" si="38"/>
        <v>4530.2492690630797</v>
      </c>
      <c r="R109" s="57">
        <f t="shared" si="39"/>
        <v>0.28253218542975028</v>
      </c>
      <c r="S109" s="37">
        <f t="shared" si="40"/>
        <v>16000</v>
      </c>
      <c r="T109" s="192">
        <f t="shared" si="41"/>
        <v>48000</v>
      </c>
      <c r="U109" s="56">
        <f t="shared" si="42"/>
        <v>0.28314057931644249</v>
      </c>
      <c r="V109" s="20" t="s">
        <v>484</v>
      </c>
      <c r="W109" s="20" t="s">
        <v>319</v>
      </c>
      <c r="X109" s="20" t="s">
        <v>483</v>
      </c>
    </row>
    <row r="110" spans="1:24" s="21" customFormat="1" ht="49.5">
      <c r="A110" s="173">
        <v>4</v>
      </c>
      <c r="B110" s="165">
        <v>101</v>
      </c>
      <c r="C110" s="23" t="s">
        <v>122</v>
      </c>
      <c r="D110" s="24" t="s">
        <v>123</v>
      </c>
      <c r="E110" s="18">
        <v>3000</v>
      </c>
      <c r="F110" s="18" t="s">
        <v>40</v>
      </c>
      <c r="G110" s="19">
        <v>1</v>
      </c>
      <c r="H110" s="19" t="s">
        <v>68</v>
      </c>
      <c r="I110" s="37">
        <f>+(130*100)/119</f>
        <v>109.24369747899159</v>
      </c>
      <c r="J110" s="37">
        <f t="shared" si="44"/>
        <v>327731.09243697475</v>
      </c>
      <c r="K110" s="37">
        <f>+(160*100)/119</f>
        <v>134.45378151260505</v>
      </c>
      <c r="L110" s="37">
        <f t="shared" si="45"/>
        <v>403361.34453781514</v>
      </c>
      <c r="M110" s="37">
        <f>+(163*100)/119</f>
        <v>136.9747899159664</v>
      </c>
      <c r="N110" s="37">
        <f t="shared" si="46"/>
        <v>410924.36974789918</v>
      </c>
      <c r="O110" s="37">
        <f t="shared" si="36"/>
        <v>126.89075630252103</v>
      </c>
      <c r="P110" s="37">
        <f t="shared" si="37"/>
        <v>380672.26890756306</v>
      </c>
      <c r="Q110" s="37">
        <f t="shared" si="38"/>
        <v>12.52072640819441</v>
      </c>
      <c r="R110" s="57">
        <f t="shared" si="39"/>
        <v>9.8673274342724146E-2</v>
      </c>
      <c r="S110" s="37">
        <f t="shared" si="40"/>
        <v>134.45378151260505</v>
      </c>
      <c r="T110" s="192">
        <f t="shared" si="41"/>
        <v>403361.34453781514</v>
      </c>
      <c r="U110" s="56">
        <f t="shared" si="42"/>
        <v>9.3122902660945917E-2</v>
      </c>
      <c r="V110" s="20" t="s">
        <v>124</v>
      </c>
      <c r="W110" s="20" t="s">
        <v>125</v>
      </c>
      <c r="X110" s="20" t="s">
        <v>126</v>
      </c>
    </row>
    <row r="111" spans="1:24" s="21" customFormat="1" ht="49.5">
      <c r="A111" s="173">
        <v>4</v>
      </c>
      <c r="B111" s="166">
        <v>102</v>
      </c>
      <c r="C111" s="23" t="s">
        <v>122</v>
      </c>
      <c r="D111" s="24" t="s">
        <v>320</v>
      </c>
      <c r="E111" s="18">
        <v>800</v>
      </c>
      <c r="F111" s="18" t="s">
        <v>40</v>
      </c>
      <c r="G111" s="19">
        <v>1</v>
      </c>
      <c r="H111" s="19" t="s">
        <v>68</v>
      </c>
      <c r="I111" s="37">
        <f>+(130*100)/119</f>
        <v>109.24369747899159</v>
      </c>
      <c r="J111" s="37">
        <f t="shared" si="44"/>
        <v>87394.957983193279</v>
      </c>
      <c r="K111" s="37">
        <f>+(160*100)/119</f>
        <v>134.45378151260505</v>
      </c>
      <c r="L111" s="37">
        <f t="shared" si="45"/>
        <v>107563.02521008404</v>
      </c>
      <c r="M111" s="37">
        <f>+(163*100)/119</f>
        <v>136.9747899159664</v>
      </c>
      <c r="N111" s="37">
        <f t="shared" si="46"/>
        <v>109579.83193277312</v>
      </c>
      <c r="O111" s="37">
        <f t="shared" si="36"/>
        <v>126.89075630252103</v>
      </c>
      <c r="P111" s="37">
        <f t="shared" si="37"/>
        <v>101512.60504201682</v>
      </c>
      <c r="Q111" s="37">
        <f t="shared" si="38"/>
        <v>12.52072640819441</v>
      </c>
      <c r="R111" s="57">
        <f t="shared" si="39"/>
        <v>9.8673274342724146E-2</v>
      </c>
      <c r="S111" s="37">
        <f t="shared" si="40"/>
        <v>134.45378151260505</v>
      </c>
      <c r="T111" s="192">
        <f t="shared" si="41"/>
        <v>107563.02521008404</v>
      </c>
      <c r="U111" s="56">
        <f t="shared" si="42"/>
        <v>9.3122902660945917E-2</v>
      </c>
      <c r="V111" s="20" t="s">
        <v>124</v>
      </c>
      <c r="W111" s="20" t="s">
        <v>125</v>
      </c>
      <c r="X111" s="20" t="s">
        <v>126</v>
      </c>
    </row>
    <row r="112" spans="1:24" s="21" customFormat="1" ht="66">
      <c r="A112" s="173">
        <v>4</v>
      </c>
      <c r="B112" s="165">
        <v>103</v>
      </c>
      <c r="C112" s="23" t="s">
        <v>321</v>
      </c>
      <c r="D112" s="24" t="s">
        <v>322</v>
      </c>
      <c r="E112" s="18">
        <v>10</v>
      </c>
      <c r="F112" s="18" t="s">
        <v>40</v>
      </c>
      <c r="G112" s="19">
        <v>4</v>
      </c>
      <c r="H112" s="19" t="s">
        <v>55</v>
      </c>
      <c r="I112" s="37">
        <f>+(304640*100)/119</f>
        <v>256000</v>
      </c>
      <c r="J112" s="37">
        <f t="shared" si="44"/>
        <v>10240000</v>
      </c>
      <c r="K112" s="37">
        <f>+(333200*100)/119</f>
        <v>280000</v>
      </c>
      <c r="L112" s="37">
        <f t="shared" si="45"/>
        <v>11200000</v>
      </c>
      <c r="M112" s="99">
        <f>+(309400*100)/119</f>
        <v>260000</v>
      </c>
      <c r="N112" s="37">
        <f t="shared" si="46"/>
        <v>10400000</v>
      </c>
      <c r="O112" s="37">
        <f t="shared" si="36"/>
        <v>265333.33333333331</v>
      </c>
      <c r="P112" s="37">
        <f t="shared" si="37"/>
        <v>10613333.333333332</v>
      </c>
      <c r="Q112" s="37">
        <f t="shared" si="38"/>
        <v>10498.677165349081</v>
      </c>
      <c r="R112" s="57">
        <f t="shared" si="39"/>
        <v>3.9567878763878447E-2</v>
      </c>
      <c r="S112" s="37">
        <f t="shared" si="40"/>
        <v>260000</v>
      </c>
      <c r="T112" s="192">
        <f t="shared" si="41"/>
        <v>10400000</v>
      </c>
      <c r="U112" s="56">
        <f t="shared" si="42"/>
        <v>4.0379527559034928E-2</v>
      </c>
      <c r="V112" s="20" t="s">
        <v>323</v>
      </c>
      <c r="W112" s="20" t="s">
        <v>59</v>
      </c>
      <c r="X112" s="105" t="s">
        <v>461</v>
      </c>
    </row>
    <row r="113" spans="1:24" s="197" customFormat="1" ht="49.5">
      <c r="A113" s="186">
        <v>4</v>
      </c>
      <c r="B113" s="198">
        <v>104</v>
      </c>
      <c r="C113" s="188" t="s">
        <v>324</v>
      </c>
      <c r="D113" s="189" t="s">
        <v>325</v>
      </c>
      <c r="E113" s="190">
        <v>20</v>
      </c>
      <c r="F113" s="190" t="s">
        <v>40</v>
      </c>
      <c r="G113" s="191">
        <v>4</v>
      </c>
      <c r="H113" s="191" t="s">
        <v>52</v>
      </c>
      <c r="I113" s="192">
        <v>18000</v>
      </c>
      <c r="J113" s="192">
        <f t="shared" si="44"/>
        <v>1440000</v>
      </c>
      <c r="K113" s="192">
        <f>+(47600*100)/119</f>
        <v>40000</v>
      </c>
      <c r="L113" s="192">
        <f t="shared" si="45"/>
        <v>3200000</v>
      </c>
      <c r="M113" s="192">
        <v>29500</v>
      </c>
      <c r="N113" s="192">
        <f t="shared" si="46"/>
        <v>2360000</v>
      </c>
      <c r="O113" s="192">
        <f t="shared" si="36"/>
        <v>29166.666666666668</v>
      </c>
      <c r="P113" s="192">
        <f t="shared" si="37"/>
        <v>2333333.3333333335</v>
      </c>
      <c r="Q113" s="192">
        <f t="shared" si="38"/>
        <v>8984.5546479623699</v>
      </c>
      <c r="R113" s="193">
        <f t="shared" si="39"/>
        <v>0.30804187364442409</v>
      </c>
      <c r="S113" s="192">
        <f t="shared" si="40"/>
        <v>29500</v>
      </c>
      <c r="T113" s="192">
        <f t="shared" si="41"/>
        <v>2360000</v>
      </c>
      <c r="U113" s="194">
        <f t="shared" si="42"/>
        <v>0.304561174507199</v>
      </c>
      <c r="V113" s="196" t="s">
        <v>326</v>
      </c>
      <c r="W113" s="196" t="s">
        <v>327</v>
      </c>
      <c r="X113" s="196" t="s">
        <v>328</v>
      </c>
    </row>
    <row r="114" spans="1:24" s="21" customFormat="1" ht="16.5">
      <c r="A114" s="173">
        <v>4</v>
      </c>
      <c r="B114" s="165">
        <v>105</v>
      </c>
      <c r="C114" s="23" t="s">
        <v>329</v>
      </c>
      <c r="D114" s="29" t="s">
        <v>330</v>
      </c>
      <c r="E114" s="18">
        <v>60</v>
      </c>
      <c r="F114" s="18" t="s">
        <v>40</v>
      </c>
      <c r="G114" s="19">
        <v>4</v>
      </c>
      <c r="H114" s="19" t="s">
        <v>55</v>
      </c>
      <c r="I114" s="46">
        <f>+(2142*100)/119</f>
        <v>1800</v>
      </c>
      <c r="J114" s="37">
        <f t="shared" si="44"/>
        <v>432000</v>
      </c>
      <c r="K114" s="37">
        <f>+(1700*100)/119</f>
        <v>1428.5714285714287</v>
      </c>
      <c r="L114" s="37">
        <f t="shared" si="45"/>
        <v>342857.1428571429</v>
      </c>
      <c r="M114" s="37">
        <f>+(2975*100)/119</f>
        <v>2500</v>
      </c>
      <c r="N114" s="37">
        <f t="shared" si="46"/>
        <v>600000</v>
      </c>
      <c r="O114" s="37">
        <f t="shared" si="36"/>
        <v>1909.5238095238094</v>
      </c>
      <c r="P114" s="37">
        <f t="shared" si="37"/>
        <v>458285.71428571426</v>
      </c>
      <c r="Q114" s="37">
        <f t="shared" si="38"/>
        <v>444.21195733405148</v>
      </c>
      <c r="R114" s="57">
        <f t="shared" si="39"/>
        <v>0.23262970334202199</v>
      </c>
      <c r="S114" s="37">
        <f t="shared" si="40"/>
        <v>1800</v>
      </c>
      <c r="T114" s="192">
        <f t="shared" si="41"/>
        <v>432000</v>
      </c>
      <c r="U114" s="56">
        <f t="shared" si="42"/>
        <v>0.24678442074113971</v>
      </c>
      <c r="V114" s="20" t="s">
        <v>331</v>
      </c>
      <c r="W114" s="20" t="s">
        <v>332</v>
      </c>
      <c r="X114" s="20" t="s">
        <v>333</v>
      </c>
    </row>
    <row r="115" spans="1:24" s="21" customFormat="1" ht="181.5">
      <c r="A115" s="173">
        <v>4</v>
      </c>
      <c r="B115" s="166">
        <v>106</v>
      </c>
      <c r="C115" s="23" t="s">
        <v>334</v>
      </c>
      <c r="D115" s="22" t="s">
        <v>335</v>
      </c>
      <c r="E115" s="18">
        <v>1</v>
      </c>
      <c r="F115" s="18" t="s">
        <v>40</v>
      </c>
      <c r="G115" s="19">
        <v>4</v>
      </c>
      <c r="H115" s="19" t="s">
        <v>52</v>
      </c>
      <c r="I115" s="37">
        <f>+(2142000*100)/119</f>
        <v>1800000</v>
      </c>
      <c r="J115" s="37">
        <f t="shared" si="44"/>
        <v>7200000</v>
      </c>
      <c r="K115" s="37">
        <f>+(1666000*100)/119</f>
        <v>1400000</v>
      </c>
      <c r="L115" s="37">
        <f t="shared" si="45"/>
        <v>5600000</v>
      </c>
      <c r="M115" s="37">
        <f>+(1666000*100)/119</f>
        <v>1400000</v>
      </c>
      <c r="N115" s="37">
        <f t="shared" si="46"/>
        <v>5600000</v>
      </c>
      <c r="O115" s="37">
        <f t="shared" si="36"/>
        <v>1533333.3333333333</v>
      </c>
      <c r="P115" s="37">
        <f t="shared" si="37"/>
        <v>6133333.333333333</v>
      </c>
      <c r="Q115" s="37">
        <f t="shared" si="38"/>
        <v>188561.80831641267</v>
      </c>
      <c r="R115" s="57">
        <f t="shared" si="39"/>
        <v>0.12297509238026914</v>
      </c>
      <c r="S115" s="37">
        <f t="shared" si="40"/>
        <v>1400000</v>
      </c>
      <c r="T115" s="192">
        <f t="shared" si="41"/>
        <v>5600000</v>
      </c>
      <c r="U115" s="56">
        <f t="shared" si="42"/>
        <v>0.13468700594029476</v>
      </c>
      <c r="V115" s="20" t="s">
        <v>59</v>
      </c>
      <c r="W115" s="20" t="s">
        <v>336</v>
      </c>
      <c r="X115" s="24" t="s">
        <v>465</v>
      </c>
    </row>
    <row r="116" spans="1:24" s="21" customFormat="1" ht="82.5">
      <c r="A116" s="173">
        <v>4</v>
      </c>
      <c r="B116" s="165">
        <v>107</v>
      </c>
      <c r="C116" s="23" t="s">
        <v>337</v>
      </c>
      <c r="D116" s="24" t="s">
        <v>338</v>
      </c>
      <c r="E116" s="18">
        <v>1</v>
      </c>
      <c r="F116" s="18" t="s">
        <v>40</v>
      </c>
      <c r="G116" s="19">
        <v>4</v>
      </c>
      <c r="H116" s="19" t="s">
        <v>55</v>
      </c>
      <c r="I116" s="37">
        <f>+(1904000*100)/119</f>
        <v>1600000</v>
      </c>
      <c r="J116" s="37">
        <f t="shared" si="44"/>
        <v>6400000</v>
      </c>
      <c r="K116" s="37">
        <f>+(1904000*100)/119</f>
        <v>1600000</v>
      </c>
      <c r="L116" s="37">
        <f t="shared" si="45"/>
        <v>6400000</v>
      </c>
      <c r="M116" s="99">
        <f>+(1402268*100)/119</f>
        <v>1178376.4705882352</v>
      </c>
      <c r="N116" s="37">
        <f t="shared" si="46"/>
        <v>4713505.8823529407</v>
      </c>
      <c r="O116" s="37">
        <f t="shared" si="36"/>
        <v>1459458.8235294118</v>
      </c>
      <c r="P116" s="37">
        <f t="shared" si="37"/>
        <v>5837835.2941176472</v>
      </c>
      <c r="Q116" s="37">
        <f t="shared" si="38"/>
        <v>198755.23783657726</v>
      </c>
      <c r="R116" s="57">
        <f t="shared" si="39"/>
        <v>0.13618420378310306</v>
      </c>
      <c r="S116" s="37">
        <f t="shared" si="40"/>
        <v>1600000</v>
      </c>
      <c r="T116" s="192">
        <f t="shared" si="41"/>
        <v>6400000</v>
      </c>
      <c r="U116" s="56">
        <f t="shared" si="42"/>
        <v>0.12422202364786079</v>
      </c>
      <c r="V116" s="20" t="s">
        <v>59</v>
      </c>
      <c r="W116" s="20" t="s">
        <v>336</v>
      </c>
      <c r="X116" s="105" t="s">
        <v>467</v>
      </c>
    </row>
    <row r="117" spans="1:24" s="21" customFormat="1" ht="148.5">
      <c r="A117" s="173">
        <v>4</v>
      </c>
      <c r="B117" s="166">
        <v>108</v>
      </c>
      <c r="C117" s="23" t="s">
        <v>339</v>
      </c>
      <c r="D117" s="22" t="s">
        <v>340</v>
      </c>
      <c r="E117" s="18">
        <v>1</v>
      </c>
      <c r="F117" s="18" t="s">
        <v>40</v>
      </c>
      <c r="G117" s="19">
        <v>4</v>
      </c>
      <c r="H117" s="19" t="s">
        <v>55</v>
      </c>
      <c r="I117" s="37">
        <f>+(892500*100)/119</f>
        <v>750000</v>
      </c>
      <c r="J117" s="37">
        <f t="shared" si="44"/>
        <v>3000000</v>
      </c>
      <c r="K117" s="37">
        <f>+(1666000*100)/119</f>
        <v>1400000</v>
      </c>
      <c r="L117" s="37">
        <f t="shared" si="45"/>
        <v>5600000</v>
      </c>
      <c r="M117" s="99">
        <v>600000</v>
      </c>
      <c r="N117" s="37">
        <f t="shared" si="46"/>
        <v>2400000</v>
      </c>
      <c r="O117" s="37">
        <f t="shared" si="36"/>
        <v>916666.66666666663</v>
      </c>
      <c r="P117" s="37">
        <f t="shared" si="37"/>
        <v>3666666.6666666665</v>
      </c>
      <c r="Q117" s="37">
        <f t="shared" si="38"/>
        <v>347211.11093332764</v>
      </c>
      <c r="R117" s="57">
        <f t="shared" si="39"/>
        <v>0.37877575738181196</v>
      </c>
      <c r="S117" s="37">
        <f t="shared" si="40"/>
        <v>750000</v>
      </c>
      <c r="T117" s="192">
        <f t="shared" si="41"/>
        <v>3000000</v>
      </c>
      <c r="U117" s="56">
        <f t="shared" si="42"/>
        <v>0.4629481479111035</v>
      </c>
      <c r="V117" s="20" t="s">
        <v>341</v>
      </c>
      <c r="W117" s="20" t="s">
        <v>336</v>
      </c>
      <c r="X117" s="105" t="s">
        <v>469</v>
      </c>
    </row>
    <row r="118" spans="1:24" s="21" customFormat="1" ht="132">
      <c r="A118" s="173">
        <v>4</v>
      </c>
      <c r="B118" s="165">
        <v>109</v>
      </c>
      <c r="C118" s="23" t="s">
        <v>342</v>
      </c>
      <c r="D118" s="24" t="s">
        <v>343</v>
      </c>
      <c r="E118" s="18">
        <v>4</v>
      </c>
      <c r="F118" s="18" t="s">
        <v>40</v>
      </c>
      <c r="G118" s="19">
        <v>4</v>
      </c>
      <c r="H118" s="19" t="s">
        <v>55</v>
      </c>
      <c r="I118" s="37">
        <f>+(554500*100)/119</f>
        <v>465966.38655462186</v>
      </c>
      <c r="J118" s="37">
        <f t="shared" si="44"/>
        <v>7455462.1848739497</v>
      </c>
      <c r="K118" s="47">
        <f>+(487900*100)/119</f>
        <v>410000</v>
      </c>
      <c r="L118" s="37">
        <f t="shared" si="45"/>
        <v>6560000</v>
      </c>
      <c r="M118" s="47">
        <f>+(313320*100)/119</f>
        <v>263294.1176470588</v>
      </c>
      <c r="N118" s="37">
        <f t="shared" si="46"/>
        <v>4212705.8823529407</v>
      </c>
      <c r="O118" s="37">
        <f t="shared" si="36"/>
        <v>379753.5014005602</v>
      </c>
      <c r="P118" s="37">
        <f t="shared" si="37"/>
        <v>6076056.0224089632</v>
      </c>
      <c r="Q118" s="37">
        <f t="shared" si="38"/>
        <v>85460.127756278947</v>
      </c>
      <c r="R118" s="57">
        <f t="shared" si="39"/>
        <v>0.22504105279107475</v>
      </c>
      <c r="S118" s="37">
        <f t="shared" si="40"/>
        <v>410000</v>
      </c>
      <c r="T118" s="192">
        <f t="shared" si="41"/>
        <v>6560000</v>
      </c>
      <c r="U118" s="56">
        <f t="shared" si="42"/>
        <v>0.20843933599092426</v>
      </c>
      <c r="V118" s="20" t="s">
        <v>344</v>
      </c>
      <c r="W118" s="20" t="s">
        <v>345</v>
      </c>
      <c r="X118" s="20" t="s">
        <v>346</v>
      </c>
    </row>
    <row r="119" spans="1:24" s="21" customFormat="1" ht="69" customHeight="1">
      <c r="A119" s="173">
        <v>4</v>
      </c>
      <c r="B119" s="166">
        <v>110</v>
      </c>
      <c r="C119" s="23" t="s">
        <v>94</v>
      </c>
      <c r="D119" s="15" t="s">
        <v>231</v>
      </c>
      <c r="E119" s="18">
        <v>40</v>
      </c>
      <c r="F119" s="18" t="s">
        <v>40</v>
      </c>
      <c r="G119" s="19">
        <v>4</v>
      </c>
      <c r="H119" s="19" t="s">
        <v>52</v>
      </c>
      <c r="I119" s="37">
        <f>+(20000*100)/119</f>
        <v>16806.722689075632</v>
      </c>
      <c r="J119" s="37">
        <f t="shared" si="44"/>
        <v>2689075.630252101</v>
      </c>
      <c r="K119" s="37">
        <f>+(20000*100)/119</f>
        <v>16806.722689075632</v>
      </c>
      <c r="L119" s="37">
        <f t="shared" si="45"/>
        <v>2689075.630252101</v>
      </c>
      <c r="M119" s="37">
        <f>+(21500*100)/119</f>
        <v>18067.226890756301</v>
      </c>
      <c r="N119" s="37">
        <f t="shared" si="46"/>
        <v>2890756.3025210081</v>
      </c>
      <c r="O119" s="37">
        <f t="shared" si="36"/>
        <v>17226.890756302524</v>
      </c>
      <c r="P119" s="37">
        <f t="shared" si="37"/>
        <v>2756302.521008404</v>
      </c>
      <c r="Q119" s="37">
        <f t="shared" si="38"/>
        <v>594.20737914835786</v>
      </c>
      <c r="R119" s="57">
        <f t="shared" si="39"/>
        <v>3.4493013716416866E-2</v>
      </c>
      <c r="S119" s="37">
        <f t="shared" si="40"/>
        <v>16806.722689075632</v>
      </c>
      <c r="T119" s="192">
        <f t="shared" si="41"/>
        <v>2689075.630252101</v>
      </c>
      <c r="U119" s="56">
        <f t="shared" si="42"/>
        <v>3.5355339059327286E-2</v>
      </c>
      <c r="V119" s="24" t="s">
        <v>478</v>
      </c>
      <c r="W119" s="24" t="s">
        <v>463</v>
      </c>
      <c r="X119" s="24" t="s">
        <v>464</v>
      </c>
    </row>
    <row r="120" spans="1:24" s="197" customFormat="1" ht="97.5" customHeight="1">
      <c r="A120" s="186">
        <v>4</v>
      </c>
      <c r="B120" s="187">
        <v>111</v>
      </c>
      <c r="C120" s="188" t="s">
        <v>347</v>
      </c>
      <c r="D120" s="189" t="s">
        <v>456</v>
      </c>
      <c r="E120" s="190">
        <v>1</v>
      </c>
      <c r="F120" s="190" t="s">
        <v>455</v>
      </c>
      <c r="G120" s="191">
        <v>4</v>
      </c>
      <c r="H120" s="191" t="s">
        <v>55</v>
      </c>
      <c r="I120" s="192">
        <v>375800</v>
      </c>
      <c r="J120" s="192">
        <f>+I120*E120*G120</f>
        <v>1503200</v>
      </c>
      <c r="K120" s="192"/>
      <c r="L120" s="192">
        <f t="shared" si="45"/>
        <v>0</v>
      </c>
      <c r="M120" s="192"/>
      <c r="N120" s="192">
        <f t="shared" si="46"/>
        <v>0</v>
      </c>
      <c r="O120" s="192">
        <f t="shared" si="36"/>
        <v>375800</v>
      </c>
      <c r="P120" s="192">
        <f t="shared" si="37"/>
        <v>1503200</v>
      </c>
      <c r="Q120" s="192">
        <f t="shared" si="38"/>
        <v>0</v>
      </c>
      <c r="R120" s="193">
        <f t="shared" si="39"/>
        <v>0</v>
      </c>
      <c r="S120" s="192">
        <f t="shared" si="40"/>
        <v>375800</v>
      </c>
      <c r="T120" s="192">
        <f t="shared" si="41"/>
        <v>1503200</v>
      </c>
      <c r="U120" s="194">
        <f t="shared" si="42"/>
        <v>0</v>
      </c>
      <c r="V120" s="195" t="s">
        <v>462</v>
      </c>
      <c r="W120" s="196"/>
      <c r="X120" s="196"/>
    </row>
    <row r="121" spans="1:24" s="21" customFormat="1" ht="181.5">
      <c r="A121" s="173">
        <v>4</v>
      </c>
      <c r="B121" s="166">
        <v>112</v>
      </c>
      <c r="C121" s="23" t="s">
        <v>90</v>
      </c>
      <c r="D121" s="26" t="s">
        <v>348</v>
      </c>
      <c r="E121" s="18">
        <v>1</v>
      </c>
      <c r="F121" s="18" t="s">
        <v>40</v>
      </c>
      <c r="G121" s="19">
        <v>4</v>
      </c>
      <c r="H121" s="19" t="s">
        <v>58</v>
      </c>
      <c r="I121" s="46">
        <f>+(831810*100)/119</f>
        <v>699000</v>
      </c>
      <c r="J121" s="37">
        <f t="shared" si="44"/>
        <v>2796000</v>
      </c>
      <c r="K121" s="46">
        <f>+(876506*100)/119</f>
        <v>736559.66386554623</v>
      </c>
      <c r="L121" s="37">
        <f t="shared" si="45"/>
        <v>2946238.6554621849</v>
      </c>
      <c r="M121" s="46">
        <f>+(933199*100)/119</f>
        <v>784200.84033613442</v>
      </c>
      <c r="N121" s="37">
        <f t="shared" si="46"/>
        <v>3136803.3613445377</v>
      </c>
      <c r="O121" s="37">
        <f t="shared" si="36"/>
        <v>739920.16806722677</v>
      </c>
      <c r="P121" s="37">
        <f t="shared" si="37"/>
        <v>2959680.6722689071</v>
      </c>
      <c r="Q121" s="37">
        <f t="shared" si="38"/>
        <v>34864.170145131349</v>
      </c>
      <c r="R121" s="57">
        <f t="shared" si="39"/>
        <v>4.7118826665045979E-2</v>
      </c>
      <c r="S121" s="37">
        <f t="shared" si="40"/>
        <v>736559.66386554623</v>
      </c>
      <c r="T121" s="192">
        <f t="shared" si="41"/>
        <v>2946238.6554621849</v>
      </c>
      <c r="U121" s="56">
        <f t="shared" si="42"/>
        <v>4.7333803160168102E-2</v>
      </c>
      <c r="V121" s="20" t="s">
        <v>91</v>
      </c>
      <c r="W121" s="20" t="s">
        <v>92</v>
      </c>
      <c r="X121" s="20" t="s">
        <v>349</v>
      </c>
    </row>
    <row r="122" spans="1:24" s="21" customFormat="1" ht="82.5">
      <c r="A122" s="173">
        <v>4</v>
      </c>
      <c r="B122" s="165">
        <v>113</v>
      </c>
      <c r="C122" s="23" t="s">
        <v>94</v>
      </c>
      <c r="D122" s="15" t="s">
        <v>231</v>
      </c>
      <c r="E122" s="18">
        <v>50</v>
      </c>
      <c r="F122" s="18" t="s">
        <v>40</v>
      </c>
      <c r="G122" s="19">
        <v>4</v>
      </c>
      <c r="H122" s="19" t="s">
        <v>58</v>
      </c>
      <c r="I122" s="37">
        <f>+(20000*100)/119</f>
        <v>16806.722689075632</v>
      </c>
      <c r="J122" s="37">
        <f t="shared" si="44"/>
        <v>3361344.5378151266</v>
      </c>
      <c r="K122" s="37">
        <f>+(20000*100)/119</f>
        <v>16806.722689075632</v>
      </c>
      <c r="L122" s="37">
        <f t="shared" si="45"/>
        <v>3361344.5378151266</v>
      </c>
      <c r="M122" s="37">
        <f>+(21500*100)/119</f>
        <v>18067.226890756301</v>
      </c>
      <c r="N122" s="37">
        <f t="shared" si="46"/>
        <v>3613445.3781512603</v>
      </c>
      <c r="O122" s="37">
        <f t="shared" si="36"/>
        <v>17226.890756302524</v>
      </c>
      <c r="P122" s="37">
        <f t="shared" si="37"/>
        <v>3445378.151260505</v>
      </c>
      <c r="Q122" s="37">
        <f t="shared" si="38"/>
        <v>594.20737914835786</v>
      </c>
      <c r="R122" s="57">
        <f t="shared" si="39"/>
        <v>3.4493013716416866E-2</v>
      </c>
      <c r="S122" s="37">
        <f t="shared" si="40"/>
        <v>16806.722689075632</v>
      </c>
      <c r="T122" s="192">
        <f t="shared" si="41"/>
        <v>3361344.5378151266</v>
      </c>
      <c r="U122" s="56">
        <f t="shared" si="42"/>
        <v>3.5355339059327286E-2</v>
      </c>
      <c r="V122" s="24" t="s">
        <v>478</v>
      </c>
      <c r="W122" s="24" t="s">
        <v>463</v>
      </c>
      <c r="X122" s="24" t="s">
        <v>464</v>
      </c>
    </row>
    <row r="123" spans="1:24" s="21" customFormat="1" ht="181.5">
      <c r="A123" s="173">
        <v>4</v>
      </c>
      <c r="B123" s="166">
        <v>114</v>
      </c>
      <c r="C123" s="23" t="s">
        <v>96</v>
      </c>
      <c r="D123" s="24" t="s">
        <v>97</v>
      </c>
      <c r="E123" s="18">
        <v>50</v>
      </c>
      <c r="F123" s="18" t="s">
        <v>40</v>
      </c>
      <c r="G123" s="19">
        <v>4</v>
      </c>
      <c r="H123" s="19" t="s">
        <v>58</v>
      </c>
      <c r="I123" s="37">
        <f>+(25000*100)/119</f>
        <v>21008.403361344539</v>
      </c>
      <c r="J123" s="37">
        <f t="shared" si="44"/>
        <v>4201680.6722689075</v>
      </c>
      <c r="K123" s="37">
        <f>+(25000*100)/119</f>
        <v>21008.403361344539</v>
      </c>
      <c r="L123" s="37">
        <f t="shared" si="45"/>
        <v>4201680.6722689075</v>
      </c>
      <c r="M123" s="37">
        <f>+(26500*100)/119</f>
        <v>22268.907563025212</v>
      </c>
      <c r="N123" s="37">
        <f t="shared" si="46"/>
        <v>4453781.5126050422</v>
      </c>
      <c r="O123" s="37">
        <f t="shared" si="36"/>
        <v>21428.571428571431</v>
      </c>
      <c r="P123" s="37">
        <f t="shared" si="37"/>
        <v>4285714.2857142864</v>
      </c>
      <c r="Q123" s="37">
        <f t="shared" si="38"/>
        <v>594.20737914835956</v>
      </c>
      <c r="R123" s="57">
        <f t="shared" si="39"/>
        <v>2.772967769359011E-2</v>
      </c>
      <c r="S123" s="37">
        <f t="shared" si="40"/>
        <v>21008.403361344539</v>
      </c>
      <c r="T123" s="192">
        <f t="shared" si="41"/>
        <v>4201680.6722689075</v>
      </c>
      <c r="U123" s="56">
        <f t="shared" si="42"/>
        <v>2.8284271247461915E-2</v>
      </c>
      <c r="V123" s="24" t="s">
        <v>478</v>
      </c>
      <c r="W123" s="24" t="s">
        <v>463</v>
      </c>
      <c r="X123" s="24" t="s">
        <v>464</v>
      </c>
    </row>
    <row r="124" spans="1:24" s="21" customFormat="1" ht="49.5">
      <c r="A124" s="173">
        <v>4</v>
      </c>
      <c r="B124" s="165">
        <v>115</v>
      </c>
      <c r="C124" s="23" t="s">
        <v>350</v>
      </c>
      <c r="D124" s="110" t="s">
        <v>351</v>
      </c>
      <c r="E124" s="18">
        <v>30</v>
      </c>
      <c r="F124" s="18" t="s">
        <v>352</v>
      </c>
      <c r="G124" s="19">
        <v>1</v>
      </c>
      <c r="H124" s="19" t="s">
        <v>68</v>
      </c>
      <c r="I124" s="37">
        <f>+(1785*100)/119</f>
        <v>1500</v>
      </c>
      <c r="J124" s="37">
        <f t="shared" si="44"/>
        <v>45000</v>
      </c>
      <c r="K124" s="37">
        <f>+(1428*100)/119</f>
        <v>1200</v>
      </c>
      <c r="L124" s="37">
        <f t="shared" si="45"/>
        <v>36000</v>
      </c>
      <c r="M124" s="37">
        <f>+(1190*100)/119</f>
        <v>1000</v>
      </c>
      <c r="N124" s="37">
        <f t="shared" si="46"/>
        <v>30000</v>
      </c>
      <c r="O124" s="37">
        <f t="shared" si="36"/>
        <v>1233.3333333333333</v>
      </c>
      <c r="P124" s="37">
        <f t="shared" si="37"/>
        <v>37000</v>
      </c>
      <c r="Q124" s="37">
        <f t="shared" si="38"/>
        <v>205.48046676563254</v>
      </c>
      <c r="R124" s="57">
        <f t="shared" si="39"/>
        <v>0.16660578386402639</v>
      </c>
      <c r="S124" s="37">
        <f t="shared" si="40"/>
        <v>1200</v>
      </c>
      <c r="T124" s="192">
        <f t="shared" si="41"/>
        <v>36000</v>
      </c>
      <c r="U124" s="56">
        <f t="shared" si="42"/>
        <v>0.17123372230469378</v>
      </c>
      <c r="V124" s="24" t="s">
        <v>433</v>
      </c>
      <c r="W124" s="24" t="s">
        <v>434</v>
      </c>
      <c r="X124" s="24" t="s">
        <v>435</v>
      </c>
    </row>
    <row r="125" spans="1:24" s="21" customFormat="1" ht="44.45" customHeight="1">
      <c r="A125" s="173">
        <v>4</v>
      </c>
      <c r="B125" s="166">
        <v>116</v>
      </c>
      <c r="C125" s="23" t="s">
        <v>267</v>
      </c>
      <c r="D125" s="110" t="s">
        <v>268</v>
      </c>
      <c r="E125" s="18">
        <v>4</v>
      </c>
      <c r="F125" s="18" t="s">
        <v>40</v>
      </c>
      <c r="G125" s="19">
        <v>1</v>
      </c>
      <c r="H125" s="19" t="s">
        <v>68</v>
      </c>
      <c r="I125" s="37">
        <v>9205</v>
      </c>
      <c r="J125" s="37">
        <f t="shared" si="44"/>
        <v>36820</v>
      </c>
      <c r="K125" s="37">
        <f>+(11662*100)/119</f>
        <v>9800</v>
      </c>
      <c r="L125" s="37">
        <f t="shared" si="45"/>
        <v>39200</v>
      </c>
      <c r="M125" s="37">
        <f>+(11531*100)/119</f>
        <v>9689.9159663865539</v>
      </c>
      <c r="N125" s="37">
        <f t="shared" si="46"/>
        <v>38759.663865546216</v>
      </c>
      <c r="O125" s="37">
        <f t="shared" si="36"/>
        <v>9564.971988795518</v>
      </c>
      <c r="P125" s="37">
        <f t="shared" si="37"/>
        <v>38259.887955182072</v>
      </c>
      <c r="Q125" s="37">
        <f t="shared" si="38"/>
        <v>258.47565733507923</v>
      </c>
      <c r="R125" s="57">
        <f t="shared" si="39"/>
        <v>2.7023148383273847E-2</v>
      </c>
      <c r="S125" s="37">
        <f t="shared" si="40"/>
        <v>9689.9159663865539</v>
      </c>
      <c r="T125" s="192">
        <f t="shared" si="41"/>
        <v>38759.663865546216</v>
      </c>
      <c r="U125" s="56">
        <f t="shared" si="42"/>
        <v>2.6674705769555485E-2</v>
      </c>
      <c r="V125" s="20" t="s">
        <v>269</v>
      </c>
      <c r="W125" s="20" t="s">
        <v>235</v>
      </c>
      <c r="X125" s="20" t="s">
        <v>270</v>
      </c>
    </row>
    <row r="126" spans="1:24" s="21" customFormat="1" ht="82.5">
      <c r="A126" s="173">
        <v>4</v>
      </c>
      <c r="B126" s="165">
        <v>117</v>
      </c>
      <c r="C126" s="23" t="s">
        <v>353</v>
      </c>
      <c r="D126" s="110" t="s">
        <v>354</v>
      </c>
      <c r="E126" s="18">
        <v>2</v>
      </c>
      <c r="F126" s="18" t="s">
        <v>40</v>
      </c>
      <c r="G126" s="19">
        <v>1</v>
      </c>
      <c r="H126" s="19" t="s">
        <v>68</v>
      </c>
      <c r="I126" s="37">
        <f>+(12000*100)/119</f>
        <v>10084.033613445377</v>
      </c>
      <c r="J126" s="37">
        <f t="shared" si="44"/>
        <v>20168.067226890755</v>
      </c>
      <c r="K126" s="37">
        <f>+(18061*100)/119</f>
        <v>15177.310924369747</v>
      </c>
      <c r="L126" s="37">
        <f t="shared" si="45"/>
        <v>30354.621848739494</v>
      </c>
      <c r="M126" s="99">
        <f>+(12000*100)/119</f>
        <v>10084.033613445377</v>
      </c>
      <c r="N126" s="37">
        <f t="shared" si="46"/>
        <v>20168.067226890755</v>
      </c>
      <c r="O126" s="37">
        <f t="shared" si="36"/>
        <v>11781.792717086833</v>
      </c>
      <c r="P126" s="37">
        <f t="shared" si="37"/>
        <v>23563.585434173667</v>
      </c>
      <c r="Q126" s="37">
        <f t="shared" si="38"/>
        <v>2400.9939500121445</v>
      </c>
      <c r="R126" s="57">
        <f t="shared" si="39"/>
        <v>0.20378850720485384</v>
      </c>
      <c r="S126" s="37">
        <f t="shared" si="40"/>
        <v>10084.033613445377</v>
      </c>
      <c r="T126" s="192">
        <f t="shared" si="41"/>
        <v>20168.067226890755</v>
      </c>
      <c r="U126" s="56">
        <f t="shared" si="42"/>
        <v>0.23809856670953769</v>
      </c>
      <c r="V126" s="24" t="s">
        <v>436</v>
      </c>
      <c r="W126" s="24" t="s">
        <v>437</v>
      </c>
      <c r="X126" s="105" t="s">
        <v>471</v>
      </c>
    </row>
    <row r="127" spans="1:24" s="21" customFormat="1" ht="49.5">
      <c r="A127" s="173">
        <v>4</v>
      </c>
      <c r="B127" s="166">
        <v>118</v>
      </c>
      <c r="C127" s="23" t="s">
        <v>355</v>
      </c>
      <c r="D127" s="110" t="s">
        <v>356</v>
      </c>
      <c r="E127" s="18">
        <v>12</v>
      </c>
      <c r="F127" s="18" t="s">
        <v>40</v>
      </c>
      <c r="G127" s="19">
        <v>1</v>
      </c>
      <c r="H127" s="19" t="s">
        <v>68</v>
      </c>
      <c r="I127" s="37">
        <f>+(42840*100)/119</f>
        <v>36000</v>
      </c>
      <c r="J127" s="37">
        <f t="shared" si="44"/>
        <v>432000</v>
      </c>
      <c r="K127" s="37">
        <f>+(41174*100)/119</f>
        <v>34600</v>
      </c>
      <c r="L127" s="37">
        <f t="shared" si="45"/>
        <v>415200</v>
      </c>
      <c r="M127" s="37">
        <f>+(48195*100)/119</f>
        <v>40500</v>
      </c>
      <c r="N127" s="37">
        <f t="shared" si="46"/>
        <v>486000</v>
      </c>
      <c r="O127" s="37">
        <f t="shared" si="36"/>
        <v>37033.333333333336</v>
      </c>
      <c r="P127" s="37">
        <f t="shared" si="37"/>
        <v>444400</v>
      </c>
      <c r="Q127" s="37">
        <f t="shared" si="38"/>
        <v>2517.0529504870483</v>
      </c>
      <c r="R127" s="57">
        <f t="shared" si="39"/>
        <v>6.7967226385788879E-2</v>
      </c>
      <c r="S127" s="37">
        <f t="shared" si="40"/>
        <v>36000</v>
      </c>
      <c r="T127" s="192">
        <f t="shared" si="41"/>
        <v>432000</v>
      </c>
      <c r="U127" s="56">
        <f t="shared" si="42"/>
        <v>6.9918137513529113E-2</v>
      </c>
      <c r="V127" s="24" t="s">
        <v>438</v>
      </c>
      <c r="W127" s="24" t="s">
        <v>439</v>
      </c>
      <c r="X127" s="24" t="s">
        <v>440</v>
      </c>
    </row>
    <row r="128" spans="1:24" s="21" customFormat="1" ht="115.5">
      <c r="A128" s="173">
        <v>4</v>
      </c>
      <c r="B128" s="165">
        <v>119</v>
      </c>
      <c r="C128" s="23" t="s">
        <v>357</v>
      </c>
      <c r="D128" s="110" t="s">
        <v>358</v>
      </c>
      <c r="E128" s="18">
        <v>6</v>
      </c>
      <c r="F128" s="18" t="s">
        <v>40</v>
      </c>
      <c r="G128" s="19">
        <v>1</v>
      </c>
      <c r="H128" s="19" t="s">
        <v>68</v>
      </c>
      <c r="I128" s="37">
        <f>+(33195*100)/119</f>
        <v>27894.957983193279</v>
      </c>
      <c r="J128" s="37">
        <f t="shared" si="44"/>
        <v>167369.74789915967</v>
      </c>
      <c r="K128" s="37">
        <f>+(32606*100)/119</f>
        <v>27400</v>
      </c>
      <c r="L128" s="37">
        <f t="shared" si="45"/>
        <v>164400</v>
      </c>
      <c r="M128" s="37">
        <f>+(30702*100)/119</f>
        <v>25800</v>
      </c>
      <c r="N128" s="37">
        <f t="shared" si="46"/>
        <v>154800</v>
      </c>
      <c r="O128" s="37">
        <f t="shared" si="36"/>
        <v>27031.652661064425</v>
      </c>
      <c r="P128" s="37">
        <f t="shared" si="37"/>
        <v>162189.91596638656</v>
      </c>
      <c r="Q128" s="37">
        <f t="shared" si="38"/>
        <v>894.04401808561283</v>
      </c>
      <c r="R128" s="57">
        <f t="shared" si="39"/>
        <v>3.3073968110479857E-2</v>
      </c>
      <c r="S128" s="37">
        <f t="shared" si="40"/>
        <v>27400</v>
      </c>
      <c r="T128" s="192">
        <f t="shared" si="41"/>
        <v>164400</v>
      </c>
      <c r="U128" s="56">
        <f t="shared" si="42"/>
        <v>3.262934372575229E-2</v>
      </c>
      <c r="V128" s="24" t="s">
        <v>441</v>
      </c>
      <c r="W128" s="24" t="s">
        <v>442</v>
      </c>
      <c r="X128" s="24" t="s">
        <v>443</v>
      </c>
    </row>
    <row r="129" spans="1:24" s="21" customFormat="1" ht="132">
      <c r="A129" s="173">
        <v>4</v>
      </c>
      <c r="B129" s="166">
        <v>120</v>
      </c>
      <c r="C129" s="23" t="s">
        <v>175</v>
      </c>
      <c r="D129" s="24" t="s">
        <v>359</v>
      </c>
      <c r="E129" s="18">
        <v>6</v>
      </c>
      <c r="F129" s="18" t="s">
        <v>40</v>
      </c>
      <c r="G129" s="19">
        <v>1</v>
      </c>
      <c r="H129" s="19" t="s">
        <v>68</v>
      </c>
      <c r="I129" s="37">
        <f>+(47005*100)/119</f>
        <v>39500</v>
      </c>
      <c r="J129" s="37">
        <f t="shared" si="44"/>
        <v>237000</v>
      </c>
      <c r="K129" s="37">
        <f>+(32249*100)/119</f>
        <v>27100</v>
      </c>
      <c r="L129" s="37">
        <f t="shared" si="45"/>
        <v>162600</v>
      </c>
      <c r="M129" s="37">
        <f>+(28441*100)/119</f>
        <v>23900</v>
      </c>
      <c r="N129" s="37">
        <f t="shared" si="46"/>
        <v>143400</v>
      </c>
      <c r="O129" s="37">
        <f t="shared" si="36"/>
        <v>30166.666666666668</v>
      </c>
      <c r="P129" s="37">
        <f t="shared" si="37"/>
        <v>181000</v>
      </c>
      <c r="Q129" s="37">
        <f t="shared" si="38"/>
        <v>6727.7204328228609</v>
      </c>
      <c r="R129" s="57">
        <f t="shared" si="39"/>
        <v>0.22301835688915561</v>
      </c>
      <c r="S129" s="37">
        <f t="shared" si="40"/>
        <v>27100</v>
      </c>
      <c r="T129" s="192">
        <f t="shared" si="41"/>
        <v>162600</v>
      </c>
      <c r="U129" s="56">
        <f t="shared" si="42"/>
        <v>0.24825536652482882</v>
      </c>
      <c r="V129" s="20" t="s">
        <v>360</v>
      </c>
      <c r="W129" s="20" t="s">
        <v>273</v>
      </c>
      <c r="X129" s="20" t="s">
        <v>361</v>
      </c>
    </row>
    <row r="130" spans="1:24" s="21" customFormat="1" ht="49.5">
      <c r="A130" s="173">
        <v>4</v>
      </c>
      <c r="B130" s="165">
        <v>121</v>
      </c>
      <c r="C130" s="23" t="s">
        <v>309</v>
      </c>
      <c r="D130" s="24" t="s">
        <v>362</v>
      </c>
      <c r="E130" s="18">
        <v>4</v>
      </c>
      <c r="F130" s="18" t="s">
        <v>40</v>
      </c>
      <c r="G130" s="19">
        <v>1</v>
      </c>
      <c r="H130" s="19" t="s">
        <v>68</v>
      </c>
      <c r="I130" s="37">
        <f>+(29631*100)/119</f>
        <v>24900</v>
      </c>
      <c r="J130" s="37">
        <f t="shared" si="44"/>
        <v>99600</v>
      </c>
      <c r="K130" s="37">
        <f>+(23205*100)/119</f>
        <v>19500</v>
      </c>
      <c r="L130" s="37">
        <f t="shared" si="45"/>
        <v>78000</v>
      </c>
      <c r="M130" s="37">
        <f>+(14875*100)/119</f>
        <v>12500</v>
      </c>
      <c r="N130" s="37">
        <f t="shared" si="46"/>
        <v>50000</v>
      </c>
      <c r="O130" s="37">
        <f t="shared" si="36"/>
        <v>18966.666666666668</v>
      </c>
      <c r="P130" s="37">
        <f t="shared" si="37"/>
        <v>75866.666666666672</v>
      </c>
      <c r="Q130" s="37">
        <f t="shared" si="38"/>
        <v>5076.3066188803932</v>
      </c>
      <c r="R130" s="57">
        <f t="shared" si="39"/>
        <v>0.26764358271777117</v>
      </c>
      <c r="S130" s="37">
        <f t="shared" si="40"/>
        <v>19500</v>
      </c>
      <c r="T130" s="192">
        <f t="shared" si="41"/>
        <v>78000</v>
      </c>
      <c r="U130" s="56">
        <f t="shared" si="42"/>
        <v>0.26032341635284068</v>
      </c>
      <c r="V130" s="20" t="s">
        <v>247</v>
      </c>
      <c r="W130" s="20" t="s">
        <v>235</v>
      </c>
      <c r="X130" s="20" t="s">
        <v>363</v>
      </c>
    </row>
    <row r="131" spans="1:24" s="21" customFormat="1" ht="33">
      <c r="A131" s="173">
        <v>4</v>
      </c>
      <c r="B131" s="166">
        <v>122</v>
      </c>
      <c r="C131" s="23" t="s">
        <v>311</v>
      </c>
      <c r="D131" s="24" t="s">
        <v>312</v>
      </c>
      <c r="E131" s="18">
        <v>2</v>
      </c>
      <c r="F131" s="18" t="s">
        <v>40</v>
      </c>
      <c r="G131" s="19">
        <v>1</v>
      </c>
      <c r="H131" s="19" t="s">
        <v>68</v>
      </c>
      <c r="I131" s="37">
        <f>+(7140*100)/119</f>
        <v>6000</v>
      </c>
      <c r="J131" s="37">
        <f t="shared" si="44"/>
        <v>12000</v>
      </c>
      <c r="K131" s="37">
        <f>+(7140*100)/119</f>
        <v>6000</v>
      </c>
      <c r="L131" s="37">
        <f t="shared" si="45"/>
        <v>12000</v>
      </c>
      <c r="M131" s="37">
        <f>+(9496*100)/119</f>
        <v>7979.8319327731097</v>
      </c>
      <c r="N131" s="37">
        <f t="shared" si="46"/>
        <v>15959.663865546219</v>
      </c>
      <c r="O131" s="37">
        <f t="shared" si="36"/>
        <v>6659.9439775910359</v>
      </c>
      <c r="P131" s="37">
        <f t="shared" si="37"/>
        <v>13319.887955182072</v>
      </c>
      <c r="Q131" s="37">
        <f t="shared" si="38"/>
        <v>933.3017235156957</v>
      </c>
      <c r="R131" s="57">
        <f t="shared" si="39"/>
        <v>0.14013657271833083</v>
      </c>
      <c r="S131" s="37">
        <f t="shared" si="40"/>
        <v>6000</v>
      </c>
      <c r="T131" s="192">
        <f t="shared" si="41"/>
        <v>12000</v>
      </c>
      <c r="U131" s="56">
        <f t="shared" si="42"/>
        <v>0.15555028725261594</v>
      </c>
      <c r="V131" s="20" t="s">
        <v>313</v>
      </c>
      <c r="W131" s="20" t="s">
        <v>314</v>
      </c>
      <c r="X131" s="20" t="s">
        <v>315</v>
      </c>
    </row>
    <row r="132" spans="1:24" s="21" customFormat="1" ht="33">
      <c r="A132" s="173">
        <v>4</v>
      </c>
      <c r="B132" s="165">
        <v>123</v>
      </c>
      <c r="C132" s="23" t="s">
        <v>316</v>
      </c>
      <c r="D132" s="24" t="s">
        <v>317</v>
      </c>
      <c r="E132" s="18">
        <v>1</v>
      </c>
      <c r="F132" s="18" t="s">
        <v>40</v>
      </c>
      <c r="G132" s="19">
        <v>1</v>
      </c>
      <c r="H132" s="19" t="s">
        <v>68</v>
      </c>
      <c r="I132" s="37">
        <f>+(19040*100)/119</f>
        <v>16000</v>
      </c>
      <c r="J132" s="37">
        <f t="shared" si="44"/>
        <v>16000</v>
      </c>
      <c r="K132" s="37">
        <f>+(12499*100)/119</f>
        <v>10503.361344537816</v>
      </c>
      <c r="L132" s="37">
        <f t="shared" si="45"/>
        <v>10503.361344537816</v>
      </c>
      <c r="M132" s="37">
        <f>+(25704*100)/119</f>
        <v>21600</v>
      </c>
      <c r="N132" s="37">
        <f t="shared" si="46"/>
        <v>21600</v>
      </c>
      <c r="O132" s="37">
        <f t="shared" ref="O132:O143" si="47">+AVERAGE(I132,K132,M132)</f>
        <v>16034.453781512604</v>
      </c>
      <c r="P132" s="37">
        <f t="shared" ref="P132:P143" si="48">+O132*E132*G132</f>
        <v>16034.453781512604</v>
      </c>
      <c r="Q132" s="37">
        <f t="shared" ref="Q132:Q143" si="49">+_xlfn.STDEV.P(I132,K132,M132)</f>
        <v>4530.2492690630797</v>
      </c>
      <c r="R132" s="57">
        <f t="shared" ref="R132:R143" si="50">+Q132/O132</f>
        <v>0.28253218542975028</v>
      </c>
      <c r="S132" s="37">
        <f t="shared" ref="S132:S143" si="51">+MEDIAN(I132,K132,M132)</f>
        <v>16000</v>
      </c>
      <c r="T132" s="192">
        <f t="shared" ref="T132:T143" si="52">+S132*G132*E132</f>
        <v>16000</v>
      </c>
      <c r="U132" s="56">
        <f t="shared" ref="U132:U143" si="53">+Q132/S132</f>
        <v>0.28314057931644249</v>
      </c>
      <c r="V132" s="20" t="s">
        <v>318</v>
      </c>
      <c r="W132" s="20" t="s">
        <v>319</v>
      </c>
      <c r="X132" s="20" t="s">
        <v>485</v>
      </c>
    </row>
    <row r="133" spans="1:24" s="21" customFormat="1" ht="33">
      <c r="A133" s="173">
        <v>4</v>
      </c>
      <c r="B133" s="166">
        <v>124</v>
      </c>
      <c r="C133" s="23" t="s">
        <v>254</v>
      </c>
      <c r="D133" s="24" t="s">
        <v>364</v>
      </c>
      <c r="E133" s="18">
        <v>4</v>
      </c>
      <c r="F133" s="18" t="s">
        <v>40</v>
      </c>
      <c r="G133" s="19">
        <v>1</v>
      </c>
      <c r="H133" s="19" t="s">
        <v>68</v>
      </c>
      <c r="I133" s="37">
        <v>15500</v>
      </c>
      <c r="J133" s="37">
        <f t="shared" si="44"/>
        <v>62000</v>
      </c>
      <c r="K133" s="37">
        <v>14000</v>
      </c>
      <c r="L133" s="37">
        <f t="shared" si="45"/>
        <v>56000</v>
      </c>
      <c r="M133" s="42">
        <v>16800</v>
      </c>
      <c r="N133" s="37">
        <f t="shared" si="46"/>
        <v>67200</v>
      </c>
      <c r="O133" s="37">
        <f t="shared" si="47"/>
        <v>15433.333333333334</v>
      </c>
      <c r="P133" s="37">
        <f t="shared" si="48"/>
        <v>61733.333333333336</v>
      </c>
      <c r="Q133" s="37">
        <f t="shared" si="49"/>
        <v>1144.0668201153676</v>
      </c>
      <c r="R133" s="57">
        <f t="shared" si="50"/>
        <v>7.4129599575509783E-2</v>
      </c>
      <c r="S133" s="37">
        <f t="shared" si="51"/>
        <v>15500</v>
      </c>
      <c r="T133" s="192">
        <f t="shared" si="52"/>
        <v>62000</v>
      </c>
      <c r="U133" s="56">
        <f t="shared" si="53"/>
        <v>7.3810762588088233E-2</v>
      </c>
      <c r="V133" s="41" t="s">
        <v>487</v>
      </c>
      <c r="W133" s="50" t="s">
        <v>257</v>
      </c>
      <c r="X133" s="41" t="s">
        <v>486</v>
      </c>
    </row>
    <row r="134" spans="1:24" s="21" customFormat="1" ht="33">
      <c r="A134" s="173">
        <v>4</v>
      </c>
      <c r="B134" s="165">
        <v>125</v>
      </c>
      <c r="C134" s="23" t="s">
        <v>60</v>
      </c>
      <c r="D134" s="24" t="s">
        <v>98</v>
      </c>
      <c r="E134" s="18">
        <v>5</v>
      </c>
      <c r="F134" s="18" t="s">
        <v>40</v>
      </c>
      <c r="G134" s="19">
        <v>4</v>
      </c>
      <c r="H134" s="19" t="s">
        <v>58</v>
      </c>
      <c r="I134" s="37">
        <f>+(1150*100)/119</f>
        <v>966.38655462184875</v>
      </c>
      <c r="J134" s="37">
        <f t="shared" si="44"/>
        <v>19327.731092436974</v>
      </c>
      <c r="K134" s="37">
        <f>+(1850*100)/119</f>
        <v>1554.6218487394958</v>
      </c>
      <c r="L134" s="37">
        <f t="shared" si="45"/>
        <v>31092.436974789918</v>
      </c>
      <c r="M134" s="37">
        <f>+(1680*100)/119</f>
        <v>1411.7647058823529</v>
      </c>
      <c r="N134" s="37">
        <f t="shared" si="46"/>
        <v>28235.294117647059</v>
      </c>
      <c r="O134" s="37">
        <f t="shared" si="47"/>
        <v>1310.9243697478994</v>
      </c>
      <c r="P134" s="37">
        <f t="shared" si="48"/>
        <v>26218.487394957989</v>
      </c>
      <c r="Q134" s="37">
        <f t="shared" si="49"/>
        <v>250.50850997547647</v>
      </c>
      <c r="R134" s="57">
        <f t="shared" si="50"/>
        <v>0.19109303004539549</v>
      </c>
      <c r="S134" s="37">
        <f t="shared" si="51"/>
        <v>1411.7647058823529</v>
      </c>
      <c r="T134" s="192">
        <f t="shared" si="52"/>
        <v>28235.294117647059</v>
      </c>
      <c r="U134" s="56">
        <f t="shared" si="53"/>
        <v>0.17744352789929582</v>
      </c>
      <c r="V134" s="20" t="s">
        <v>62</v>
      </c>
      <c r="W134" s="20" t="s">
        <v>63</v>
      </c>
      <c r="X134" s="20" t="s">
        <v>64</v>
      </c>
    </row>
    <row r="135" spans="1:24" s="21" customFormat="1" ht="82.5">
      <c r="A135" s="173">
        <v>4</v>
      </c>
      <c r="B135" s="166">
        <v>126</v>
      </c>
      <c r="C135" s="23" t="s">
        <v>99</v>
      </c>
      <c r="D135" s="24" t="s">
        <v>100</v>
      </c>
      <c r="E135" s="18">
        <v>100</v>
      </c>
      <c r="F135" s="18" t="s">
        <v>40</v>
      </c>
      <c r="G135" s="19">
        <v>1</v>
      </c>
      <c r="H135" s="19" t="s">
        <v>68</v>
      </c>
      <c r="I135" s="37">
        <f>+(7021*100)/119</f>
        <v>5900</v>
      </c>
      <c r="J135" s="37">
        <f t="shared" ref="J135:J143" si="54">+I135*E135*G135</f>
        <v>590000</v>
      </c>
      <c r="K135" s="37">
        <f>+(5712*100)/119</f>
        <v>4800</v>
      </c>
      <c r="L135" s="37">
        <f t="shared" ref="L135:L143" si="55">+K135*G135*E135</f>
        <v>480000</v>
      </c>
      <c r="M135" s="37">
        <f>+(6700*100)/119</f>
        <v>5630.2521008403364</v>
      </c>
      <c r="N135" s="37">
        <f t="shared" ref="N135:N143" si="56">+M135*G135*E135</f>
        <v>563025.21008403366</v>
      </c>
      <c r="O135" s="37">
        <f t="shared" si="47"/>
        <v>5443.4173669467791</v>
      </c>
      <c r="P135" s="37">
        <f t="shared" si="48"/>
        <v>544341.73669467797</v>
      </c>
      <c r="Q135" s="37">
        <f t="shared" si="49"/>
        <v>468.10284720476216</v>
      </c>
      <c r="R135" s="57">
        <f t="shared" si="50"/>
        <v>8.5994296532753603E-2</v>
      </c>
      <c r="S135" s="37">
        <f t="shared" si="51"/>
        <v>5630.2521008403364</v>
      </c>
      <c r="T135" s="192">
        <f t="shared" si="52"/>
        <v>563025.21008403366</v>
      </c>
      <c r="U135" s="56">
        <f t="shared" si="53"/>
        <v>8.3140654951293566E-2</v>
      </c>
      <c r="V135" s="20" t="s">
        <v>101</v>
      </c>
      <c r="W135" s="20" t="s">
        <v>83</v>
      </c>
      <c r="X135" s="20" t="s">
        <v>63</v>
      </c>
    </row>
    <row r="136" spans="1:24" s="21" customFormat="1" ht="115.5">
      <c r="A136" s="173">
        <v>4</v>
      </c>
      <c r="B136" s="165">
        <v>127</v>
      </c>
      <c r="C136" s="23" t="s">
        <v>219</v>
      </c>
      <c r="D136" s="110" t="s">
        <v>365</v>
      </c>
      <c r="E136" s="18">
        <v>100</v>
      </c>
      <c r="F136" s="18" t="s">
        <v>40</v>
      </c>
      <c r="G136" s="19">
        <v>1</v>
      </c>
      <c r="H136" s="19" t="s">
        <v>68</v>
      </c>
      <c r="I136" s="37">
        <f>+(14161*100)/119</f>
        <v>11900</v>
      </c>
      <c r="J136" s="37">
        <f t="shared" si="54"/>
        <v>1190000</v>
      </c>
      <c r="K136" s="37">
        <f>+(12495*100)/119</f>
        <v>10500</v>
      </c>
      <c r="L136" s="37">
        <f t="shared" si="55"/>
        <v>1050000</v>
      </c>
      <c r="M136" s="37">
        <f>+(10710*100)/119</f>
        <v>9000</v>
      </c>
      <c r="N136" s="37">
        <f t="shared" si="56"/>
        <v>900000</v>
      </c>
      <c r="O136" s="37">
        <f t="shared" si="47"/>
        <v>10466.666666666666</v>
      </c>
      <c r="P136" s="37">
        <f t="shared" si="48"/>
        <v>1046666.6666666666</v>
      </c>
      <c r="Q136" s="37">
        <f t="shared" si="49"/>
        <v>1184.1546445554407</v>
      </c>
      <c r="R136" s="57">
        <f t="shared" si="50"/>
        <v>0.11313579406580644</v>
      </c>
      <c r="S136" s="37">
        <f t="shared" si="51"/>
        <v>10500</v>
      </c>
      <c r="T136" s="192">
        <f t="shared" si="52"/>
        <v>1050000</v>
      </c>
      <c r="U136" s="56">
        <f t="shared" si="53"/>
        <v>0.11277663281480388</v>
      </c>
      <c r="V136" s="24" t="s">
        <v>444</v>
      </c>
      <c r="W136" s="24" t="s">
        <v>445</v>
      </c>
      <c r="X136" s="24" t="s">
        <v>446</v>
      </c>
    </row>
    <row r="137" spans="1:24" s="21" customFormat="1" ht="49.5">
      <c r="A137" s="173">
        <v>4</v>
      </c>
      <c r="B137" s="166">
        <v>128</v>
      </c>
      <c r="C137" s="23" t="s">
        <v>221</v>
      </c>
      <c r="D137" s="110" t="s">
        <v>366</v>
      </c>
      <c r="E137" s="18">
        <v>100</v>
      </c>
      <c r="F137" s="18" t="s">
        <v>40</v>
      </c>
      <c r="G137" s="19">
        <v>1</v>
      </c>
      <c r="H137" s="19" t="s">
        <v>68</v>
      </c>
      <c r="I137" s="37">
        <f>+(2800*100)/119</f>
        <v>2352.9411764705883</v>
      </c>
      <c r="J137" s="37">
        <f t="shared" si="54"/>
        <v>235294.11764705883</v>
      </c>
      <c r="K137" s="37">
        <f>+(3960*100)/119</f>
        <v>3327.7310924369749</v>
      </c>
      <c r="L137" s="37">
        <f t="shared" si="55"/>
        <v>332773.10924369749</v>
      </c>
      <c r="M137" s="37">
        <f>+(3200*100)/119</f>
        <v>2689.0756302521008</v>
      </c>
      <c r="N137" s="37">
        <f t="shared" si="56"/>
        <v>268907.56302521011</v>
      </c>
      <c r="O137" s="37">
        <f t="shared" si="47"/>
        <v>2789.9159663865544</v>
      </c>
      <c r="P137" s="37">
        <f t="shared" si="48"/>
        <v>278991.59663865546</v>
      </c>
      <c r="Q137" s="37">
        <f t="shared" si="49"/>
        <v>404.29397316904755</v>
      </c>
      <c r="R137" s="57">
        <f t="shared" si="50"/>
        <v>0.14491259881661644</v>
      </c>
      <c r="S137" s="37">
        <f t="shared" si="51"/>
        <v>2689.0756302521008</v>
      </c>
      <c r="T137" s="192">
        <f t="shared" si="52"/>
        <v>268907.56302521011</v>
      </c>
      <c r="U137" s="56">
        <f t="shared" si="53"/>
        <v>0.15034682127223956</v>
      </c>
      <c r="V137" s="24" t="s">
        <v>447</v>
      </c>
      <c r="W137" s="24" t="s">
        <v>428</v>
      </c>
      <c r="X137" s="24" t="s">
        <v>429</v>
      </c>
    </row>
    <row r="138" spans="1:24" s="21" customFormat="1" ht="115.5">
      <c r="A138" s="173">
        <v>4</v>
      </c>
      <c r="B138" s="165">
        <v>129</v>
      </c>
      <c r="C138" s="23" t="s">
        <v>367</v>
      </c>
      <c r="D138" s="110" t="s">
        <v>368</v>
      </c>
      <c r="E138" s="18">
        <v>100</v>
      </c>
      <c r="F138" s="18" t="s">
        <v>40</v>
      </c>
      <c r="G138" s="19">
        <v>1</v>
      </c>
      <c r="H138" s="19" t="s">
        <v>68</v>
      </c>
      <c r="I138" s="37">
        <f>+(20000*100)/119</f>
        <v>16806.722689075632</v>
      </c>
      <c r="J138" s="37">
        <f t="shared" si="54"/>
        <v>1680672.2689075633</v>
      </c>
      <c r="K138" s="37">
        <f>+(35381*100)/119</f>
        <v>29731.932773109245</v>
      </c>
      <c r="L138" s="37">
        <f t="shared" si="55"/>
        <v>2973193.2773109246</v>
      </c>
      <c r="M138" s="37">
        <f>+(38119*100)/119</f>
        <v>32032.773109243699</v>
      </c>
      <c r="N138" s="37">
        <f t="shared" si="56"/>
        <v>3203277.3109243698</v>
      </c>
      <c r="O138" s="37">
        <f t="shared" si="47"/>
        <v>26190.476190476194</v>
      </c>
      <c r="P138" s="37">
        <f t="shared" si="48"/>
        <v>2619047.6190476194</v>
      </c>
      <c r="Q138" s="37">
        <f t="shared" si="49"/>
        <v>6701.4719226142752</v>
      </c>
      <c r="R138" s="57">
        <f t="shared" si="50"/>
        <v>0.25587438249981775</v>
      </c>
      <c r="S138" s="37">
        <f t="shared" si="51"/>
        <v>29731.932773109245</v>
      </c>
      <c r="T138" s="192">
        <f t="shared" si="52"/>
        <v>2973193.2773109246</v>
      </c>
      <c r="U138" s="56">
        <f t="shared" si="53"/>
        <v>0.22539644407764017</v>
      </c>
      <c r="V138" s="24" t="s">
        <v>448</v>
      </c>
      <c r="W138" s="24" t="s">
        <v>449</v>
      </c>
      <c r="X138" s="24" t="s">
        <v>450</v>
      </c>
    </row>
    <row r="139" spans="1:24" s="21" customFormat="1" ht="49.5">
      <c r="A139" s="173">
        <v>4</v>
      </c>
      <c r="B139" s="166">
        <v>130</v>
      </c>
      <c r="C139" s="182" t="s">
        <v>51</v>
      </c>
      <c r="D139" s="110" t="s">
        <v>453</v>
      </c>
      <c r="E139" s="18">
        <v>8</v>
      </c>
      <c r="F139" s="18" t="s">
        <v>390</v>
      </c>
      <c r="G139" s="19">
        <v>6</v>
      </c>
      <c r="H139" s="19" t="s">
        <v>55</v>
      </c>
      <c r="I139" s="37">
        <f>(50000*E139)</f>
        <v>400000</v>
      </c>
      <c r="J139" s="37">
        <f>+I139*G139</f>
        <v>2400000</v>
      </c>
      <c r="K139" s="99">
        <v>266667</v>
      </c>
      <c r="L139" s="99">
        <f>+K139*G139</f>
        <v>1600002</v>
      </c>
      <c r="M139" s="99">
        <v>673389</v>
      </c>
      <c r="N139" s="37">
        <f>+M139*G139</f>
        <v>4040334</v>
      </c>
      <c r="O139" s="37">
        <f t="shared" si="47"/>
        <v>446685.33333333331</v>
      </c>
      <c r="P139" s="37">
        <f>+O139*G139</f>
        <v>2680112</v>
      </c>
      <c r="Q139" s="37">
        <f t="shared" si="49"/>
        <v>169293.30875206564</v>
      </c>
      <c r="R139" s="57">
        <f t="shared" si="50"/>
        <v>0.37899903157494685</v>
      </c>
      <c r="S139" s="37">
        <f t="shared" si="51"/>
        <v>400000</v>
      </c>
      <c r="T139" s="192">
        <f>+S139*G139</f>
        <v>2400000</v>
      </c>
      <c r="U139" s="56">
        <f t="shared" si="53"/>
        <v>0.42323327188016407</v>
      </c>
      <c r="V139" s="24" t="s">
        <v>454</v>
      </c>
      <c r="W139" s="105" t="s">
        <v>496</v>
      </c>
      <c r="X139" s="105" t="s">
        <v>472</v>
      </c>
    </row>
    <row r="140" spans="1:24" s="21" customFormat="1" ht="49.5">
      <c r="A140" s="173">
        <v>4</v>
      </c>
      <c r="B140" s="165">
        <v>131</v>
      </c>
      <c r="C140" s="23" t="s">
        <v>94</v>
      </c>
      <c r="D140" s="146" t="s">
        <v>369</v>
      </c>
      <c r="E140" s="18">
        <v>30</v>
      </c>
      <c r="F140" s="18" t="s">
        <v>40</v>
      </c>
      <c r="G140" s="19">
        <v>6</v>
      </c>
      <c r="H140" s="19" t="s">
        <v>55</v>
      </c>
      <c r="I140" s="37">
        <f>+(20000*100)/119</f>
        <v>16806.722689075632</v>
      </c>
      <c r="J140" s="37">
        <f t="shared" si="54"/>
        <v>3025210.084033614</v>
      </c>
      <c r="K140" s="37">
        <f>+(20000*100)/119</f>
        <v>16806.722689075632</v>
      </c>
      <c r="L140" s="37">
        <f t="shared" si="55"/>
        <v>3025210.084033614</v>
      </c>
      <c r="M140" s="37">
        <f>+(21500*100)/119</f>
        <v>18067.226890756301</v>
      </c>
      <c r="N140" s="37">
        <f t="shared" si="56"/>
        <v>3252100.8403361347</v>
      </c>
      <c r="O140" s="37">
        <f t="shared" si="47"/>
        <v>17226.890756302524</v>
      </c>
      <c r="P140" s="37">
        <f t="shared" si="48"/>
        <v>3100840.3361344542</v>
      </c>
      <c r="Q140" s="37">
        <f t="shared" si="49"/>
        <v>594.20737914835786</v>
      </c>
      <c r="R140" s="57">
        <f t="shared" si="50"/>
        <v>3.4493013716416866E-2</v>
      </c>
      <c r="S140" s="37">
        <f t="shared" si="51"/>
        <v>16806.722689075632</v>
      </c>
      <c r="T140" s="192">
        <f t="shared" si="52"/>
        <v>3025210.084033614</v>
      </c>
      <c r="U140" s="56">
        <f t="shared" si="53"/>
        <v>3.5355339059327286E-2</v>
      </c>
      <c r="V140" s="24" t="s">
        <v>478</v>
      </c>
      <c r="W140" s="24" t="s">
        <v>463</v>
      </c>
      <c r="X140" s="24" t="s">
        <v>464</v>
      </c>
    </row>
    <row r="141" spans="1:24" s="265" customFormat="1" ht="33">
      <c r="A141" s="256">
        <v>4</v>
      </c>
      <c r="B141" s="257">
        <v>132</v>
      </c>
      <c r="C141" s="258" t="s">
        <v>60</v>
      </c>
      <c r="D141" s="259" t="s">
        <v>98</v>
      </c>
      <c r="E141" s="260">
        <v>30</v>
      </c>
      <c r="F141" s="260" t="s">
        <v>40</v>
      </c>
      <c r="G141" s="261">
        <v>1</v>
      </c>
      <c r="H141" s="261" t="s">
        <v>68</v>
      </c>
      <c r="I141" s="262">
        <f>+(1150*100)/119</f>
        <v>966.38655462184875</v>
      </c>
      <c r="J141" s="262">
        <f>+I141*E141*G141</f>
        <v>28991.596638655461</v>
      </c>
      <c r="K141" s="262">
        <f>+(1850*100)/119</f>
        <v>1554.6218487394958</v>
      </c>
      <c r="L141" s="262">
        <f t="shared" si="55"/>
        <v>46638.655462184877</v>
      </c>
      <c r="M141" s="262">
        <f>+(1680*100)/119</f>
        <v>1411.7647058823529</v>
      </c>
      <c r="N141" s="262">
        <f t="shared" si="56"/>
        <v>42352.941176470587</v>
      </c>
      <c r="O141" s="262">
        <f t="shared" si="47"/>
        <v>1310.9243697478994</v>
      </c>
      <c r="P141" s="262">
        <f t="shared" si="48"/>
        <v>39327.731092436981</v>
      </c>
      <c r="Q141" s="262">
        <f t="shared" si="49"/>
        <v>250.50850997547647</v>
      </c>
      <c r="R141" s="263">
        <f t="shared" si="50"/>
        <v>0.19109303004539549</v>
      </c>
      <c r="S141" s="262">
        <f t="shared" si="51"/>
        <v>1411.7647058823529</v>
      </c>
      <c r="T141" s="192">
        <f t="shared" si="52"/>
        <v>42352.941176470587</v>
      </c>
      <c r="U141" s="264">
        <f t="shared" si="53"/>
        <v>0.17744352789929582</v>
      </c>
      <c r="V141" s="98" t="s">
        <v>62</v>
      </c>
      <c r="W141" s="98" t="s">
        <v>63</v>
      </c>
      <c r="X141" s="98" t="s">
        <v>64</v>
      </c>
    </row>
    <row r="142" spans="1:24" s="21" customFormat="1" ht="148.5">
      <c r="A142" s="173">
        <v>4</v>
      </c>
      <c r="B142" s="165">
        <v>133</v>
      </c>
      <c r="C142" s="23" t="s">
        <v>370</v>
      </c>
      <c r="D142" s="110" t="s">
        <v>371</v>
      </c>
      <c r="E142" s="18">
        <v>180</v>
      </c>
      <c r="F142" s="18" t="s">
        <v>40</v>
      </c>
      <c r="G142" s="19">
        <v>1</v>
      </c>
      <c r="H142" s="19" t="s">
        <v>68</v>
      </c>
      <c r="I142" s="37">
        <v>12000</v>
      </c>
      <c r="J142" s="37">
        <f t="shared" si="54"/>
        <v>2160000</v>
      </c>
      <c r="K142" s="37">
        <f>+(15000*100)/119</f>
        <v>12605.042016806723</v>
      </c>
      <c r="L142" s="37">
        <f t="shared" si="55"/>
        <v>2268907.5630252101</v>
      </c>
      <c r="M142" s="99">
        <v>14636</v>
      </c>
      <c r="N142" s="37">
        <f t="shared" si="56"/>
        <v>2634480</v>
      </c>
      <c r="O142" s="37">
        <f t="shared" si="47"/>
        <v>13080.347338935573</v>
      </c>
      <c r="P142" s="37">
        <f t="shared" si="48"/>
        <v>2354462.521008403</v>
      </c>
      <c r="Q142" s="37">
        <f t="shared" si="49"/>
        <v>1127.4042049277057</v>
      </c>
      <c r="R142" s="57">
        <f t="shared" si="50"/>
        <v>8.6190693237313473E-2</v>
      </c>
      <c r="S142" s="37">
        <f t="shared" si="51"/>
        <v>12605.042016806723</v>
      </c>
      <c r="T142" s="192">
        <f t="shared" si="52"/>
        <v>2268907.5630252101</v>
      </c>
      <c r="U142" s="56">
        <f t="shared" si="53"/>
        <v>8.9440733590931312E-2</v>
      </c>
      <c r="V142" s="24" t="s">
        <v>446</v>
      </c>
      <c r="W142" s="24" t="s">
        <v>451</v>
      </c>
      <c r="X142" s="105" t="s">
        <v>488</v>
      </c>
    </row>
    <row r="143" spans="1:24" s="21" customFormat="1" ht="49.5">
      <c r="A143" s="173">
        <v>4</v>
      </c>
      <c r="B143" s="166">
        <v>134</v>
      </c>
      <c r="C143" s="23" t="s">
        <v>221</v>
      </c>
      <c r="D143" s="110" t="s">
        <v>372</v>
      </c>
      <c r="E143" s="18">
        <v>180</v>
      </c>
      <c r="F143" s="18" t="s">
        <v>40</v>
      </c>
      <c r="G143" s="19">
        <v>1</v>
      </c>
      <c r="H143" s="19" t="s">
        <v>68</v>
      </c>
      <c r="I143" s="37">
        <v>2800</v>
      </c>
      <c r="J143" s="37">
        <f t="shared" si="54"/>
        <v>504000</v>
      </c>
      <c r="K143" s="37">
        <f>+(3200*100)/119</f>
        <v>2689.0756302521008</v>
      </c>
      <c r="L143" s="37">
        <f t="shared" si="55"/>
        <v>484033.61344537814</v>
      </c>
      <c r="M143" s="37">
        <f>+(3960*100)/119</f>
        <v>3327.7310924369749</v>
      </c>
      <c r="N143" s="37">
        <f t="shared" si="56"/>
        <v>598991.59663865552</v>
      </c>
      <c r="O143" s="37">
        <f t="shared" si="47"/>
        <v>2938.9355742296916</v>
      </c>
      <c r="P143" s="37">
        <f t="shared" si="48"/>
        <v>529008.40336134448</v>
      </c>
      <c r="Q143" s="37">
        <f t="shared" si="49"/>
        <v>278.62462224833905</v>
      </c>
      <c r="R143" s="57">
        <f t="shared" si="50"/>
        <v>9.480460364340168E-2</v>
      </c>
      <c r="S143" s="37">
        <f t="shared" si="51"/>
        <v>2800</v>
      </c>
      <c r="T143" s="192">
        <f t="shared" si="52"/>
        <v>504000</v>
      </c>
      <c r="U143" s="56">
        <f t="shared" si="53"/>
        <v>9.9508793660121095E-2</v>
      </c>
      <c r="V143" s="24" t="s">
        <v>447</v>
      </c>
      <c r="W143" s="24" t="s">
        <v>428</v>
      </c>
      <c r="X143" s="24" t="s">
        <v>429</v>
      </c>
    </row>
    <row r="144" spans="1:24" s="21" customFormat="1" ht="16.5">
      <c r="B144" s="11"/>
      <c r="C144" s="13"/>
      <c r="D144" s="11"/>
      <c r="E144" s="10"/>
      <c r="F144" s="11"/>
      <c r="G144" s="10"/>
      <c r="H144" s="10"/>
      <c r="I144" s="40"/>
      <c r="J144" s="40"/>
      <c r="K144" s="40"/>
      <c r="L144" s="37"/>
      <c r="M144" s="40"/>
      <c r="N144" s="40"/>
      <c r="O144" s="40"/>
      <c r="P144" s="40"/>
      <c r="Q144" s="40"/>
      <c r="R144" s="40"/>
      <c r="S144" s="40"/>
      <c r="T144" s="207"/>
      <c r="U144" s="40"/>
      <c r="V144" s="11"/>
      <c r="W144" s="11"/>
      <c r="X144" s="11"/>
    </row>
    <row r="145" spans="1:34" s="21" customFormat="1" ht="17.25" thickBot="1">
      <c r="B145" s="11"/>
      <c r="C145" s="13"/>
      <c r="D145" s="11"/>
      <c r="E145" s="10"/>
      <c r="F145" s="11"/>
      <c r="G145" s="10"/>
      <c r="H145" s="10"/>
      <c r="I145" s="40"/>
      <c r="J145" s="40"/>
      <c r="K145" s="40"/>
      <c r="L145" s="40"/>
      <c r="M145" s="40"/>
      <c r="N145" s="40"/>
      <c r="O145" s="40"/>
      <c r="P145" s="40"/>
      <c r="Q145" s="40"/>
      <c r="R145" s="40"/>
      <c r="S145" s="40"/>
      <c r="T145" s="207"/>
      <c r="U145" s="40"/>
      <c r="V145" s="11"/>
      <c r="W145" s="11"/>
      <c r="X145" s="11"/>
    </row>
    <row r="146" spans="1:34" s="21" customFormat="1" ht="24" thickBot="1">
      <c r="A146" s="147"/>
      <c r="B146" s="147" t="s">
        <v>489</v>
      </c>
      <c r="D146" s="33"/>
      <c r="E146" s="34"/>
      <c r="F146" s="33"/>
      <c r="G146" s="34"/>
      <c r="H146" s="34"/>
      <c r="I146" s="38"/>
      <c r="J146" s="38"/>
      <c r="K146" s="38"/>
      <c r="L146" s="38"/>
      <c r="M146" s="38"/>
      <c r="N146" s="38"/>
      <c r="O146" s="252" t="s">
        <v>491</v>
      </c>
      <c r="P146" s="253"/>
      <c r="Q146" s="38"/>
      <c r="R146" s="38"/>
      <c r="S146" s="254" t="s">
        <v>495</v>
      </c>
      <c r="T146" s="255"/>
      <c r="U146" s="38"/>
      <c r="V146" s="33"/>
      <c r="W146" s="33"/>
      <c r="X146" s="33"/>
    </row>
    <row r="147" spans="1:34" ht="23.25">
      <c r="A147" s="148">
        <f>+SUMPRODUCT(LEN(A4:A143)-LEN(SUBSTITUTE(A4:A143,"0","")))</f>
        <v>17</v>
      </c>
      <c r="B147" s="148">
        <v>0</v>
      </c>
      <c r="D147" s="12"/>
      <c r="E147" s="12"/>
      <c r="F147" s="12"/>
      <c r="G147" s="14"/>
      <c r="H147" s="14"/>
      <c r="I147" s="39"/>
      <c r="J147" s="39"/>
      <c r="K147" s="39"/>
      <c r="L147" s="39"/>
      <c r="M147" s="39"/>
      <c r="N147" s="39"/>
      <c r="O147" s="174" t="s">
        <v>492</v>
      </c>
      <c r="P147" s="175">
        <f>SUM(P4:P143)</f>
        <v>647352810.40569508</v>
      </c>
      <c r="Q147" s="39"/>
      <c r="R147" s="39"/>
      <c r="S147" s="174" t="s">
        <v>492</v>
      </c>
      <c r="T147" s="208">
        <f>SUM(T4:T143)</f>
        <v>638410618.73193276</v>
      </c>
      <c r="U147" s="39"/>
      <c r="V147" s="12"/>
      <c r="W147" s="12"/>
      <c r="X147" s="12"/>
      <c r="Y147" s="33"/>
      <c r="Z147" s="33"/>
      <c r="AA147" s="33"/>
      <c r="AB147" s="33"/>
      <c r="AC147" s="33"/>
      <c r="AD147" s="33"/>
      <c r="AE147" s="33"/>
      <c r="AF147" s="33"/>
      <c r="AG147" s="33"/>
      <c r="AH147" s="33"/>
    </row>
    <row r="148" spans="1:34" ht="23.25">
      <c r="A148" s="148">
        <f>+SUMPRODUCT(LEN(A4:A143)-LEN(SUBSTITUTE(A4:A143,"1","")))</f>
        <v>21</v>
      </c>
      <c r="B148" s="148">
        <v>1</v>
      </c>
      <c r="O148" s="176" t="s">
        <v>493</v>
      </c>
      <c r="P148" s="175">
        <f>P147*0.19</f>
        <v>122997033.97708207</v>
      </c>
      <c r="S148" s="176" t="s">
        <v>493</v>
      </c>
      <c r="T148" s="209">
        <f>T147*0.19</f>
        <v>121298017.55906722</v>
      </c>
      <c r="Y148" s="33"/>
      <c r="Z148" s="33"/>
      <c r="AA148" s="33"/>
      <c r="AB148" s="33"/>
      <c r="AC148" s="33"/>
      <c r="AD148" s="33"/>
      <c r="AE148" s="33"/>
      <c r="AF148" s="33"/>
      <c r="AG148" s="33"/>
      <c r="AH148" s="33"/>
    </row>
    <row r="149" spans="1:34" ht="24" thickBot="1">
      <c r="A149" s="148">
        <f>+SUMPRODUCT(LEN(A5:A144)-LEN(SUBSTITUTE(A5:A144,"2","")))</f>
        <v>15</v>
      </c>
      <c r="B149" s="148">
        <v>2</v>
      </c>
      <c r="O149" s="177" t="s">
        <v>494</v>
      </c>
      <c r="P149" s="178">
        <f>P147+P148</f>
        <v>770349844.38277721</v>
      </c>
      <c r="S149" s="177" t="s">
        <v>494</v>
      </c>
      <c r="T149" s="210">
        <f>T147+T148</f>
        <v>759708636.29100001</v>
      </c>
      <c r="Y149" s="33"/>
      <c r="Z149" s="33"/>
      <c r="AA149" s="33"/>
      <c r="AB149" s="33"/>
      <c r="AC149" s="33"/>
      <c r="AD149" s="33"/>
      <c r="AE149" s="33"/>
      <c r="AF149" s="33"/>
      <c r="AG149" s="33"/>
      <c r="AH149" s="33"/>
    </row>
    <row r="150" spans="1:34">
      <c r="A150" s="148">
        <f>+SUMPRODUCT(LEN(A4:A143)-LEN(SUBSTITUTE(A4:A143,"3","")))</f>
        <v>17</v>
      </c>
      <c r="B150" s="148">
        <v>3</v>
      </c>
      <c r="Y150" s="33"/>
      <c r="Z150" s="33"/>
      <c r="AA150" s="33"/>
      <c r="AB150" s="33"/>
      <c r="AC150" s="33"/>
      <c r="AD150" s="33"/>
      <c r="AE150" s="33"/>
      <c r="AF150" s="33"/>
      <c r="AG150" s="33"/>
      <c r="AH150" s="33"/>
    </row>
    <row r="151" spans="1:34" ht="15">
      <c r="Y151" s="33"/>
      <c r="Z151" s="33"/>
      <c r="AA151" s="33"/>
      <c r="AB151" s="33"/>
      <c r="AC151" s="33"/>
      <c r="AD151" s="33"/>
      <c r="AE151" s="33"/>
      <c r="AF151" s="33"/>
      <c r="AG151" s="33"/>
      <c r="AH151" s="33"/>
    </row>
    <row r="152" spans="1:34" ht="15">
      <c r="Y152" s="33"/>
      <c r="Z152" s="33"/>
      <c r="AA152" s="33"/>
      <c r="AB152" s="33"/>
      <c r="AC152" s="33"/>
      <c r="AD152" s="33"/>
      <c r="AE152" s="33"/>
      <c r="AF152" s="33"/>
      <c r="AG152" s="33"/>
      <c r="AH152" s="33"/>
    </row>
    <row r="153" spans="1:34" ht="16.5" customHeight="1">
      <c r="Y153" s="33"/>
      <c r="Z153" s="33"/>
      <c r="AA153" s="33"/>
      <c r="AB153" s="33"/>
      <c r="AC153" s="33"/>
      <c r="AD153" s="33"/>
      <c r="AE153" s="33"/>
      <c r="AF153" s="33"/>
      <c r="AG153" s="33"/>
      <c r="AH153" s="33"/>
    </row>
  </sheetData>
  <autoFilter ref="A1:X143"/>
  <mergeCells count="2">
    <mergeCell ref="O146:P146"/>
    <mergeCell ref="S146:T146"/>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12305a7-4643-42c2-abe4-4dfc5677ea0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B75D0021E09AB429A37C9EA6E9D2B18" ma:contentTypeVersion="12" ma:contentTypeDescription="Crear nuevo documento." ma:contentTypeScope="" ma:versionID="f279a0214a63c88be9105fecfe1dccfa">
  <xsd:schema xmlns:xsd="http://www.w3.org/2001/XMLSchema" xmlns:xs="http://www.w3.org/2001/XMLSchema" xmlns:p="http://schemas.microsoft.com/office/2006/metadata/properties" xmlns:ns3="412305a7-4643-42c2-abe4-4dfc5677ea0b" targetNamespace="http://schemas.microsoft.com/office/2006/metadata/properties" ma:root="true" ma:fieldsID="b784cee7feb0a47a9660545c9ce7d19d" ns3:_="">
    <xsd:import namespace="412305a7-4643-42c2-abe4-4dfc5677ea0b"/>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2305a7-4643-42c2-abe4-4dfc5677ea0b"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42584A-0C7A-439A-9412-913EFDEEE174}">
  <ds:schemaRefs>
    <ds:schemaRef ds:uri="http://schemas.microsoft.com/office/2006/metadata/properties"/>
    <ds:schemaRef ds:uri="http://schemas.microsoft.com/office/infopath/2007/PartnerControls"/>
    <ds:schemaRef ds:uri="412305a7-4643-42c2-abe4-4dfc5677ea0b"/>
  </ds:schemaRefs>
</ds:datastoreItem>
</file>

<file path=customXml/itemProps2.xml><?xml version="1.0" encoding="utf-8"?>
<ds:datastoreItem xmlns:ds="http://schemas.openxmlformats.org/officeDocument/2006/customXml" ds:itemID="{B621DA91-B398-419B-AA69-35AA4A5C052F}">
  <ds:schemaRefs>
    <ds:schemaRef ds:uri="http://schemas.microsoft.com/sharepoint/v3/contenttype/forms"/>
  </ds:schemaRefs>
</ds:datastoreItem>
</file>

<file path=customXml/itemProps3.xml><?xml version="1.0" encoding="utf-8"?>
<ds:datastoreItem xmlns:ds="http://schemas.openxmlformats.org/officeDocument/2006/customXml" ds:itemID="{9DF33C7B-C9C6-45BD-889C-9D5226ECA1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2305a7-4643-42c2-abe4-4dfc5677ea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INICIO</vt:lpstr>
      <vt:lpstr>ESPECIFICACIONES TECNICAS (2)</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57320</cp:lastModifiedBy>
  <cp:revision/>
  <dcterms:created xsi:type="dcterms:W3CDTF">2022-06-01T16:02:37Z</dcterms:created>
  <dcterms:modified xsi:type="dcterms:W3CDTF">2026-08-11T13:07:47Z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0x010100DB75D0021E09AB429A37C9EA6E9D2B18</vt:lpwstr>
  </property>
</Properties>
</file>