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bagueeduco-my.sharepoint.com/personal/2520181004_estudiantesunibague_edu_co/Documents/1. ACALDÍA DE PITALITO/1. SECRETARÍA DE EDUCACIÓN/1. LICITACIÓN PUBLICA ADECUACIONES/1. OBRA/"/>
    </mc:Choice>
  </mc:AlternateContent>
  <xr:revisionPtr revIDLastSave="404" documentId="8_{E46BA412-1107-419B-B386-1B3762A897B2}" xr6:coauthVersionLast="47" xr6:coauthVersionMax="47" xr10:uidLastSave="{ED63AA58-2EF4-4DD1-B7F2-4DF2BE5C4999}"/>
  <bookViews>
    <workbookView xWindow="-108" yWindow="-108" windowWidth="23256" windowHeight="12456" firstSheet="18" activeTab="27" xr2:uid="{CBC88ABA-BB28-494B-8B38-425303DED508}"/>
  </bookViews>
  <sheets>
    <sheet name="PRESUPUESTO OFICIAL" sheetId="5" r:id="rId1"/>
    <sheet name="A.I.U  OBRA LIC" sheetId="7" r:id="rId2"/>
    <sheet name="O.C. 1" sheetId="6" r:id="rId3"/>
    <sheet name="O.C. 2" sheetId="8" r:id="rId4"/>
    <sheet name="O.C. 3" sheetId="9" r:id="rId5"/>
    <sheet name="O.C. 4" sheetId="10" r:id="rId6"/>
    <sheet name="O.C. 5" sheetId="12" r:id="rId7"/>
    <sheet name="O.C. 6" sheetId="13" r:id="rId8"/>
    <sheet name="O.C. 7" sheetId="14" r:id="rId9"/>
    <sheet name="O.C. 8" sheetId="15" r:id="rId10"/>
    <sheet name="O.C. 9" sheetId="16" r:id="rId11"/>
    <sheet name="O.C. 10" sheetId="17" r:id="rId12"/>
    <sheet name="O.C. 11" sheetId="19" r:id="rId13"/>
    <sheet name="O.C. 12" sheetId="20" r:id="rId14"/>
    <sheet name="O.C. 13" sheetId="21" r:id="rId15"/>
    <sheet name="O.C. 14" sheetId="22" r:id="rId16"/>
    <sheet name="O.C. 15" sheetId="23" r:id="rId17"/>
    <sheet name="O.C. 16" sheetId="24" r:id="rId18"/>
    <sheet name="O.C. 17" sheetId="25" r:id="rId19"/>
    <sheet name="O.C. 18" sheetId="26" r:id="rId20"/>
    <sheet name="O.C. 19" sheetId="27" r:id="rId21"/>
    <sheet name="O.C. 20" sheetId="28" r:id="rId22"/>
    <sheet name="O.C. 21" sheetId="29" r:id="rId23"/>
    <sheet name="O.C. 22" sheetId="30" r:id="rId24"/>
    <sheet name="O.C. 23" sheetId="31" r:id="rId25"/>
    <sheet name="O.C. 24" sheetId="32" r:id="rId26"/>
    <sheet name="O.C. 25" sheetId="33" r:id="rId27"/>
    <sheet name="O.C. 26" sheetId="34" r:id="rId28"/>
    <sheet name="CRONOGRAMA GENERAL" sheetId="4" r:id="rId29"/>
  </sheets>
  <definedNames>
    <definedName name="\a">#REF!</definedName>
    <definedName name="\b">#REF!</definedName>
    <definedName name="\eliminar">#REF!</definedName>
    <definedName name="\eliminar1">#REF!</definedName>
    <definedName name="\q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XC6">#REF!</definedName>
    <definedName name="____________EXC7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aiu2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MPT5689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#REF!</definedName>
    <definedName name="__125620HJ">#REF!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tab1">#REF!</definedName>
    <definedName name="__tab2">#REF!</definedName>
    <definedName name="__tab3">#REF!</definedName>
    <definedName name="__TAB4">#REF!</definedName>
    <definedName name="__Vol1">#REF!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iu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SAL1">#REF!</definedName>
    <definedName name="_SZFHH">#REF!</definedName>
    <definedName name="_tab1">#REF!</definedName>
    <definedName name="_tab2">#REF!</definedName>
    <definedName name="_tab3">#REF!</definedName>
    <definedName name="_TAB4">#REF!</definedName>
    <definedName name="_Vol1">#REF!</definedName>
    <definedName name="a">#REF!</definedName>
    <definedName name="A_impresión_IM">#REF!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b">#REF!</definedName>
    <definedName name="abc">#REF!</definedName>
    <definedName name="ABR">#REF!</definedName>
    <definedName name="ACALZADA">#REF!</definedName>
    <definedName name="AccessDatabase" hidden="1">"C:\C-314\VOLUMENES\volfin4.mdb"</definedName>
    <definedName name="ACERO_DE_REFUERZO_60000">#REF!</definedName>
    <definedName name="AGO">#REF!</definedName>
    <definedName name="AGOOO">#REF!</definedName>
    <definedName name="aiu">#REF!</definedName>
    <definedName name="AIU_ADMON">#REF!</definedName>
    <definedName name="AIU_IMP">#REF!</definedName>
    <definedName name="AIU_UTIL">#REF!</definedName>
    <definedName name="Ajuste">#REF!</definedName>
    <definedName name="AMBIENTAL">#REF!</definedName>
    <definedName name="Ao">#REF!</definedName>
    <definedName name="AREA">#REF!</definedName>
    <definedName name="_xlnm.Print_Area" localSheetId="1">'A.I.U  OBRA LIC'!$A$1:$G$53</definedName>
    <definedName name="_xlnm.Print_Area" localSheetId="28">'CRONOGRAMA GENERAL'!$B$1:$K$33</definedName>
    <definedName name="_xlnm.Print_Area" localSheetId="2">'O.C. 1'!$B$1:$K$32</definedName>
    <definedName name="_xlnm.Print_Area" localSheetId="11">'O.C. 10'!$B$1:$K$38</definedName>
    <definedName name="_xlnm.Print_Area" localSheetId="12">'O.C. 11'!$B$1:$K$39</definedName>
    <definedName name="_xlnm.Print_Area" localSheetId="13">'O.C. 12'!$B$1:$K$32</definedName>
    <definedName name="_xlnm.Print_Area" localSheetId="14">'O.C. 13'!$B$1:$K$25</definedName>
    <definedName name="_xlnm.Print_Area" localSheetId="15">'O.C. 14'!$B$1:$K$45</definedName>
    <definedName name="_xlnm.Print_Area" localSheetId="16">'O.C. 15'!$B$1:$K$32</definedName>
    <definedName name="_xlnm.Print_Area" localSheetId="17">'O.C. 16'!$B$1:$K$98</definedName>
    <definedName name="_xlnm.Print_Area" localSheetId="18">'O.C. 17'!$B$1:$K$32</definedName>
    <definedName name="_xlnm.Print_Area" localSheetId="19">'O.C. 18'!$B$1:$K$30</definedName>
    <definedName name="_xlnm.Print_Area" localSheetId="20">'O.C. 19'!$B$1:$K$42</definedName>
    <definedName name="_xlnm.Print_Area" localSheetId="3">'O.C. 2'!$B$1:$K$32</definedName>
    <definedName name="_xlnm.Print_Area" localSheetId="21">'O.C. 20'!$B$1:$K$32</definedName>
    <definedName name="_xlnm.Print_Area" localSheetId="22">'O.C. 21'!$B$1:$K$25</definedName>
    <definedName name="_xlnm.Print_Area" localSheetId="23">'O.C. 22'!$B$1:$K$33</definedName>
    <definedName name="_xlnm.Print_Area" localSheetId="24">'O.C. 23'!$B$1:$K$35</definedName>
    <definedName name="_xlnm.Print_Area" localSheetId="25">'O.C. 24'!$B$1:$K$32</definedName>
    <definedName name="_xlnm.Print_Area" localSheetId="26">'O.C. 25'!$B$1:$K$33</definedName>
    <definedName name="_xlnm.Print_Area" localSheetId="27">'O.C. 26'!$B$1:$K$15</definedName>
    <definedName name="_xlnm.Print_Area" localSheetId="4">'O.C. 3'!$B$1:$K$24</definedName>
    <definedName name="_xlnm.Print_Area" localSheetId="5">'O.C. 4'!$B$1:$K$21</definedName>
    <definedName name="_xlnm.Print_Area" localSheetId="6">'O.C. 5'!$B$1:$K$18</definedName>
    <definedName name="_xlnm.Print_Area" localSheetId="7">'O.C. 6'!$B$1:$K$32</definedName>
    <definedName name="_xlnm.Print_Area" localSheetId="8">'O.C. 7'!$B$1:$K$85</definedName>
    <definedName name="_xlnm.Print_Area" localSheetId="9">'O.C. 8'!$B$1:$K$32</definedName>
    <definedName name="_xlnm.Print_Area" localSheetId="10">'O.C. 9'!$B$1:$K$24</definedName>
    <definedName name="_xlnm.Print_Area" localSheetId="0">'PRESUPUESTO OFICIAL'!$B$1:$K$818</definedName>
    <definedName name="_xlnm.Print_Area">#REF!</definedName>
    <definedName name="ATenerEnCuenta">#REF!</definedName>
    <definedName name="AU">#REF!</definedName>
    <definedName name="AUTOPISTA">#REF!</definedName>
    <definedName name="b">#REF!</definedName>
    <definedName name="B_impresión_IM">#REF!</definedName>
    <definedName name="BANCO">#REF!</definedName>
    <definedName name="BASE">#REF!</definedName>
    <definedName name="BASE2">#REF!</definedName>
    <definedName name="_xlnm.Database">#REF!</definedName>
    <definedName name="BL">#REF!</definedName>
    <definedName name="BO">#REF!</definedName>
    <definedName name="C_Apus" comment="Codigo Apus">#REF!</definedName>
    <definedName name="Calidad">#REF!</definedName>
    <definedName name="Campament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c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S_V_INDICES_CIRCUITO_CAUSA">#REF!</definedName>
    <definedName name="CEE">#REF!</definedName>
    <definedName name="CIRCUITOS">#REF!</definedName>
    <definedName name="CIRCUNVALAR">#REF!</definedName>
    <definedName name="Ciudades">#REF!</definedName>
    <definedName name="CL">#REF!</definedName>
    <definedName name="Codigo" comment="Codigo Insumo">#REF!</definedName>
    <definedName name="Codigo_M.Obra" comment="Mano de obra ">#REF!</definedName>
    <definedName name="codigos">#REF!</definedName>
    <definedName name="CONCRETO_2000">#REF!</definedName>
    <definedName name="CONCTOSIMP123">#REF!</definedName>
    <definedName name="CONDI1">#REF!</definedName>
    <definedName name="Consultor">#REF!</definedName>
    <definedName name="Contrato">#REF!</definedName>
    <definedName name="Coordinador">#REF!</definedName>
    <definedName name="CosteoConsultoria">#REF!</definedName>
    <definedName name="CostoDirecto">#REF!</definedName>
    <definedName name="CostoDirectoObra">#REF!</definedName>
    <definedName name="Costopérdidas">#REF!</definedName>
    <definedName name="CotizacionARP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s">#REF!</definedName>
    <definedName name="D">#REF!</definedName>
    <definedName name="DADADAD" localSheetId="1" hidden="1">{#N/A,#N/A,TRUE,"CODIGO DEPENDENCIA"}</definedName>
    <definedName name="DADADAD" localSheetId="28" hidden="1">{#N/A,#N/A,TRUE,"CODIGO DEPENDENCIA"}</definedName>
    <definedName name="DADADAD" localSheetId="2" hidden="1">{#N/A,#N/A,TRUE,"CODIGO DEPENDENCIA"}</definedName>
    <definedName name="DADADAD" localSheetId="11" hidden="1">{#N/A,#N/A,TRUE,"CODIGO DEPENDENCIA"}</definedName>
    <definedName name="DADADAD" localSheetId="12" hidden="1">{#N/A,#N/A,TRUE,"CODIGO DEPENDENCIA"}</definedName>
    <definedName name="DADADAD" localSheetId="13" hidden="1">{#N/A,#N/A,TRUE,"CODIGO DEPENDENCIA"}</definedName>
    <definedName name="DADADAD" localSheetId="14" hidden="1">{#N/A,#N/A,TRUE,"CODIGO DEPENDENCIA"}</definedName>
    <definedName name="DADADAD" localSheetId="15" hidden="1">{#N/A,#N/A,TRUE,"CODIGO DEPENDENCIA"}</definedName>
    <definedName name="DADADAD" localSheetId="16" hidden="1">{#N/A,#N/A,TRUE,"CODIGO DEPENDENCIA"}</definedName>
    <definedName name="DADADAD" localSheetId="17" hidden="1">{#N/A,#N/A,TRUE,"CODIGO DEPENDENCIA"}</definedName>
    <definedName name="DADADAD" localSheetId="18" hidden="1">{#N/A,#N/A,TRUE,"CODIGO DEPENDENCIA"}</definedName>
    <definedName name="DADADAD" localSheetId="19" hidden="1">{#N/A,#N/A,TRUE,"CODIGO DEPENDENCIA"}</definedName>
    <definedName name="DADADAD" localSheetId="20" hidden="1">{#N/A,#N/A,TRUE,"CODIGO DEPENDENCIA"}</definedName>
    <definedName name="DADADAD" localSheetId="3" hidden="1">{#N/A,#N/A,TRUE,"CODIGO DEPENDENCIA"}</definedName>
    <definedName name="DADADAD" localSheetId="21" hidden="1">{#N/A,#N/A,TRUE,"CODIGO DEPENDENCIA"}</definedName>
    <definedName name="DADADAD" localSheetId="22" hidden="1">{#N/A,#N/A,TRUE,"CODIGO DEPENDENCIA"}</definedName>
    <definedName name="DADADAD" localSheetId="23" hidden="1">{#N/A,#N/A,TRUE,"CODIGO DEPENDENCIA"}</definedName>
    <definedName name="DADADAD" localSheetId="24" hidden="1">{#N/A,#N/A,TRUE,"CODIGO DEPENDENCIA"}</definedName>
    <definedName name="DADADAD" localSheetId="25" hidden="1">{#N/A,#N/A,TRUE,"CODIGO DEPENDENCIA"}</definedName>
    <definedName name="DADADAD" localSheetId="26" hidden="1">{#N/A,#N/A,TRUE,"CODIGO DEPENDENCIA"}</definedName>
    <definedName name="DADADAD" localSheetId="27" hidden="1">{#N/A,#N/A,TRUE,"CODIGO DEPENDENCIA"}</definedName>
    <definedName name="DADADAD" localSheetId="4" hidden="1">{#N/A,#N/A,TRUE,"CODIGO DEPENDENCIA"}</definedName>
    <definedName name="DADADAD" localSheetId="5" hidden="1">{#N/A,#N/A,TRUE,"CODIGO DEPENDENCIA"}</definedName>
    <definedName name="DADADAD" localSheetId="6" hidden="1">{#N/A,#N/A,TRUE,"CODIGO DEPENDENCIA"}</definedName>
    <definedName name="DADADAD" localSheetId="7" hidden="1">{#N/A,#N/A,TRUE,"CODIGO DEPENDENCIA"}</definedName>
    <definedName name="DADADAD" localSheetId="8" hidden="1">{#N/A,#N/A,TRUE,"CODIGO DEPENDENCIA"}</definedName>
    <definedName name="DADADAD" localSheetId="9" hidden="1">{#N/A,#N/A,TRUE,"CODIGO DEPENDENCIA"}</definedName>
    <definedName name="DADADAD" localSheetId="10" hidden="1">{#N/A,#N/A,TRUE,"CODIGO DEPENDENCIA"}</definedName>
    <definedName name="DADADAD" localSheetId="0" hidden="1">{#N/A,#N/A,TRUE,"CODIGO DEPENDENCIA"}</definedName>
    <definedName name="DADADAD" hidden="1">{#N/A,#N/A,TRUE,"CODIGO DEPENDENCIA"}</definedName>
    <definedName name="Datos">#REF!</definedName>
    <definedName name="Decision">#REF!</definedName>
    <definedName name="Departamento">#REF!</definedName>
    <definedName name="DESC1">#REF!</definedName>
    <definedName name="DESC521">#REF!</definedName>
    <definedName name="Descrip_cuadrillas">#REF!</definedName>
    <definedName name="Descrip_equipos">#REF!</definedName>
    <definedName name="Descrip_transporte">#REF!</definedName>
    <definedName name="Descripción">#REF!</definedName>
    <definedName name="DESCRP1">#REF!</definedName>
    <definedName name="DESCRP2">#REF!</definedName>
    <definedName name="DestinoConsultoria">#REF!</definedName>
    <definedName name="DestinoObra">#REF!</definedName>
    <definedName name="DIC">#REF!</definedName>
    <definedName name="DifConsultoriaFM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uracionMeses">#REF!</definedName>
    <definedName name="DuracionSemanas">#REF!</definedName>
    <definedName name="e">#REF!</definedName>
    <definedName name="EE">#REF!</definedName>
    <definedName name="EF">#REF!</definedName>
    <definedName name="ENE">#REF!</definedName>
    <definedName name="Ensayos">#REF!</definedName>
    <definedName name="EQUI">#REF!</definedName>
    <definedName name="EQUIPO" comment="EQUIPO Y TRANSPORTE">#REF!</definedName>
    <definedName name="EQUIPO_1">#REF!</definedName>
    <definedName name="EQUIPOS">#REF!</definedName>
    <definedName name="EREE">#REF!</definedName>
    <definedName name="ES">#REF!</definedName>
    <definedName name="EST10A">#REF!</definedName>
    <definedName name="EST10V1">#REF!</definedName>
    <definedName name="EST11A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FactorCostoPotencia">#REF!</definedName>
    <definedName name="FactorMultFinal">#REF!</definedName>
    <definedName name="FactorMultiplicaCalculado">#REF!</definedName>
    <definedName name="FEB">#REF!</definedName>
    <definedName name="FECH">#REF!</definedName>
    <definedName name="Fecha">#REF!</definedName>
    <definedName name="Festivos">#REF!</definedName>
    <definedName name="Fin_de_semana">#REF!</definedName>
    <definedName name="FO">#REF!</definedName>
    <definedName name="GastosViajes">#REF!</definedName>
    <definedName name="GG">#REF!</definedName>
    <definedName name="_xlnm.Recorder">#REF!</definedName>
    <definedName name="h">#REF!</definedName>
    <definedName name="HonoraProfesionales">#REF!</definedName>
    <definedName name="HonoraTecnicos">#REF!</definedName>
    <definedName name="i">#REF!</definedName>
    <definedName name="Impacto">#REF!</definedName>
    <definedName name="ImpPolizasConsultoria">#REF!</definedName>
    <definedName name="ImpPolizasObra">#REF!</definedName>
    <definedName name="Instalacion">#REF!</definedName>
    <definedName name="Insumos">#REF!</definedName>
    <definedName name="Interventor">#REF!</definedName>
    <definedName name="Io">#REF!</definedName>
    <definedName name="item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VA_UTIL">#REF!</definedName>
    <definedName name="IVAConsultoria">#REF!</definedName>
    <definedName name="IVASobreUtilidad">#REF!</definedName>
    <definedName name="Jornal">#REF!</definedName>
    <definedName name="JUL">#REF!</definedName>
    <definedName name="JUN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K">#REF!</definedName>
    <definedName name="l" comment="Codigo Insumo">#REF!</definedName>
    <definedName name="LISBASE1">#REF!</definedName>
    <definedName name="LISBASE2">#REF!</definedName>
    <definedName name="List_cuadrillas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l">#REF!</definedName>
    <definedName name="Longitud">#REF!</definedName>
    <definedName name="Longitud1">#REF!</definedName>
    <definedName name="Longitud2">#REF!</definedName>
    <definedName name="LP">#REF!</definedName>
    <definedName name="M.O" comment="Mano de obra">#REF!</definedName>
    <definedName name="mac">#REF!</definedName>
    <definedName name="mama">#REF!</definedName>
    <definedName name="MANODEOBRA">#REF!</definedName>
    <definedName name="mantenimiento">#REF!</definedName>
    <definedName name="MAR">#REF!</definedName>
    <definedName name="MATER">#REF!</definedName>
    <definedName name="MATERIALES">#REF!</definedName>
    <definedName name="MAY">#REF!</definedName>
    <definedName name="meses">#REF!</definedName>
    <definedName name="Mínimo">#REF!</definedName>
    <definedName name="MO">#REF!</definedName>
    <definedName name="MU">#REF!</definedName>
    <definedName name="MZ">#REF!</definedName>
    <definedName name="ninguno">#REF!</definedName>
    <definedName name="NoFacturable">#REF!</definedName>
    <definedName name="NOV">#REF!</definedName>
    <definedName name="NUNI">#REF!</definedName>
    <definedName name="Obra">#REF!</definedName>
    <definedName name="OCT">#REF!</definedName>
    <definedName name="Oficina">#REF!</definedName>
    <definedName name="OrigenConsultoria">#REF!</definedName>
    <definedName name="OrigenObra">#REF!</definedName>
    <definedName name="ORO">#REF!</definedName>
    <definedName name="PA">#REF!</definedName>
    <definedName name="pasamanos">#REF!</definedName>
    <definedName name="PB">#REF!</definedName>
    <definedName name="PC">#REF!</definedName>
    <definedName name="PE">#REF!</definedName>
    <definedName name="PersonalProfesional">#REF!</definedName>
    <definedName name="PersonalTecnico">#REF!</definedName>
    <definedName name="PESO14.2">#REF!</definedName>
    <definedName name="PESO14.3">#REF!</definedName>
    <definedName name="PESO14.4">#REF!</definedName>
    <definedName name="PL">#REF!</definedName>
    <definedName name="PlazoEnMeses">#REF!</definedName>
    <definedName name="Plegable">#REF!</definedName>
    <definedName name="PMT">#REF!</definedName>
    <definedName name="PP">#REF!</definedName>
    <definedName name="pre">#REF!</definedName>
    <definedName name="PrestacionesSeguridadOtros">#REF!</definedName>
    <definedName name="PRESUPUESTADO">#REF!</definedName>
    <definedName name="Profesional">#REF!</definedName>
    <definedName name="PROP">#REF!</definedName>
    <definedName name="prueba">#REF!</definedName>
    <definedName name="Q">#REF!</definedName>
    <definedName name="qqq">#REF!</definedName>
    <definedName name="Regional">#REF!</definedName>
    <definedName name="Resistenciaconductor">#REF!</definedName>
    <definedName name="rfref">#REF!</definedName>
    <definedName name="rrrr">#REF!</definedName>
    <definedName name="S">#REF!</definedName>
    <definedName name="SA">#REF!</definedName>
    <definedName name="Salarios">#REF!</definedName>
    <definedName name="SB">#REF!</definedName>
    <definedName name="SC">#REF!</definedName>
    <definedName name="sdf">#REF!</definedName>
    <definedName name="SE">#REF!</definedName>
    <definedName name="SEP">#REF!</definedName>
    <definedName name="SF">#REF!</definedName>
    <definedName name="SGI_V_INDICES_CIRCUITO_CAUSA">#REF!</definedName>
    <definedName name="SJ">#REF!</definedName>
    <definedName name="SL">#REF!</definedName>
    <definedName name="SM">#REF!</definedName>
    <definedName name="SOCIAL">#REF!</definedName>
    <definedName name="st">#REF!</definedName>
    <definedName name="SU">#REF!</definedName>
    <definedName name="SUBESTACIONES">#REF!</definedName>
    <definedName name="SUBPRODUCTOS">#REF!</definedName>
    <definedName name="SUBTOTALMAT">#REF!</definedName>
    <definedName name="TA">#REF!</definedName>
    <definedName name="tabla2">#REF!</definedName>
    <definedName name="TB">#REF!</definedName>
    <definedName name="TC">#REF!</definedName>
    <definedName name="TE">#REF!</definedName>
    <definedName name="Tecnico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L">#REF!</definedName>
    <definedName name="To">#REF!</definedName>
    <definedName name="Total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Ens">#REF!</definedName>
    <definedName name="TotalEqu">#REF!</definedName>
    <definedName name="TotalImpuestosObra">#REF!</definedName>
    <definedName name="TotalNoFacturable">#REF!</definedName>
    <definedName name="TotalOfi">#REF!</definedName>
    <definedName name="TotalPaginaPersonal">#REF!</definedName>
    <definedName name="TotalPro">#REF!</definedName>
    <definedName name="TotalTec">#REF!</definedName>
    <definedName name="TotalTram">#REF!</definedName>
    <definedName name="TotalVia">#REF!</definedName>
    <definedName name="Tramite">#REF!</definedName>
    <definedName name="Transporte">#REF!</definedName>
    <definedName name="TTA">#REF!</definedName>
    <definedName name="TTB">#REF!</definedName>
    <definedName name="TTC">#REF!</definedName>
    <definedName name="TTE">#REF!</definedName>
    <definedName name="TTL">#REF!</definedName>
    <definedName name="TTT">#REF!</definedName>
    <definedName name="TU">#REF!</definedName>
    <definedName name="UM">#REF!</definedName>
    <definedName name="UNIDAD1">#REF!</definedName>
    <definedName name="UNIDAD521">#REF!</definedName>
    <definedName name="Unidades">#REF!</definedName>
    <definedName name="US">#REF!</definedName>
    <definedName name="UtilidadObra">#REF!</definedName>
    <definedName name="v">#REF!</definedName>
    <definedName name="Valoracion">#REF!</definedName>
    <definedName name="VALORACIÓN">#REF!</definedName>
    <definedName name="ValorTotConsultoria">#REF!</definedName>
    <definedName name="variacion">#REF!</definedName>
    <definedName name="VE">#REF!</definedName>
    <definedName name="VI">#REF!</definedName>
    <definedName name="Viajes">#REF!</definedName>
    <definedName name="wrn.ar." localSheetId="1" hidden="1">{#N/A,#N/A,TRUE,"CODIGO DEPENDENCIA"}</definedName>
    <definedName name="wrn.ar." localSheetId="28" hidden="1">{#N/A,#N/A,TRUE,"CODIGO DEPENDENCIA"}</definedName>
    <definedName name="wrn.ar." localSheetId="2" hidden="1">{#N/A,#N/A,TRUE,"CODIGO DEPENDENCIA"}</definedName>
    <definedName name="wrn.ar." localSheetId="11" hidden="1">{#N/A,#N/A,TRUE,"CODIGO DEPENDENCIA"}</definedName>
    <definedName name="wrn.ar." localSheetId="12" hidden="1">{#N/A,#N/A,TRUE,"CODIGO DEPENDENCIA"}</definedName>
    <definedName name="wrn.ar." localSheetId="13" hidden="1">{#N/A,#N/A,TRUE,"CODIGO DEPENDENCIA"}</definedName>
    <definedName name="wrn.ar." localSheetId="14" hidden="1">{#N/A,#N/A,TRUE,"CODIGO DEPENDENCIA"}</definedName>
    <definedName name="wrn.ar." localSheetId="15" hidden="1">{#N/A,#N/A,TRUE,"CODIGO DEPENDENCIA"}</definedName>
    <definedName name="wrn.ar." localSheetId="16" hidden="1">{#N/A,#N/A,TRUE,"CODIGO DEPENDENCIA"}</definedName>
    <definedName name="wrn.ar." localSheetId="17" hidden="1">{#N/A,#N/A,TRUE,"CODIGO DEPENDENCIA"}</definedName>
    <definedName name="wrn.ar." localSheetId="18" hidden="1">{#N/A,#N/A,TRUE,"CODIGO DEPENDENCIA"}</definedName>
    <definedName name="wrn.ar." localSheetId="19" hidden="1">{#N/A,#N/A,TRUE,"CODIGO DEPENDENCIA"}</definedName>
    <definedName name="wrn.ar." localSheetId="20" hidden="1">{#N/A,#N/A,TRUE,"CODIGO DEPENDENCIA"}</definedName>
    <definedName name="wrn.ar." localSheetId="3" hidden="1">{#N/A,#N/A,TRUE,"CODIGO DEPENDENCIA"}</definedName>
    <definedName name="wrn.ar." localSheetId="21" hidden="1">{#N/A,#N/A,TRUE,"CODIGO DEPENDENCIA"}</definedName>
    <definedName name="wrn.ar." localSheetId="22" hidden="1">{#N/A,#N/A,TRUE,"CODIGO DEPENDENCIA"}</definedName>
    <definedName name="wrn.ar." localSheetId="23" hidden="1">{#N/A,#N/A,TRUE,"CODIGO DEPENDENCIA"}</definedName>
    <definedName name="wrn.ar." localSheetId="24" hidden="1">{#N/A,#N/A,TRUE,"CODIGO DEPENDENCIA"}</definedName>
    <definedName name="wrn.ar." localSheetId="25" hidden="1">{#N/A,#N/A,TRUE,"CODIGO DEPENDENCIA"}</definedName>
    <definedName name="wrn.ar." localSheetId="26" hidden="1">{#N/A,#N/A,TRUE,"CODIGO DEPENDENCIA"}</definedName>
    <definedName name="wrn.ar." localSheetId="27" hidden="1">{#N/A,#N/A,TRUE,"CODIGO DEPENDENCIA"}</definedName>
    <definedName name="wrn.ar." localSheetId="4" hidden="1">{#N/A,#N/A,TRUE,"CODIGO DEPENDENCIA"}</definedName>
    <definedName name="wrn.ar." localSheetId="5" hidden="1">{#N/A,#N/A,TRUE,"CODIGO DEPENDENCIA"}</definedName>
    <definedName name="wrn.ar." localSheetId="6" hidden="1">{#N/A,#N/A,TRUE,"CODIGO DEPENDENCIA"}</definedName>
    <definedName name="wrn.ar." localSheetId="7" hidden="1">{#N/A,#N/A,TRUE,"CODIGO DEPENDENCIA"}</definedName>
    <definedName name="wrn.ar." localSheetId="8" hidden="1">{#N/A,#N/A,TRUE,"CODIGO DEPENDENCIA"}</definedName>
    <definedName name="wrn.ar." localSheetId="9" hidden="1">{#N/A,#N/A,TRUE,"CODIGO DEPENDENCIA"}</definedName>
    <definedName name="wrn.ar." localSheetId="10" hidden="1">{#N/A,#N/A,TRUE,"CODIGO DEPENDENCIA"}</definedName>
    <definedName name="wrn.ar." localSheetId="0" hidden="1">{#N/A,#N/A,TRUE,"CODIGO DEPENDENCIA"}</definedName>
    <definedName name="wrn.ar." hidden="1">{#N/A,#N/A,TRUE,"CODIGO DEPENDENCIA"}</definedName>
    <definedName name="WSERWEER">#REF!</definedName>
    <definedName name="www">#REF!</definedName>
    <definedName name="x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x">#REF!</definedName>
    <definedName name="xxx">#REF!</definedName>
    <definedName name="y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7" i="34" l="1"/>
  <c r="I15" i="34"/>
  <c r="I30" i="33"/>
  <c r="J30" i="33" s="1"/>
  <c r="G30" i="33"/>
  <c r="I29" i="33"/>
  <c r="J29" i="33" s="1"/>
  <c r="G29" i="33"/>
  <c r="I27" i="33"/>
  <c r="E27" i="33"/>
  <c r="G27" i="33" s="1"/>
  <c r="I26" i="33"/>
  <c r="J26" i="33" s="1"/>
  <c r="G26" i="33"/>
  <c r="I25" i="33"/>
  <c r="J25" i="33" s="1"/>
  <c r="G25" i="33"/>
  <c r="I23" i="33"/>
  <c r="J23" i="33" s="1"/>
  <c r="G23" i="33"/>
  <c r="I21" i="33"/>
  <c r="E21" i="33"/>
  <c r="G21" i="33" s="1"/>
  <c r="I20" i="33"/>
  <c r="E20" i="33"/>
  <c r="G20" i="33" s="1"/>
  <c r="I18" i="33"/>
  <c r="E18" i="33"/>
  <c r="G18" i="33" s="1"/>
  <c r="I17" i="33"/>
  <c r="J17" i="33" s="1"/>
  <c r="G17" i="33"/>
  <c r="I16" i="33"/>
  <c r="J16" i="33" s="1"/>
  <c r="G16" i="33"/>
  <c r="I15" i="33"/>
  <c r="J15" i="33" s="1"/>
  <c r="G15" i="33"/>
  <c r="I13" i="33"/>
  <c r="E13" i="33"/>
  <c r="G13" i="33" s="1"/>
  <c r="I12" i="33"/>
  <c r="E12" i="33"/>
  <c r="G12" i="33" s="1"/>
  <c r="I11" i="33"/>
  <c r="E11" i="33"/>
  <c r="G11" i="33" s="1"/>
  <c r="I10" i="33"/>
  <c r="J10" i="33" s="1"/>
  <c r="G10" i="33"/>
  <c r="I29" i="32"/>
  <c r="J29" i="32" s="1"/>
  <c r="G29" i="32"/>
  <c r="I28" i="32"/>
  <c r="J28" i="32" s="1"/>
  <c r="G28" i="32"/>
  <c r="I27" i="32"/>
  <c r="J27" i="32" s="1"/>
  <c r="G27" i="32"/>
  <c r="I25" i="32"/>
  <c r="E25" i="32"/>
  <c r="G25" i="32" s="1"/>
  <c r="I24" i="32"/>
  <c r="J24" i="32" s="1"/>
  <c r="G24" i="32"/>
  <c r="I23" i="32"/>
  <c r="J23" i="32" s="1"/>
  <c r="G23" i="32"/>
  <c r="I21" i="32"/>
  <c r="E21" i="32"/>
  <c r="G21" i="32" s="1"/>
  <c r="I20" i="32"/>
  <c r="J20" i="32" s="1"/>
  <c r="G20" i="32"/>
  <c r="I18" i="32"/>
  <c r="E18" i="32"/>
  <c r="G18" i="32" s="1"/>
  <c r="I17" i="32"/>
  <c r="J17" i="32" s="1"/>
  <c r="G17" i="32"/>
  <c r="I16" i="32"/>
  <c r="J16" i="32" s="1"/>
  <c r="G16" i="32"/>
  <c r="I15" i="32"/>
  <c r="J15" i="32" s="1"/>
  <c r="G15" i="32"/>
  <c r="I13" i="32"/>
  <c r="J13" i="32" s="1"/>
  <c r="E13" i="32"/>
  <c r="G13" i="32" s="1"/>
  <c r="I12" i="32"/>
  <c r="E12" i="32"/>
  <c r="G12" i="32" s="1"/>
  <c r="I11" i="32"/>
  <c r="E11" i="32"/>
  <c r="G11" i="32" s="1"/>
  <c r="I10" i="32"/>
  <c r="J10" i="32" s="1"/>
  <c r="G10" i="32"/>
  <c r="I32" i="31"/>
  <c r="J32" i="31" s="1"/>
  <c r="G32" i="31"/>
  <c r="I31" i="31"/>
  <c r="J31" i="31" s="1"/>
  <c r="G31" i="31"/>
  <c r="I30" i="31"/>
  <c r="J30" i="31" s="1"/>
  <c r="G30" i="31"/>
  <c r="I28" i="31"/>
  <c r="E28" i="31"/>
  <c r="G28" i="31" s="1"/>
  <c r="I27" i="31"/>
  <c r="J27" i="31" s="1"/>
  <c r="G27" i="31"/>
  <c r="I26" i="31"/>
  <c r="J26" i="31" s="1"/>
  <c r="G26" i="31"/>
  <c r="I24" i="31"/>
  <c r="E24" i="31"/>
  <c r="E23" i="31" s="1"/>
  <c r="G23" i="31" s="1"/>
  <c r="I23" i="31"/>
  <c r="I21" i="31"/>
  <c r="E21" i="31"/>
  <c r="G21" i="31" s="1"/>
  <c r="I20" i="31"/>
  <c r="J20" i="31" s="1"/>
  <c r="G20" i="31"/>
  <c r="I19" i="31"/>
  <c r="J19" i="31" s="1"/>
  <c r="G19" i="31"/>
  <c r="I18" i="31"/>
  <c r="J18" i="31" s="1"/>
  <c r="G18" i="31"/>
  <c r="I16" i="31"/>
  <c r="J16" i="31" s="1"/>
  <c r="G16" i="31"/>
  <c r="I15" i="31"/>
  <c r="J15" i="31" s="1"/>
  <c r="G15" i="31"/>
  <c r="I13" i="31"/>
  <c r="J13" i="31" s="1"/>
  <c r="E13" i="31"/>
  <c r="G13" i="31" s="1"/>
  <c r="I12" i="31"/>
  <c r="E12" i="31"/>
  <c r="G12" i="31" s="1"/>
  <c r="I11" i="31"/>
  <c r="E11" i="31"/>
  <c r="G11" i="31" s="1"/>
  <c r="I10" i="31"/>
  <c r="J10" i="31" s="1"/>
  <c r="G10" i="31"/>
  <c r="I30" i="30"/>
  <c r="J30" i="30" s="1"/>
  <c r="G30" i="30"/>
  <c r="I29" i="30"/>
  <c r="J29" i="30" s="1"/>
  <c r="G29" i="30"/>
  <c r="I28" i="30"/>
  <c r="J28" i="30" s="1"/>
  <c r="G28" i="30"/>
  <c r="I26" i="30"/>
  <c r="E26" i="30"/>
  <c r="G26" i="30" s="1"/>
  <c r="I25" i="30"/>
  <c r="J25" i="30" s="1"/>
  <c r="G25" i="30"/>
  <c r="I24" i="30"/>
  <c r="J24" i="30" s="1"/>
  <c r="G24" i="30"/>
  <c r="I22" i="30"/>
  <c r="J22" i="30" s="1"/>
  <c r="G22" i="30"/>
  <c r="I21" i="30"/>
  <c r="E21" i="30"/>
  <c r="I20" i="30"/>
  <c r="I19" i="30"/>
  <c r="J19" i="30" s="1"/>
  <c r="G19" i="30"/>
  <c r="I18" i="30"/>
  <c r="J18" i="30" s="1"/>
  <c r="G18" i="30"/>
  <c r="I17" i="30"/>
  <c r="J17" i="30" s="1"/>
  <c r="G17" i="30"/>
  <c r="I16" i="30"/>
  <c r="J16" i="30" s="1"/>
  <c r="G16" i="30"/>
  <c r="I15" i="30"/>
  <c r="J15" i="30" s="1"/>
  <c r="G15" i="30"/>
  <c r="I13" i="30"/>
  <c r="J13" i="30" s="1"/>
  <c r="E13" i="30"/>
  <c r="G13" i="30" s="1"/>
  <c r="I12" i="30"/>
  <c r="E12" i="30"/>
  <c r="G12" i="30" s="1"/>
  <c r="I11" i="30"/>
  <c r="J11" i="30" s="1"/>
  <c r="G11" i="30"/>
  <c r="I10" i="30"/>
  <c r="J10" i="30" s="1"/>
  <c r="G10" i="30"/>
  <c r="G10" i="6"/>
  <c r="I10" i="6"/>
  <c r="J10" i="6"/>
  <c r="G11" i="6"/>
  <c r="I11" i="6"/>
  <c r="J11" i="6" s="1"/>
  <c r="E12" i="6"/>
  <c r="G12" i="6"/>
  <c r="I12" i="6"/>
  <c r="J12" i="6"/>
  <c r="E13" i="6"/>
  <c r="G13" i="6"/>
  <c r="I13" i="6"/>
  <c r="J13" i="6"/>
  <c r="G15" i="6"/>
  <c r="I15" i="6"/>
  <c r="J15" i="6"/>
  <c r="G16" i="6"/>
  <c r="I16" i="6"/>
  <c r="J16" i="6" s="1"/>
  <c r="G17" i="6"/>
  <c r="I17" i="6"/>
  <c r="J17" i="6"/>
  <c r="G18" i="6"/>
  <c r="I18" i="6"/>
  <c r="J18" i="6" s="1"/>
  <c r="I19" i="6"/>
  <c r="E20" i="6"/>
  <c r="I20" i="6"/>
  <c r="J20" i="6" s="1"/>
  <c r="G21" i="6"/>
  <c r="I21" i="6"/>
  <c r="J21" i="6" s="1"/>
  <c r="G23" i="6"/>
  <c r="I23" i="6"/>
  <c r="J23" i="6"/>
  <c r="G24" i="6"/>
  <c r="I24" i="6"/>
  <c r="J24" i="6" s="1"/>
  <c r="E25" i="6"/>
  <c r="G25" i="6" s="1"/>
  <c r="I25" i="6"/>
  <c r="J25" i="6" s="1"/>
  <c r="G27" i="6"/>
  <c r="I27" i="6"/>
  <c r="J27" i="6"/>
  <c r="G28" i="6"/>
  <c r="I28" i="6"/>
  <c r="J28" i="6" s="1"/>
  <c r="G29" i="6"/>
  <c r="I29" i="6"/>
  <c r="J29" i="6"/>
  <c r="I23" i="29"/>
  <c r="J23" i="29" s="1"/>
  <c r="G23" i="29"/>
  <c r="I22" i="29"/>
  <c r="J22" i="29" s="1"/>
  <c r="G22" i="29"/>
  <c r="I21" i="29"/>
  <c r="J21" i="29" s="1"/>
  <c r="G21" i="29"/>
  <c r="I19" i="29"/>
  <c r="J19" i="29" s="1"/>
  <c r="G19" i="29"/>
  <c r="I18" i="29"/>
  <c r="J18" i="29" s="1"/>
  <c r="G18" i="29"/>
  <c r="I17" i="29"/>
  <c r="J17" i="29" s="1"/>
  <c r="G17" i="29"/>
  <c r="I16" i="29"/>
  <c r="J16" i="29" s="1"/>
  <c r="G16" i="29"/>
  <c r="I15" i="29"/>
  <c r="J15" i="29" s="1"/>
  <c r="G15" i="29"/>
  <c r="I14" i="29"/>
  <c r="J14" i="29" s="1"/>
  <c r="G14" i="29"/>
  <c r="I12" i="29"/>
  <c r="J12" i="29" s="1"/>
  <c r="G12" i="29"/>
  <c r="I10" i="29"/>
  <c r="J10" i="29" s="1"/>
  <c r="J25" i="29" s="1"/>
  <c r="G10" i="29"/>
  <c r="G25" i="29" s="1"/>
  <c r="I29" i="28"/>
  <c r="J29" i="28" s="1"/>
  <c r="G29" i="28"/>
  <c r="I28" i="28"/>
  <c r="J28" i="28" s="1"/>
  <c r="G28" i="28"/>
  <c r="I27" i="28"/>
  <c r="J27" i="28" s="1"/>
  <c r="G27" i="28"/>
  <c r="I25" i="28"/>
  <c r="E25" i="28"/>
  <c r="G25" i="28" s="1"/>
  <c r="I24" i="28"/>
  <c r="J24" i="28" s="1"/>
  <c r="G24" i="28"/>
  <c r="I23" i="28"/>
  <c r="J23" i="28" s="1"/>
  <c r="G23" i="28"/>
  <c r="I21" i="28"/>
  <c r="E21" i="28"/>
  <c r="I20" i="28"/>
  <c r="I19" i="28"/>
  <c r="J19" i="28" s="1"/>
  <c r="G19" i="28"/>
  <c r="I18" i="28"/>
  <c r="J18" i="28" s="1"/>
  <c r="G18" i="28"/>
  <c r="I17" i="28"/>
  <c r="J17" i="28" s="1"/>
  <c r="G17" i="28"/>
  <c r="I16" i="28"/>
  <c r="J16" i="28" s="1"/>
  <c r="G16" i="28"/>
  <c r="I15" i="28"/>
  <c r="J15" i="28" s="1"/>
  <c r="G15" i="28"/>
  <c r="I13" i="28"/>
  <c r="E13" i="28"/>
  <c r="G13" i="28" s="1"/>
  <c r="I12" i="28"/>
  <c r="J12" i="28" s="1"/>
  <c r="E12" i="28"/>
  <c r="G12" i="28" s="1"/>
  <c r="I11" i="28"/>
  <c r="E11" i="28"/>
  <c r="G11" i="28" s="1"/>
  <c r="I10" i="28"/>
  <c r="J10" i="28" s="1"/>
  <c r="G10" i="28"/>
  <c r="I39" i="27"/>
  <c r="J39" i="27" s="1"/>
  <c r="G39" i="27"/>
  <c r="I38" i="27"/>
  <c r="J38" i="27" s="1"/>
  <c r="G38" i="27"/>
  <c r="I36" i="27"/>
  <c r="J36" i="27" s="1"/>
  <c r="G36" i="27"/>
  <c r="I35" i="27"/>
  <c r="J35" i="27" s="1"/>
  <c r="G35" i="27"/>
  <c r="I34" i="27"/>
  <c r="J34" i="27" s="1"/>
  <c r="G34" i="27"/>
  <c r="I32" i="27"/>
  <c r="J32" i="27" s="1"/>
  <c r="G32" i="27"/>
  <c r="I31" i="27"/>
  <c r="J31" i="27" s="1"/>
  <c r="G31" i="27"/>
  <c r="I29" i="27"/>
  <c r="J29" i="27" s="1"/>
  <c r="G29" i="27"/>
  <c r="I27" i="27"/>
  <c r="J27" i="27" s="1"/>
  <c r="G27" i="27"/>
  <c r="I26" i="27"/>
  <c r="E26" i="27"/>
  <c r="G26" i="27" s="1"/>
  <c r="I25" i="27"/>
  <c r="J25" i="27" s="1"/>
  <c r="G25" i="27"/>
  <c r="I24" i="27"/>
  <c r="J24" i="27" s="1"/>
  <c r="G24" i="27"/>
  <c r="I23" i="27"/>
  <c r="J23" i="27" s="1"/>
  <c r="G23" i="27"/>
  <c r="I22" i="27"/>
  <c r="E22" i="27"/>
  <c r="G22" i="27" s="1"/>
  <c r="I21" i="27"/>
  <c r="J21" i="27" s="1"/>
  <c r="G21" i="27"/>
  <c r="I20" i="27"/>
  <c r="J20" i="27" s="1"/>
  <c r="G20" i="27"/>
  <c r="I19" i="27"/>
  <c r="J19" i="27" s="1"/>
  <c r="G19" i="27"/>
  <c r="I17" i="27"/>
  <c r="J17" i="27" s="1"/>
  <c r="G17" i="27"/>
  <c r="I16" i="27"/>
  <c r="J16" i="27" s="1"/>
  <c r="G16" i="27"/>
  <c r="I15" i="27"/>
  <c r="J15" i="27" s="1"/>
  <c r="G15" i="27"/>
  <c r="I13" i="27"/>
  <c r="J13" i="27" s="1"/>
  <c r="G13" i="27"/>
  <c r="I11" i="27"/>
  <c r="J11" i="27" s="1"/>
  <c r="G11" i="27"/>
  <c r="I10" i="27"/>
  <c r="J10" i="27" s="1"/>
  <c r="G10" i="27"/>
  <c r="G42" i="27" s="1"/>
  <c r="I27" i="26"/>
  <c r="J27" i="26" s="1"/>
  <c r="G27" i="26"/>
  <c r="I26" i="26"/>
  <c r="J26" i="26" s="1"/>
  <c r="G26" i="26"/>
  <c r="I24" i="26"/>
  <c r="J24" i="26" s="1"/>
  <c r="G24" i="26"/>
  <c r="I23" i="26"/>
  <c r="J23" i="26" s="1"/>
  <c r="G23" i="26"/>
  <c r="I22" i="26"/>
  <c r="J22" i="26" s="1"/>
  <c r="G22" i="26"/>
  <c r="I21" i="26"/>
  <c r="J21" i="26" s="1"/>
  <c r="G21" i="26"/>
  <c r="I20" i="26"/>
  <c r="J20" i="26" s="1"/>
  <c r="G20" i="26"/>
  <c r="I18" i="26"/>
  <c r="J18" i="26" s="1"/>
  <c r="G18" i="26"/>
  <c r="I16" i="26"/>
  <c r="J16" i="26" s="1"/>
  <c r="G16" i="26"/>
  <c r="I15" i="26"/>
  <c r="J15" i="26" s="1"/>
  <c r="G15" i="26"/>
  <c r="I14" i="26"/>
  <c r="J14" i="26" s="1"/>
  <c r="G14" i="26"/>
  <c r="I13" i="26"/>
  <c r="J13" i="26" s="1"/>
  <c r="G13" i="26"/>
  <c r="I11" i="26"/>
  <c r="E11" i="26"/>
  <c r="G11" i="26" s="1"/>
  <c r="I10" i="26"/>
  <c r="J10" i="26" s="1"/>
  <c r="G10" i="26"/>
  <c r="G30" i="26" s="1"/>
  <c r="I29" i="25"/>
  <c r="J29" i="25" s="1"/>
  <c r="G29" i="25"/>
  <c r="I28" i="25"/>
  <c r="J28" i="25" s="1"/>
  <c r="G28" i="25"/>
  <c r="I26" i="25"/>
  <c r="E26" i="25"/>
  <c r="G26" i="25" s="1"/>
  <c r="I25" i="25"/>
  <c r="E25" i="25"/>
  <c r="G25" i="25" s="1"/>
  <c r="I24" i="25"/>
  <c r="E24" i="25"/>
  <c r="G24" i="25" s="1"/>
  <c r="R22" i="25"/>
  <c r="S22" i="25" s="1"/>
  <c r="I22" i="25"/>
  <c r="E22" i="25"/>
  <c r="G22" i="25" s="1"/>
  <c r="R21" i="25"/>
  <c r="S21" i="25" s="1"/>
  <c r="I21" i="25"/>
  <c r="E21" i="25"/>
  <c r="G21" i="25" s="1"/>
  <c r="I19" i="25"/>
  <c r="I18" i="25"/>
  <c r="E18" i="25"/>
  <c r="R16" i="25"/>
  <c r="Q16" i="25" s="1"/>
  <c r="I16" i="25"/>
  <c r="E16" i="25"/>
  <c r="Q15" i="25"/>
  <c r="I15" i="25"/>
  <c r="E15" i="25"/>
  <c r="G15" i="25" s="1"/>
  <c r="Q14" i="25"/>
  <c r="I13" i="25"/>
  <c r="E13" i="25"/>
  <c r="G13" i="25" s="1"/>
  <c r="I11" i="25"/>
  <c r="E11" i="25"/>
  <c r="G11" i="25" s="1"/>
  <c r="I10" i="25"/>
  <c r="J10" i="25" s="1"/>
  <c r="G10" i="25"/>
  <c r="G10" i="24"/>
  <c r="I10" i="24"/>
  <c r="J10" i="24"/>
  <c r="G11" i="24"/>
  <c r="I11" i="24"/>
  <c r="J11" i="24"/>
  <c r="G12" i="24"/>
  <c r="I12" i="24"/>
  <c r="J12" i="24"/>
  <c r="G14" i="24"/>
  <c r="I14" i="24"/>
  <c r="J14" i="24"/>
  <c r="E15" i="24"/>
  <c r="G15" i="24"/>
  <c r="I15" i="24"/>
  <c r="J15" i="24"/>
  <c r="G17" i="24"/>
  <c r="I17" i="24"/>
  <c r="J17" i="24"/>
  <c r="G18" i="24"/>
  <c r="I18" i="24"/>
  <c r="J18" i="24"/>
  <c r="G19" i="24"/>
  <c r="I19" i="24"/>
  <c r="J19" i="24"/>
  <c r="G20" i="24"/>
  <c r="I20" i="24"/>
  <c r="J20" i="24"/>
  <c r="G22" i="24"/>
  <c r="I22" i="24"/>
  <c r="J22" i="24"/>
  <c r="G23" i="24"/>
  <c r="I23" i="24"/>
  <c r="J23" i="24" s="1"/>
  <c r="G25" i="24"/>
  <c r="I25" i="24"/>
  <c r="J25" i="24"/>
  <c r="G26" i="24"/>
  <c r="I26" i="24"/>
  <c r="J26" i="24"/>
  <c r="G27" i="24"/>
  <c r="I27" i="24"/>
  <c r="J27" i="24"/>
  <c r="G28" i="24"/>
  <c r="I28" i="24"/>
  <c r="J28" i="24"/>
  <c r="G29" i="24"/>
  <c r="I29" i="24"/>
  <c r="J29" i="24" s="1"/>
  <c r="G30" i="24"/>
  <c r="I30" i="24"/>
  <c r="J30" i="24" s="1"/>
  <c r="G32" i="24"/>
  <c r="I32" i="24"/>
  <c r="J32" i="24" s="1"/>
  <c r="G33" i="24"/>
  <c r="I33" i="24"/>
  <c r="J33" i="24" s="1"/>
  <c r="G35" i="24"/>
  <c r="I35" i="24"/>
  <c r="J35" i="24" s="1"/>
  <c r="G36" i="24"/>
  <c r="I36" i="24"/>
  <c r="J36" i="24" s="1"/>
  <c r="G37" i="24"/>
  <c r="I37" i="24"/>
  <c r="J37" i="24" s="1"/>
  <c r="G38" i="24"/>
  <c r="I38" i="24"/>
  <c r="J38" i="24" s="1"/>
  <c r="G39" i="24"/>
  <c r="I39" i="24"/>
  <c r="J39" i="24" s="1"/>
  <c r="G40" i="24"/>
  <c r="I40" i="24"/>
  <c r="J40" i="24" s="1"/>
  <c r="G41" i="24"/>
  <c r="I41" i="24"/>
  <c r="J41" i="24" s="1"/>
  <c r="G43" i="24"/>
  <c r="I43" i="24"/>
  <c r="J43" i="24" s="1"/>
  <c r="G45" i="24"/>
  <c r="I45" i="24"/>
  <c r="J45" i="24" s="1"/>
  <c r="G46" i="24"/>
  <c r="I46" i="24"/>
  <c r="J46" i="24" s="1"/>
  <c r="G47" i="24"/>
  <c r="I47" i="24"/>
  <c r="J47" i="24" s="1"/>
  <c r="G49" i="24"/>
  <c r="I49" i="24"/>
  <c r="J49" i="24" s="1"/>
  <c r="G50" i="24"/>
  <c r="I50" i="24"/>
  <c r="J50" i="24" s="1"/>
  <c r="G51" i="24"/>
  <c r="I51" i="24"/>
  <c r="J51" i="24" s="1"/>
  <c r="G52" i="24"/>
  <c r="I52" i="24"/>
  <c r="J52" i="24" s="1"/>
  <c r="G53" i="24"/>
  <c r="I53" i="24"/>
  <c r="J53" i="24" s="1"/>
  <c r="G54" i="24"/>
  <c r="I54" i="24"/>
  <c r="J54" i="24" s="1"/>
  <c r="G56" i="24"/>
  <c r="I56" i="24"/>
  <c r="J56" i="24" s="1"/>
  <c r="G57" i="24"/>
  <c r="I57" i="24"/>
  <c r="J57" i="24" s="1"/>
  <c r="G58" i="24"/>
  <c r="I58" i="24"/>
  <c r="J58" i="24"/>
  <c r="G59" i="24"/>
  <c r="I59" i="24"/>
  <c r="J59" i="24"/>
  <c r="G61" i="24"/>
  <c r="I61" i="24"/>
  <c r="J61" i="24" s="1"/>
  <c r="G62" i="24"/>
  <c r="I62" i="24"/>
  <c r="J62" i="24" s="1"/>
  <c r="G63" i="24"/>
  <c r="I63" i="24"/>
  <c r="J63" i="24" s="1"/>
  <c r="G64" i="24"/>
  <c r="I64" i="24"/>
  <c r="J64" i="24" s="1"/>
  <c r="G65" i="24"/>
  <c r="I65" i="24"/>
  <c r="J65" i="24" s="1"/>
  <c r="G67" i="24"/>
  <c r="I67" i="24"/>
  <c r="J67" i="24" s="1"/>
  <c r="G69" i="24"/>
  <c r="I69" i="24"/>
  <c r="J69" i="24" s="1"/>
  <c r="G70" i="24"/>
  <c r="I70" i="24"/>
  <c r="J70" i="24" s="1"/>
  <c r="G71" i="24"/>
  <c r="I71" i="24"/>
  <c r="J71" i="24" s="1"/>
  <c r="G72" i="24"/>
  <c r="I72" i="24"/>
  <c r="J72" i="24" s="1"/>
  <c r="G73" i="24"/>
  <c r="I73" i="24"/>
  <c r="J73" i="24" s="1"/>
  <c r="G74" i="24"/>
  <c r="I74" i="24"/>
  <c r="J74" i="24" s="1"/>
  <c r="G75" i="24"/>
  <c r="I75" i="24"/>
  <c r="J75" i="24" s="1"/>
  <c r="G76" i="24"/>
  <c r="I76" i="24"/>
  <c r="J76" i="24" s="1"/>
  <c r="G77" i="24"/>
  <c r="I77" i="24"/>
  <c r="J77" i="24" s="1"/>
  <c r="G79" i="24"/>
  <c r="I79" i="24"/>
  <c r="J79" i="24" s="1"/>
  <c r="G80" i="24"/>
  <c r="I80" i="24"/>
  <c r="J80" i="24" s="1"/>
  <c r="G81" i="24"/>
  <c r="I81" i="24"/>
  <c r="J81" i="24"/>
  <c r="G82" i="24"/>
  <c r="I82" i="24"/>
  <c r="J82" i="24" s="1"/>
  <c r="G83" i="24"/>
  <c r="I83" i="24"/>
  <c r="J83" i="24" s="1"/>
  <c r="G85" i="24"/>
  <c r="I85" i="24"/>
  <c r="J85" i="24" s="1"/>
  <c r="G86" i="24"/>
  <c r="I86" i="24"/>
  <c r="J86" i="24" s="1"/>
  <c r="G87" i="24"/>
  <c r="I87" i="24"/>
  <c r="J87" i="24" s="1"/>
  <c r="G88" i="24"/>
  <c r="I88" i="24"/>
  <c r="J88" i="24" s="1"/>
  <c r="G89" i="24"/>
  <c r="I89" i="24"/>
  <c r="J89" i="24" s="1"/>
  <c r="G90" i="24"/>
  <c r="I90" i="24"/>
  <c r="J90" i="24" s="1"/>
  <c r="G91" i="24"/>
  <c r="I91" i="24"/>
  <c r="J91" i="24"/>
  <c r="G92" i="24"/>
  <c r="I92" i="24"/>
  <c r="J92" i="24"/>
  <c r="G94" i="24"/>
  <c r="I94" i="24"/>
  <c r="J94" i="24" s="1"/>
  <c r="G95" i="24"/>
  <c r="I95" i="24"/>
  <c r="J95" i="24" s="1"/>
  <c r="I29" i="23"/>
  <c r="J29" i="23" s="1"/>
  <c r="G29" i="23"/>
  <c r="I28" i="23"/>
  <c r="J28" i="23" s="1"/>
  <c r="G28" i="23"/>
  <c r="I27" i="23"/>
  <c r="J27" i="23" s="1"/>
  <c r="G27" i="23"/>
  <c r="I25" i="23"/>
  <c r="E25" i="23"/>
  <c r="G25" i="23" s="1"/>
  <c r="I24" i="23"/>
  <c r="J24" i="23" s="1"/>
  <c r="G24" i="23"/>
  <c r="I23" i="23"/>
  <c r="J23" i="23" s="1"/>
  <c r="G23" i="23"/>
  <c r="I21" i="23"/>
  <c r="E21" i="23"/>
  <c r="G21" i="23" s="1"/>
  <c r="I20" i="23"/>
  <c r="E20" i="23"/>
  <c r="G20" i="23" s="1"/>
  <c r="I18" i="23"/>
  <c r="E18" i="23"/>
  <c r="G18" i="23" s="1"/>
  <c r="I17" i="23"/>
  <c r="J17" i="23" s="1"/>
  <c r="G17" i="23"/>
  <c r="I16" i="23"/>
  <c r="J16" i="23" s="1"/>
  <c r="G16" i="23"/>
  <c r="I15" i="23"/>
  <c r="J15" i="23" s="1"/>
  <c r="G15" i="23"/>
  <c r="I13" i="23"/>
  <c r="E13" i="23"/>
  <c r="G13" i="23" s="1"/>
  <c r="I12" i="23"/>
  <c r="E12" i="23"/>
  <c r="G12" i="23" s="1"/>
  <c r="I11" i="23"/>
  <c r="E11" i="23"/>
  <c r="G11" i="23" s="1"/>
  <c r="I10" i="23"/>
  <c r="J10" i="23" s="1"/>
  <c r="G10" i="23"/>
  <c r="I42" i="22"/>
  <c r="J42" i="22" s="1"/>
  <c r="G42" i="22"/>
  <c r="I41" i="22"/>
  <c r="J41" i="22" s="1"/>
  <c r="G41" i="22"/>
  <c r="I39" i="22"/>
  <c r="J39" i="22" s="1"/>
  <c r="G39" i="22"/>
  <c r="I38" i="22"/>
  <c r="J38" i="22" s="1"/>
  <c r="G38" i="22"/>
  <c r="I36" i="22"/>
  <c r="J36" i="22" s="1"/>
  <c r="G36" i="22"/>
  <c r="I35" i="22"/>
  <c r="J35" i="22" s="1"/>
  <c r="G35" i="22"/>
  <c r="I34" i="22"/>
  <c r="J34" i="22" s="1"/>
  <c r="G34" i="22"/>
  <c r="I32" i="22"/>
  <c r="J32" i="22" s="1"/>
  <c r="G32" i="22"/>
  <c r="I31" i="22"/>
  <c r="J31" i="22" s="1"/>
  <c r="G31" i="22"/>
  <c r="I29" i="22"/>
  <c r="J29" i="22" s="1"/>
  <c r="G29" i="22"/>
  <c r="I28" i="22"/>
  <c r="J28" i="22" s="1"/>
  <c r="G28" i="22"/>
  <c r="I27" i="22"/>
  <c r="J27" i="22" s="1"/>
  <c r="G27" i="22"/>
  <c r="I25" i="22"/>
  <c r="J25" i="22" s="1"/>
  <c r="G25" i="22"/>
  <c r="I24" i="22"/>
  <c r="J24" i="22" s="1"/>
  <c r="G24" i="22"/>
  <c r="I23" i="22"/>
  <c r="J23" i="22" s="1"/>
  <c r="G23" i="22"/>
  <c r="I21" i="22"/>
  <c r="J21" i="22" s="1"/>
  <c r="G21" i="22"/>
  <c r="I20" i="22"/>
  <c r="J20" i="22" s="1"/>
  <c r="G20" i="22"/>
  <c r="I18" i="22"/>
  <c r="J18" i="22" s="1"/>
  <c r="G18" i="22"/>
  <c r="I17" i="22"/>
  <c r="J17" i="22" s="1"/>
  <c r="G17" i="22"/>
  <c r="I15" i="22"/>
  <c r="J15" i="22" s="1"/>
  <c r="G15" i="22"/>
  <c r="I14" i="22"/>
  <c r="J14" i="22" s="1"/>
  <c r="G14" i="22"/>
  <c r="I13" i="22"/>
  <c r="J13" i="22" s="1"/>
  <c r="G13" i="22"/>
  <c r="I12" i="22"/>
  <c r="J12" i="22" s="1"/>
  <c r="G12" i="22"/>
  <c r="I11" i="22"/>
  <c r="J11" i="22" s="1"/>
  <c r="G11" i="22"/>
  <c r="I10" i="22"/>
  <c r="J10" i="22" s="1"/>
  <c r="G10" i="22"/>
  <c r="I22" i="21"/>
  <c r="J22" i="21" s="1"/>
  <c r="G22" i="21"/>
  <c r="I21" i="21"/>
  <c r="J21" i="21" s="1"/>
  <c r="G21" i="21"/>
  <c r="I20" i="21"/>
  <c r="J20" i="21" s="1"/>
  <c r="G20" i="21"/>
  <c r="I18" i="21"/>
  <c r="J18" i="21" s="1"/>
  <c r="G18" i="21"/>
  <c r="I17" i="21"/>
  <c r="J17" i="21" s="1"/>
  <c r="G17" i="21"/>
  <c r="I16" i="21"/>
  <c r="J16" i="21" s="1"/>
  <c r="G16" i="21"/>
  <c r="I14" i="21"/>
  <c r="J14" i="21" s="1"/>
  <c r="G14" i="21"/>
  <c r="I12" i="21"/>
  <c r="J12" i="21" s="1"/>
  <c r="G12" i="21"/>
  <c r="I11" i="21"/>
  <c r="J11" i="21" s="1"/>
  <c r="G11" i="21"/>
  <c r="I10" i="21"/>
  <c r="E10" i="21"/>
  <c r="G10" i="21" s="1"/>
  <c r="G25" i="21" s="1"/>
  <c r="I29" i="20"/>
  <c r="J29" i="20" s="1"/>
  <c r="G29" i="20"/>
  <c r="I28" i="20"/>
  <c r="J28" i="20" s="1"/>
  <c r="G28" i="20"/>
  <c r="I27" i="20"/>
  <c r="J27" i="20" s="1"/>
  <c r="G27" i="20"/>
  <c r="I25" i="20"/>
  <c r="E25" i="20"/>
  <c r="G25" i="20" s="1"/>
  <c r="I24" i="20"/>
  <c r="J24" i="20" s="1"/>
  <c r="G24" i="20"/>
  <c r="I23" i="20"/>
  <c r="J23" i="20" s="1"/>
  <c r="G23" i="20"/>
  <c r="I21" i="20"/>
  <c r="J21" i="20" s="1"/>
  <c r="G21" i="20"/>
  <c r="I20" i="20"/>
  <c r="E20" i="20"/>
  <c r="G20" i="20" s="1"/>
  <c r="I18" i="20"/>
  <c r="E18" i="20"/>
  <c r="G18" i="20" s="1"/>
  <c r="I17" i="20"/>
  <c r="J17" i="20" s="1"/>
  <c r="G17" i="20"/>
  <c r="I16" i="20"/>
  <c r="J16" i="20" s="1"/>
  <c r="G16" i="20"/>
  <c r="I15" i="20"/>
  <c r="J15" i="20" s="1"/>
  <c r="G15" i="20"/>
  <c r="I13" i="20"/>
  <c r="J13" i="20" s="1"/>
  <c r="E13" i="20"/>
  <c r="G13" i="20" s="1"/>
  <c r="I12" i="20"/>
  <c r="E12" i="20"/>
  <c r="G12" i="20" s="1"/>
  <c r="I11" i="20"/>
  <c r="J11" i="20" s="1"/>
  <c r="E11" i="20"/>
  <c r="G11" i="20" s="1"/>
  <c r="I10" i="20"/>
  <c r="J10" i="20" s="1"/>
  <c r="G10" i="20"/>
  <c r="I36" i="19"/>
  <c r="J36" i="19" s="1"/>
  <c r="G36" i="19"/>
  <c r="I34" i="19"/>
  <c r="E34" i="19"/>
  <c r="G34" i="19" s="1"/>
  <c r="I32" i="19"/>
  <c r="E32" i="19"/>
  <c r="G32" i="19" s="1"/>
  <c r="I30" i="19"/>
  <c r="E30" i="19"/>
  <c r="G30" i="19" s="1"/>
  <c r="I29" i="19"/>
  <c r="E29" i="19"/>
  <c r="G29" i="19" s="1"/>
  <c r="I27" i="19"/>
  <c r="J27" i="19" s="1"/>
  <c r="G27" i="19"/>
  <c r="I26" i="19"/>
  <c r="E26" i="19"/>
  <c r="G26" i="19" s="1"/>
  <c r="I25" i="19"/>
  <c r="J25" i="19" s="1"/>
  <c r="G25" i="19"/>
  <c r="G39" i="19" s="1"/>
  <c r="I16" i="19"/>
  <c r="J16" i="19" s="1"/>
  <c r="G16" i="19"/>
  <c r="I14" i="19"/>
  <c r="J14" i="19" s="1"/>
  <c r="G14" i="19"/>
  <c r="I13" i="19"/>
  <c r="J13" i="19" s="1"/>
  <c r="G13" i="19"/>
  <c r="I11" i="19"/>
  <c r="J11" i="19" s="1"/>
  <c r="G11" i="19"/>
  <c r="I10" i="19"/>
  <c r="J10" i="19" s="1"/>
  <c r="G10" i="19"/>
  <c r="G19" i="19" s="1"/>
  <c r="I35" i="17"/>
  <c r="J35" i="17" s="1"/>
  <c r="G35" i="17"/>
  <c r="I34" i="17"/>
  <c r="J34" i="17" s="1"/>
  <c r="G34" i="17"/>
  <c r="I33" i="17"/>
  <c r="J33" i="17" s="1"/>
  <c r="G33" i="17"/>
  <c r="I31" i="17"/>
  <c r="E31" i="17"/>
  <c r="G31" i="17" s="1"/>
  <c r="I30" i="17"/>
  <c r="J30" i="17" s="1"/>
  <c r="G30" i="17"/>
  <c r="I29" i="17"/>
  <c r="J29" i="17" s="1"/>
  <c r="G29" i="17"/>
  <c r="I27" i="17"/>
  <c r="E27" i="17"/>
  <c r="G27" i="17" s="1"/>
  <c r="I26" i="17"/>
  <c r="J26" i="17" s="1"/>
  <c r="G26" i="17"/>
  <c r="I24" i="17"/>
  <c r="J24" i="17" s="1"/>
  <c r="G24" i="17"/>
  <c r="I22" i="17"/>
  <c r="J22" i="17" s="1"/>
  <c r="G22" i="17"/>
  <c r="I21" i="17"/>
  <c r="J21" i="17" s="1"/>
  <c r="G21" i="17"/>
  <c r="I19" i="17"/>
  <c r="E19" i="17"/>
  <c r="G19" i="17" s="1"/>
  <c r="I18" i="17"/>
  <c r="J18" i="17" s="1"/>
  <c r="G18" i="17"/>
  <c r="I17" i="17"/>
  <c r="J17" i="17" s="1"/>
  <c r="G17" i="17"/>
  <c r="I16" i="17"/>
  <c r="J16" i="17" s="1"/>
  <c r="G16" i="17"/>
  <c r="I14" i="17"/>
  <c r="E14" i="17"/>
  <c r="G14" i="17" s="1"/>
  <c r="I13" i="17"/>
  <c r="E13" i="17"/>
  <c r="G13" i="17" s="1"/>
  <c r="I12" i="17"/>
  <c r="E12" i="17"/>
  <c r="G12" i="17" s="1"/>
  <c r="I11" i="17"/>
  <c r="J11" i="17" s="1"/>
  <c r="G11" i="17"/>
  <c r="I10" i="17"/>
  <c r="J10" i="17" s="1"/>
  <c r="G10" i="17"/>
  <c r="I21" i="16"/>
  <c r="J21" i="16" s="1"/>
  <c r="G21" i="16"/>
  <c r="I20" i="16"/>
  <c r="J20" i="16" s="1"/>
  <c r="G20" i="16"/>
  <c r="I19" i="16"/>
  <c r="J19" i="16" s="1"/>
  <c r="G19" i="16"/>
  <c r="I17" i="16"/>
  <c r="J17" i="16" s="1"/>
  <c r="G17" i="16"/>
  <c r="I15" i="16"/>
  <c r="J15" i="16" s="1"/>
  <c r="G15" i="16"/>
  <c r="I14" i="16"/>
  <c r="J14" i="16" s="1"/>
  <c r="G14" i="16"/>
  <c r="I13" i="16"/>
  <c r="J13" i="16" s="1"/>
  <c r="G13" i="16"/>
  <c r="I11" i="16"/>
  <c r="J11" i="16" s="1"/>
  <c r="G11" i="16"/>
  <c r="I10" i="16"/>
  <c r="J10" i="16" s="1"/>
  <c r="J24" i="16" s="1"/>
  <c r="G10" i="16"/>
  <c r="G24" i="16" s="1"/>
  <c r="I29" i="15"/>
  <c r="J29" i="15" s="1"/>
  <c r="G29" i="15"/>
  <c r="I28" i="15"/>
  <c r="J28" i="15" s="1"/>
  <c r="G28" i="15"/>
  <c r="I27" i="15"/>
  <c r="J27" i="15" s="1"/>
  <c r="G27" i="15"/>
  <c r="I25" i="15"/>
  <c r="E25" i="15"/>
  <c r="G25" i="15" s="1"/>
  <c r="I24" i="15"/>
  <c r="J24" i="15" s="1"/>
  <c r="G24" i="15"/>
  <c r="I23" i="15"/>
  <c r="J23" i="15" s="1"/>
  <c r="G23" i="15"/>
  <c r="I21" i="15"/>
  <c r="E21" i="15"/>
  <c r="G21" i="15" s="1"/>
  <c r="I20" i="15"/>
  <c r="E20" i="15"/>
  <c r="G20" i="15" s="1"/>
  <c r="I18" i="15"/>
  <c r="E18" i="15"/>
  <c r="G18" i="15" s="1"/>
  <c r="I17" i="15"/>
  <c r="J17" i="15" s="1"/>
  <c r="G17" i="15"/>
  <c r="I16" i="15"/>
  <c r="J16" i="15" s="1"/>
  <c r="G16" i="15"/>
  <c r="I15" i="15"/>
  <c r="J15" i="15" s="1"/>
  <c r="G15" i="15"/>
  <c r="I13" i="15"/>
  <c r="E13" i="15"/>
  <c r="G13" i="15" s="1"/>
  <c r="I12" i="15"/>
  <c r="E12" i="15"/>
  <c r="G12" i="15" s="1"/>
  <c r="I11" i="15"/>
  <c r="E11" i="15"/>
  <c r="G11" i="15" s="1"/>
  <c r="I10" i="15"/>
  <c r="J10" i="15" s="1"/>
  <c r="G10" i="15"/>
  <c r="G32" i="15" s="1"/>
  <c r="I81" i="14"/>
  <c r="J81" i="14" s="1"/>
  <c r="G81" i="14"/>
  <c r="I80" i="14"/>
  <c r="J80" i="14" s="1"/>
  <c r="G80" i="14"/>
  <c r="I79" i="14"/>
  <c r="J79" i="14" s="1"/>
  <c r="G79" i="14"/>
  <c r="I77" i="14"/>
  <c r="J77" i="14" s="1"/>
  <c r="G77" i="14"/>
  <c r="I76" i="14"/>
  <c r="J76" i="14" s="1"/>
  <c r="G76" i="14"/>
  <c r="I75" i="14"/>
  <c r="J75" i="14" s="1"/>
  <c r="G75" i="14"/>
  <c r="I73" i="14"/>
  <c r="J73" i="14" s="1"/>
  <c r="G73" i="14"/>
  <c r="I71" i="14"/>
  <c r="J71" i="14" s="1"/>
  <c r="G71" i="14"/>
  <c r="I69" i="14"/>
  <c r="J69" i="14" s="1"/>
  <c r="G69" i="14"/>
  <c r="I68" i="14"/>
  <c r="J68" i="14" s="1"/>
  <c r="G68" i="14"/>
  <c r="I67" i="14"/>
  <c r="J67" i="14" s="1"/>
  <c r="G67" i="14"/>
  <c r="I65" i="14"/>
  <c r="J65" i="14" s="1"/>
  <c r="G65" i="14"/>
  <c r="I64" i="14"/>
  <c r="J64" i="14" s="1"/>
  <c r="G64" i="14"/>
  <c r="I63" i="14"/>
  <c r="J63" i="14" s="1"/>
  <c r="G63" i="14"/>
  <c r="I62" i="14"/>
  <c r="J62" i="14" s="1"/>
  <c r="G62" i="14"/>
  <c r="I60" i="14"/>
  <c r="J60" i="14" s="1"/>
  <c r="G60" i="14"/>
  <c r="I58" i="14"/>
  <c r="J58" i="14" s="1"/>
  <c r="G58" i="14"/>
  <c r="I57" i="14"/>
  <c r="J57" i="14" s="1"/>
  <c r="G57" i="14"/>
  <c r="I56" i="14"/>
  <c r="J56" i="14" s="1"/>
  <c r="G56" i="14"/>
  <c r="I55" i="14"/>
  <c r="J55" i="14" s="1"/>
  <c r="G55" i="14"/>
  <c r="I53" i="14"/>
  <c r="J53" i="14" s="1"/>
  <c r="G53" i="14"/>
  <c r="I52" i="14"/>
  <c r="J52" i="14" s="1"/>
  <c r="G52" i="14"/>
  <c r="I51" i="14"/>
  <c r="J51" i="14" s="1"/>
  <c r="G51" i="14"/>
  <c r="I50" i="14"/>
  <c r="J50" i="14" s="1"/>
  <c r="G50" i="14"/>
  <c r="I43" i="14"/>
  <c r="J43" i="14" s="1"/>
  <c r="G43" i="14"/>
  <c r="I42" i="14"/>
  <c r="J42" i="14" s="1"/>
  <c r="G42" i="14"/>
  <c r="I41" i="14"/>
  <c r="J41" i="14" s="1"/>
  <c r="G41" i="14"/>
  <c r="I39" i="14"/>
  <c r="J39" i="14" s="1"/>
  <c r="G39" i="14"/>
  <c r="I38" i="14"/>
  <c r="J38" i="14" s="1"/>
  <c r="G38" i="14"/>
  <c r="I36" i="14"/>
  <c r="E36" i="14"/>
  <c r="G36" i="14" s="1"/>
  <c r="I34" i="14"/>
  <c r="E34" i="14"/>
  <c r="G34" i="14" s="1"/>
  <c r="I32" i="14"/>
  <c r="J32" i="14" s="1"/>
  <c r="G32" i="14"/>
  <c r="I30" i="14"/>
  <c r="J30" i="14" s="1"/>
  <c r="G30" i="14"/>
  <c r="I29" i="14"/>
  <c r="J29" i="14" s="1"/>
  <c r="G29" i="14"/>
  <c r="I28" i="14"/>
  <c r="J28" i="14" s="1"/>
  <c r="G28" i="14"/>
  <c r="I26" i="14"/>
  <c r="J26" i="14" s="1"/>
  <c r="G26" i="14"/>
  <c r="I25" i="14"/>
  <c r="J25" i="14" s="1"/>
  <c r="G25" i="14"/>
  <c r="I23" i="14"/>
  <c r="J23" i="14" s="1"/>
  <c r="G23" i="14"/>
  <c r="I21" i="14"/>
  <c r="J21" i="14" s="1"/>
  <c r="G21" i="14"/>
  <c r="I20" i="14"/>
  <c r="J20" i="14" s="1"/>
  <c r="G20" i="14"/>
  <c r="I19" i="14"/>
  <c r="J19" i="14" s="1"/>
  <c r="G19" i="14"/>
  <c r="I18" i="14"/>
  <c r="J18" i="14" s="1"/>
  <c r="G18" i="14"/>
  <c r="I17" i="14"/>
  <c r="J17" i="14" s="1"/>
  <c r="G17" i="14"/>
  <c r="I15" i="14"/>
  <c r="J15" i="14" s="1"/>
  <c r="G15" i="14"/>
  <c r="I14" i="14"/>
  <c r="J14" i="14" s="1"/>
  <c r="G14" i="14"/>
  <c r="I13" i="14"/>
  <c r="J13" i="14" s="1"/>
  <c r="G13" i="14"/>
  <c r="I12" i="14"/>
  <c r="J12" i="14" s="1"/>
  <c r="G12" i="14"/>
  <c r="I11" i="14"/>
  <c r="J11" i="14" s="1"/>
  <c r="G11" i="14"/>
  <c r="I29" i="13"/>
  <c r="J29" i="13" s="1"/>
  <c r="G29" i="13"/>
  <c r="I28" i="13"/>
  <c r="J28" i="13" s="1"/>
  <c r="G28" i="13"/>
  <c r="I27" i="13"/>
  <c r="J27" i="13" s="1"/>
  <c r="G27" i="13"/>
  <c r="I25" i="13"/>
  <c r="E25" i="13"/>
  <c r="G25" i="13" s="1"/>
  <c r="I24" i="13"/>
  <c r="J24" i="13" s="1"/>
  <c r="G24" i="13"/>
  <c r="I23" i="13"/>
  <c r="J23" i="13" s="1"/>
  <c r="G23" i="13"/>
  <c r="I21" i="13"/>
  <c r="E21" i="13"/>
  <c r="G21" i="13" s="1"/>
  <c r="I20" i="13"/>
  <c r="E20" i="13"/>
  <c r="G20" i="13" s="1"/>
  <c r="I18" i="13"/>
  <c r="E18" i="13"/>
  <c r="G18" i="13" s="1"/>
  <c r="I17" i="13"/>
  <c r="J17" i="13" s="1"/>
  <c r="G17" i="13"/>
  <c r="I16" i="13"/>
  <c r="J16" i="13" s="1"/>
  <c r="G16" i="13"/>
  <c r="I15" i="13"/>
  <c r="J15" i="13" s="1"/>
  <c r="G15" i="13"/>
  <c r="I13" i="13"/>
  <c r="E13" i="13"/>
  <c r="G13" i="13" s="1"/>
  <c r="I12" i="13"/>
  <c r="E12" i="13"/>
  <c r="G12" i="13" s="1"/>
  <c r="I11" i="13"/>
  <c r="E11" i="13"/>
  <c r="G11" i="13" s="1"/>
  <c r="I10" i="13"/>
  <c r="J10" i="13" s="1"/>
  <c r="G10" i="13"/>
  <c r="I15" i="12"/>
  <c r="J15" i="12" s="1"/>
  <c r="G15" i="12"/>
  <c r="I14" i="12"/>
  <c r="J14" i="12" s="1"/>
  <c r="G14" i="12"/>
  <c r="I13" i="12"/>
  <c r="J13" i="12" s="1"/>
  <c r="G13" i="12"/>
  <c r="I12" i="12"/>
  <c r="J12" i="12" s="1"/>
  <c r="G12" i="12"/>
  <c r="I11" i="12"/>
  <c r="J11" i="12" s="1"/>
  <c r="G11" i="12"/>
  <c r="I10" i="12"/>
  <c r="J10" i="12" s="1"/>
  <c r="J18" i="12" s="1"/>
  <c r="G10" i="12"/>
  <c r="G18" i="12" s="1"/>
  <c r="I18" i="10"/>
  <c r="J18" i="10" s="1"/>
  <c r="G18" i="10"/>
  <c r="I17" i="10"/>
  <c r="J17" i="10" s="1"/>
  <c r="G17" i="10"/>
  <c r="I15" i="10"/>
  <c r="J15" i="10" s="1"/>
  <c r="G15" i="10"/>
  <c r="I13" i="10"/>
  <c r="J13" i="10" s="1"/>
  <c r="G13" i="10"/>
  <c r="I12" i="10"/>
  <c r="J12" i="10" s="1"/>
  <c r="G12" i="10"/>
  <c r="I10" i="10"/>
  <c r="J10" i="10" s="1"/>
  <c r="G10" i="10"/>
  <c r="G21" i="10" s="1"/>
  <c r="I21" i="9"/>
  <c r="J21" i="9" s="1"/>
  <c r="G21" i="9"/>
  <c r="I20" i="9"/>
  <c r="J20" i="9" s="1"/>
  <c r="G20" i="9"/>
  <c r="I19" i="9"/>
  <c r="J19" i="9" s="1"/>
  <c r="G19" i="9"/>
  <c r="I17" i="9"/>
  <c r="J17" i="9" s="1"/>
  <c r="G17" i="9"/>
  <c r="I15" i="9"/>
  <c r="J15" i="9" s="1"/>
  <c r="G15" i="9"/>
  <c r="I13" i="9"/>
  <c r="J13" i="9" s="1"/>
  <c r="G13" i="9"/>
  <c r="I12" i="9"/>
  <c r="J12" i="9" s="1"/>
  <c r="G12" i="9"/>
  <c r="I10" i="9"/>
  <c r="J10" i="9" s="1"/>
  <c r="G10" i="9"/>
  <c r="I29" i="8"/>
  <c r="J29" i="8" s="1"/>
  <c r="G29" i="8"/>
  <c r="I28" i="8"/>
  <c r="J28" i="8" s="1"/>
  <c r="G28" i="8"/>
  <c r="I27" i="8"/>
  <c r="J27" i="8" s="1"/>
  <c r="G27" i="8"/>
  <c r="I25" i="8"/>
  <c r="J25" i="8" s="1"/>
  <c r="G25" i="8"/>
  <c r="I24" i="8"/>
  <c r="J24" i="8" s="1"/>
  <c r="G24" i="8"/>
  <c r="I23" i="8"/>
  <c r="J23" i="8" s="1"/>
  <c r="G23" i="8"/>
  <c r="I21" i="8"/>
  <c r="J21" i="8" s="1"/>
  <c r="G21" i="8"/>
  <c r="I20" i="8"/>
  <c r="E20" i="8"/>
  <c r="G20" i="8" s="1"/>
  <c r="I18" i="8"/>
  <c r="J18" i="8" s="1"/>
  <c r="G18" i="8"/>
  <c r="I17" i="8"/>
  <c r="J17" i="8" s="1"/>
  <c r="G17" i="8"/>
  <c r="I16" i="8"/>
  <c r="J16" i="8" s="1"/>
  <c r="G16" i="8"/>
  <c r="I15" i="8"/>
  <c r="J15" i="8" s="1"/>
  <c r="G15" i="8"/>
  <c r="I13" i="8"/>
  <c r="E13" i="8"/>
  <c r="G13" i="8" s="1"/>
  <c r="I12" i="8"/>
  <c r="E12" i="8"/>
  <c r="G12" i="8" s="1"/>
  <c r="I11" i="8"/>
  <c r="E11" i="8"/>
  <c r="G11" i="8" s="1"/>
  <c r="I10" i="8"/>
  <c r="J10" i="8" s="1"/>
  <c r="G10" i="8"/>
  <c r="G32" i="8" s="1"/>
  <c r="I818" i="5"/>
  <c r="I803" i="5"/>
  <c r="J803" i="5" s="1"/>
  <c r="G803" i="5"/>
  <c r="I801" i="5"/>
  <c r="E801" i="5"/>
  <c r="G801" i="5" s="1"/>
  <c r="G800" i="5"/>
  <c r="I800" i="5"/>
  <c r="J800" i="5" s="1"/>
  <c r="I799" i="5"/>
  <c r="J799" i="5" s="1"/>
  <c r="I797" i="5"/>
  <c r="J797" i="5" s="1"/>
  <c r="G797" i="5"/>
  <c r="I795" i="5"/>
  <c r="J795" i="5" s="1"/>
  <c r="E795" i="5"/>
  <c r="I794" i="5"/>
  <c r="J794" i="5" s="1"/>
  <c r="E794" i="5"/>
  <c r="G794" i="5" s="1"/>
  <c r="G792" i="5"/>
  <c r="I792" i="5"/>
  <c r="J792" i="5" s="1"/>
  <c r="E792" i="5"/>
  <c r="I791" i="5"/>
  <c r="J791" i="5" s="1"/>
  <c r="G791" i="5"/>
  <c r="G790" i="5"/>
  <c r="I789" i="5"/>
  <c r="J789" i="5" s="1"/>
  <c r="I787" i="5"/>
  <c r="E787" i="5"/>
  <c r="G787" i="5" s="1"/>
  <c r="G786" i="5"/>
  <c r="I786" i="5"/>
  <c r="J786" i="5" s="1"/>
  <c r="E786" i="5"/>
  <c r="I785" i="5"/>
  <c r="J785" i="5" s="1"/>
  <c r="E785" i="5"/>
  <c r="I784" i="5"/>
  <c r="J784" i="5" s="1"/>
  <c r="I775" i="5"/>
  <c r="J775" i="5" s="1"/>
  <c r="G775" i="5"/>
  <c r="I774" i="5"/>
  <c r="J774" i="5" s="1"/>
  <c r="G774" i="5"/>
  <c r="I773" i="5"/>
  <c r="J773" i="5" s="1"/>
  <c r="G773" i="5"/>
  <c r="I771" i="5"/>
  <c r="E771" i="5"/>
  <c r="G771" i="5" s="1"/>
  <c r="I770" i="5"/>
  <c r="J770" i="5" s="1"/>
  <c r="G769" i="5"/>
  <c r="I767" i="5"/>
  <c r="J767" i="5" s="1"/>
  <c r="E767" i="5"/>
  <c r="I766" i="5"/>
  <c r="J766" i="5" s="1"/>
  <c r="G766" i="5"/>
  <c r="I764" i="5"/>
  <c r="E764" i="5"/>
  <c r="I763" i="5"/>
  <c r="J763" i="5" s="1"/>
  <c r="I762" i="5"/>
  <c r="J762" i="5" s="1"/>
  <c r="G762" i="5"/>
  <c r="I761" i="5"/>
  <c r="J761" i="5" s="1"/>
  <c r="G761" i="5"/>
  <c r="I759" i="5"/>
  <c r="J759" i="5" s="1"/>
  <c r="E759" i="5"/>
  <c r="G759" i="5" s="1"/>
  <c r="I758" i="5"/>
  <c r="J758" i="5" s="1"/>
  <c r="E758" i="5"/>
  <c r="I757" i="5"/>
  <c r="E757" i="5"/>
  <c r="I756" i="5"/>
  <c r="J756" i="5" s="1"/>
  <c r="G747" i="5"/>
  <c r="I747" i="5"/>
  <c r="J747" i="5" s="1"/>
  <c r="I746" i="5"/>
  <c r="J746" i="5" s="1"/>
  <c r="G746" i="5"/>
  <c r="I745" i="5"/>
  <c r="J745" i="5" s="1"/>
  <c r="G745" i="5"/>
  <c r="G743" i="5"/>
  <c r="I743" i="5"/>
  <c r="E743" i="5"/>
  <c r="I741" i="5"/>
  <c r="J741" i="5" s="1"/>
  <c r="G741" i="5"/>
  <c r="I739" i="5"/>
  <c r="J739" i="5" s="1"/>
  <c r="E739" i="5"/>
  <c r="I738" i="5"/>
  <c r="E738" i="5"/>
  <c r="I736" i="5"/>
  <c r="J736" i="5" s="1"/>
  <c r="G736" i="5"/>
  <c r="E736" i="5"/>
  <c r="G735" i="5"/>
  <c r="I735" i="5"/>
  <c r="J735" i="5" s="1"/>
  <c r="G734" i="5"/>
  <c r="I734" i="5"/>
  <c r="J734" i="5" s="1"/>
  <c r="I733" i="5"/>
  <c r="J733" i="5" s="1"/>
  <c r="G733" i="5"/>
  <c r="I731" i="5"/>
  <c r="J731" i="5" s="1"/>
  <c r="G731" i="5"/>
  <c r="I730" i="5"/>
  <c r="J730" i="5" s="1"/>
  <c r="I728" i="5"/>
  <c r="J728" i="5" s="1"/>
  <c r="E728" i="5"/>
  <c r="I727" i="5"/>
  <c r="J727" i="5" s="1"/>
  <c r="G727" i="5"/>
  <c r="E727" i="5"/>
  <c r="I726" i="5"/>
  <c r="J726" i="5" s="1"/>
  <c r="E726" i="5"/>
  <c r="G726" i="5" s="1"/>
  <c r="G716" i="5"/>
  <c r="I716" i="5"/>
  <c r="J716" i="5" s="1"/>
  <c r="I715" i="5"/>
  <c r="J715" i="5" s="1"/>
  <c r="G715" i="5"/>
  <c r="I714" i="5"/>
  <c r="J714" i="5" s="1"/>
  <c r="G714" i="5"/>
  <c r="I712" i="5"/>
  <c r="J712" i="5" s="1"/>
  <c r="E712" i="5"/>
  <c r="G711" i="5"/>
  <c r="I711" i="5"/>
  <c r="J711" i="5" s="1"/>
  <c r="I710" i="5"/>
  <c r="J710" i="5" s="1"/>
  <c r="G710" i="5"/>
  <c r="I708" i="5"/>
  <c r="J708" i="5" s="1"/>
  <c r="I707" i="5"/>
  <c r="E707" i="5"/>
  <c r="G707" i="5" s="1"/>
  <c r="I706" i="5"/>
  <c r="E706" i="5"/>
  <c r="G706" i="5" s="1"/>
  <c r="I705" i="5"/>
  <c r="J705" i="5" s="1"/>
  <c r="I704" i="5"/>
  <c r="J704" i="5" s="1"/>
  <c r="G704" i="5"/>
  <c r="I703" i="5"/>
  <c r="J703" i="5" s="1"/>
  <c r="G703" i="5"/>
  <c r="G702" i="5"/>
  <c r="I702" i="5"/>
  <c r="J702" i="5" s="1"/>
  <c r="I701" i="5"/>
  <c r="J701" i="5" s="1"/>
  <c r="I699" i="5"/>
  <c r="E699" i="5"/>
  <c r="I698" i="5"/>
  <c r="J698" i="5" s="1"/>
  <c r="G698" i="5"/>
  <c r="E698" i="5"/>
  <c r="I697" i="5"/>
  <c r="J697" i="5" s="1"/>
  <c r="I696" i="5"/>
  <c r="J696" i="5" s="1"/>
  <c r="G696" i="5"/>
  <c r="I688" i="5"/>
  <c r="J688" i="5" s="1"/>
  <c r="I687" i="5"/>
  <c r="J687" i="5" s="1"/>
  <c r="G687" i="5"/>
  <c r="I686" i="5"/>
  <c r="J686" i="5" s="1"/>
  <c r="G686" i="5"/>
  <c r="I684" i="5"/>
  <c r="J684" i="5" s="1"/>
  <c r="I683" i="5"/>
  <c r="J683" i="5" s="1"/>
  <c r="G683" i="5"/>
  <c r="I682" i="5"/>
  <c r="J682" i="5" s="1"/>
  <c r="I681" i="5"/>
  <c r="J681" i="5" s="1"/>
  <c r="G681" i="5"/>
  <c r="I680" i="5"/>
  <c r="J680" i="5" s="1"/>
  <c r="I679" i="5"/>
  <c r="J679" i="5" s="1"/>
  <c r="G677" i="5"/>
  <c r="I677" i="5"/>
  <c r="J677" i="5" s="1"/>
  <c r="I675" i="5"/>
  <c r="J675" i="5" s="1"/>
  <c r="G675" i="5"/>
  <c r="G666" i="5"/>
  <c r="I666" i="5"/>
  <c r="J666" i="5" s="1"/>
  <c r="I665" i="5"/>
  <c r="J665" i="5" s="1"/>
  <c r="G665" i="5"/>
  <c r="I664" i="5"/>
  <c r="J664" i="5" s="1"/>
  <c r="G664" i="5"/>
  <c r="I662" i="5"/>
  <c r="E662" i="5"/>
  <c r="G662" i="5" s="1"/>
  <c r="I660" i="5"/>
  <c r="J660" i="5" s="1"/>
  <c r="I658" i="5"/>
  <c r="J658" i="5" s="1"/>
  <c r="E658" i="5"/>
  <c r="E657" i="5" s="1"/>
  <c r="G657" i="5" s="1"/>
  <c r="I657" i="5"/>
  <c r="I656" i="5"/>
  <c r="J656" i="5" s="1"/>
  <c r="I654" i="5"/>
  <c r="J654" i="5" s="1"/>
  <c r="G653" i="5"/>
  <c r="G652" i="5"/>
  <c r="I650" i="5"/>
  <c r="E650" i="5"/>
  <c r="G650" i="5" s="1"/>
  <c r="I649" i="5"/>
  <c r="J649" i="5" s="1"/>
  <c r="E649" i="5"/>
  <c r="G649" i="5" s="1"/>
  <c r="I648" i="5"/>
  <c r="E648" i="5"/>
  <c r="G648" i="5" s="1"/>
  <c r="G647" i="5"/>
  <c r="I647" i="5"/>
  <c r="J647" i="5" s="1"/>
  <c r="I638" i="5"/>
  <c r="J638" i="5" s="1"/>
  <c r="G638" i="5"/>
  <c r="I637" i="5"/>
  <c r="J637" i="5" s="1"/>
  <c r="G637" i="5"/>
  <c r="I635" i="5"/>
  <c r="J635" i="5" s="1"/>
  <c r="G635" i="5"/>
  <c r="I634" i="5"/>
  <c r="J634" i="5" s="1"/>
  <c r="I633" i="5"/>
  <c r="J633" i="5" s="1"/>
  <c r="G631" i="5"/>
  <c r="I631" i="5"/>
  <c r="J631" i="5" s="1"/>
  <c r="I630" i="5"/>
  <c r="J630" i="5" s="1"/>
  <c r="G630" i="5"/>
  <c r="I628" i="5"/>
  <c r="J628" i="5" s="1"/>
  <c r="I626" i="5"/>
  <c r="J626" i="5" s="1"/>
  <c r="I625" i="5"/>
  <c r="J625" i="5" s="1"/>
  <c r="E625" i="5"/>
  <c r="G625" i="5" s="1"/>
  <c r="I624" i="5"/>
  <c r="J624" i="5" s="1"/>
  <c r="G624" i="5"/>
  <c r="I623" i="5"/>
  <c r="J623" i="5" s="1"/>
  <c r="I622" i="5"/>
  <c r="J622" i="5" s="1"/>
  <c r="G622" i="5"/>
  <c r="I621" i="5"/>
  <c r="J621" i="5" s="1"/>
  <c r="E621" i="5"/>
  <c r="I620" i="5"/>
  <c r="J620" i="5" s="1"/>
  <c r="I619" i="5"/>
  <c r="J619" i="5" s="1"/>
  <c r="G619" i="5"/>
  <c r="I618" i="5"/>
  <c r="J618" i="5" s="1"/>
  <c r="G616" i="5"/>
  <c r="I616" i="5"/>
  <c r="J616" i="5" s="1"/>
  <c r="G615" i="5"/>
  <c r="I614" i="5"/>
  <c r="J614" i="5" s="1"/>
  <c r="G614" i="5"/>
  <c r="I612" i="5"/>
  <c r="J612" i="5" s="1"/>
  <c r="I610" i="5"/>
  <c r="J610" i="5" s="1"/>
  <c r="G610" i="5"/>
  <c r="I609" i="5"/>
  <c r="J609" i="5" s="1"/>
  <c r="G609" i="5"/>
  <c r="G600" i="5"/>
  <c r="I600" i="5"/>
  <c r="J600" i="5" s="1"/>
  <c r="I599" i="5"/>
  <c r="J599" i="5" s="1"/>
  <c r="G599" i="5"/>
  <c r="I597" i="5"/>
  <c r="J597" i="5" s="1"/>
  <c r="I595" i="5"/>
  <c r="J595" i="5" s="1"/>
  <c r="G595" i="5"/>
  <c r="I594" i="5"/>
  <c r="J594" i="5" s="1"/>
  <c r="I593" i="5"/>
  <c r="J593" i="5" s="1"/>
  <c r="G593" i="5"/>
  <c r="G589" i="5"/>
  <c r="I589" i="5"/>
  <c r="J589" i="5" s="1"/>
  <c r="I588" i="5"/>
  <c r="J588" i="5" s="1"/>
  <c r="I587" i="5"/>
  <c r="J587" i="5" s="1"/>
  <c r="I584" i="5"/>
  <c r="G584" i="5"/>
  <c r="E584" i="5"/>
  <c r="I583" i="5"/>
  <c r="J583" i="5" s="1"/>
  <c r="I574" i="5"/>
  <c r="J574" i="5" s="1"/>
  <c r="G574" i="5"/>
  <c r="I573" i="5"/>
  <c r="J573" i="5" s="1"/>
  <c r="G573" i="5"/>
  <c r="I571" i="5"/>
  <c r="J571" i="5" s="1"/>
  <c r="E571" i="5"/>
  <c r="G571" i="5" s="1"/>
  <c r="I570" i="5"/>
  <c r="E570" i="5"/>
  <c r="G570" i="5" s="1"/>
  <c r="I569" i="5"/>
  <c r="J569" i="5" s="1"/>
  <c r="E569" i="5"/>
  <c r="S567" i="5"/>
  <c r="R567" i="5"/>
  <c r="I567" i="5"/>
  <c r="E567" i="5"/>
  <c r="S566" i="5"/>
  <c r="R566" i="5"/>
  <c r="I566" i="5"/>
  <c r="J566" i="5" s="1"/>
  <c r="E566" i="5"/>
  <c r="G566" i="5" s="1"/>
  <c r="I564" i="5"/>
  <c r="I563" i="5"/>
  <c r="E563" i="5"/>
  <c r="T563" i="5" s="1"/>
  <c r="S563" i="5" s="1"/>
  <c r="R561" i="5"/>
  <c r="Q561" i="5"/>
  <c r="I561" i="5"/>
  <c r="J561" i="5" s="1"/>
  <c r="E561" i="5"/>
  <c r="Q560" i="5"/>
  <c r="I560" i="5"/>
  <c r="E560" i="5"/>
  <c r="G560" i="5" s="1"/>
  <c r="Q559" i="5"/>
  <c r="E558" i="5"/>
  <c r="I556" i="5"/>
  <c r="J556" i="5" s="1"/>
  <c r="E556" i="5"/>
  <c r="I555" i="5"/>
  <c r="J555" i="5" s="1"/>
  <c r="I546" i="5"/>
  <c r="J546" i="5" s="1"/>
  <c r="G546" i="5"/>
  <c r="I545" i="5"/>
  <c r="J545" i="5" s="1"/>
  <c r="G545" i="5"/>
  <c r="I543" i="5"/>
  <c r="J543" i="5" s="1"/>
  <c r="G543" i="5"/>
  <c r="I542" i="5"/>
  <c r="J542" i="5" s="1"/>
  <c r="I541" i="5"/>
  <c r="J541" i="5" s="1"/>
  <c r="G541" i="5"/>
  <c r="I540" i="5"/>
  <c r="J540" i="5" s="1"/>
  <c r="I539" i="5"/>
  <c r="J539" i="5" s="1"/>
  <c r="G539" i="5"/>
  <c r="I538" i="5"/>
  <c r="J538" i="5" s="1"/>
  <c r="I536" i="5"/>
  <c r="J536" i="5" s="1"/>
  <c r="G536" i="5"/>
  <c r="I534" i="5"/>
  <c r="J534" i="5" s="1"/>
  <c r="G532" i="5"/>
  <c r="I532" i="5"/>
  <c r="J532" i="5" s="1"/>
  <c r="I531" i="5"/>
  <c r="J531" i="5" s="1"/>
  <c r="G531" i="5"/>
  <c r="I530" i="5"/>
  <c r="J530" i="5" s="1"/>
  <c r="I528" i="5"/>
  <c r="J528" i="5" s="1"/>
  <c r="I526" i="5"/>
  <c r="J526" i="5" s="1"/>
  <c r="G526" i="5"/>
  <c r="G525" i="5"/>
  <c r="I525" i="5"/>
  <c r="J525" i="5" s="1"/>
  <c r="I524" i="5"/>
  <c r="J524" i="5" s="1"/>
  <c r="G523" i="5"/>
  <c r="I523" i="5"/>
  <c r="J523" i="5" s="1"/>
  <c r="I522" i="5"/>
  <c r="J522" i="5" s="1"/>
  <c r="I521" i="5"/>
  <c r="J521" i="5" s="1"/>
  <c r="G521" i="5"/>
  <c r="G520" i="5"/>
  <c r="I520" i="5"/>
  <c r="J520" i="5" s="1"/>
  <c r="I516" i="5"/>
  <c r="J516" i="5" s="1"/>
  <c r="G516" i="5"/>
  <c r="I515" i="5"/>
  <c r="J515" i="5" s="1"/>
  <c r="I514" i="5"/>
  <c r="J514" i="5" s="1"/>
  <c r="I513" i="5"/>
  <c r="J513" i="5" s="1"/>
  <c r="G513" i="5"/>
  <c r="I512" i="5"/>
  <c r="J512" i="5" s="1"/>
  <c r="I510" i="5"/>
  <c r="J510" i="5" s="1"/>
  <c r="I509" i="5"/>
  <c r="J509" i="5" s="1"/>
  <c r="G507" i="5"/>
  <c r="I505" i="5"/>
  <c r="J505" i="5" s="1"/>
  <c r="G505" i="5"/>
  <c r="I504" i="5"/>
  <c r="J504" i="5" s="1"/>
  <c r="I503" i="5"/>
  <c r="J503" i="5" s="1"/>
  <c r="I502" i="5"/>
  <c r="J502" i="5" s="1"/>
  <c r="I501" i="5"/>
  <c r="J501" i="5" s="1"/>
  <c r="I500" i="5"/>
  <c r="J500" i="5" s="1"/>
  <c r="I497" i="5"/>
  <c r="J497" i="5" s="1"/>
  <c r="G496" i="5"/>
  <c r="I496" i="5"/>
  <c r="J496" i="5" s="1"/>
  <c r="I494" i="5"/>
  <c r="J494" i="5" s="1"/>
  <c r="G492" i="5"/>
  <c r="I491" i="5"/>
  <c r="J491" i="5" s="1"/>
  <c r="I490" i="5"/>
  <c r="J490" i="5" s="1"/>
  <c r="G489" i="5"/>
  <c r="I489" i="5"/>
  <c r="J489" i="5" s="1"/>
  <c r="I487" i="5"/>
  <c r="J487" i="5" s="1"/>
  <c r="G487" i="5"/>
  <c r="G486" i="5"/>
  <c r="I486" i="5"/>
  <c r="J486" i="5" s="1"/>
  <c r="J484" i="5"/>
  <c r="I484" i="5"/>
  <c r="G484" i="5"/>
  <c r="I483" i="5"/>
  <c r="J483" i="5" s="1"/>
  <c r="I481" i="5"/>
  <c r="J481" i="5" s="1"/>
  <c r="G480" i="5"/>
  <c r="I480" i="5"/>
  <c r="J480" i="5" s="1"/>
  <c r="G479" i="5"/>
  <c r="I479" i="5"/>
  <c r="J479" i="5" s="1"/>
  <c r="I477" i="5"/>
  <c r="J477" i="5" s="1"/>
  <c r="G477" i="5"/>
  <c r="I476" i="5"/>
  <c r="J476" i="5" s="1"/>
  <c r="G476" i="5"/>
  <c r="I474" i="5"/>
  <c r="J474" i="5" s="1"/>
  <c r="I473" i="5"/>
  <c r="J473" i="5" s="1"/>
  <c r="I471" i="5"/>
  <c r="J471" i="5" s="1"/>
  <c r="I470" i="5"/>
  <c r="J470" i="5" s="1"/>
  <c r="G470" i="5"/>
  <c r="G469" i="5"/>
  <c r="I469" i="5"/>
  <c r="J469" i="5" s="1"/>
  <c r="I466" i="5"/>
  <c r="E466" i="5"/>
  <c r="G466" i="5" s="1"/>
  <c r="G465" i="5"/>
  <c r="I465" i="5"/>
  <c r="J465" i="5" s="1"/>
  <c r="I463" i="5"/>
  <c r="J463" i="5" s="1"/>
  <c r="G463" i="5"/>
  <c r="I462" i="5"/>
  <c r="J462" i="5" s="1"/>
  <c r="I461" i="5"/>
  <c r="J461" i="5" s="1"/>
  <c r="G461" i="5"/>
  <c r="I452" i="5"/>
  <c r="J452" i="5" s="1"/>
  <c r="I451" i="5"/>
  <c r="J451" i="5" s="1"/>
  <c r="G451" i="5"/>
  <c r="J450" i="5"/>
  <c r="I450" i="5"/>
  <c r="G450" i="5"/>
  <c r="I448" i="5"/>
  <c r="J448" i="5" s="1"/>
  <c r="E448" i="5"/>
  <c r="I447" i="5"/>
  <c r="J447" i="5" s="1"/>
  <c r="G446" i="5"/>
  <c r="I446" i="5"/>
  <c r="J446" i="5" s="1"/>
  <c r="J444" i="5"/>
  <c r="I444" i="5"/>
  <c r="E444" i="5"/>
  <c r="G444" i="5" s="1"/>
  <c r="I443" i="5"/>
  <c r="I441" i="5"/>
  <c r="E441" i="5"/>
  <c r="G441" i="5" s="1"/>
  <c r="I440" i="5"/>
  <c r="J440" i="5" s="1"/>
  <c r="G438" i="5"/>
  <c r="I438" i="5"/>
  <c r="J438" i="5" s="1"/>
  <c r="I436" i="5"/>
  <c r="J436" i="5" s="1"/>
  <c r="E436" i="5"/>
  <c r="I435" i="5"/>
  <c r="J435" i="5" s="1"/>
  <c r="E435" i="5"/>
  <c r="I434" i="5"/>
  <c r="E434" i="5"/>
  <c r="G434" i="5" s="1"/>
  <c r="I433" i="5"/>
  <c r="J433" i="5" s="1"/>
  <c r="I424" i="5"/>
  <c r="J424" i="5" s="1"/>
  <c r="J423" i="5"/>
  <c r="I423" i="5"/>
  <c r="G423" i="5"/>
  <c r="I421" i="5"/>
  <c r="J421" i="5" s="1"/>
  <c r="G421" i="5"/>
  <c r="J420" i="5"/>
  <c r="I420" i="5"/>
  <c r="I418" i="5"/>
  <c r="J418" i="5" s="1"/>
  <c r="I417" i="5"/>
  <c r="J417" i="5" s="1"/>
  <c r="G417" i="5"/>
  <c r="G416" i="5"/>
  <c r="I416" i="5"/>
  <c r="J416" i="5" s="1"/>
  <c r="I414" i="5"/>
  <c r="J414" i="5" s="1"/>
  <c r="I413" i="5"/>
  <c r="J413" i="5" s="1"/>
  <c r="I410" i="5"/>
  <c r="J410" i="5" s="1"/>
  <c r="G409" i="5"/>
  <c r="I409" i="5"/>
  <c r="J409" i="5" s="1"/>
  <c r="I407" i="5"/>
  <c r="J407" i="5" s="1"/>
  <c r="G407" i="5"/>
  <c r="G406" i="5"/>
  <c r="I406" i="5"/>
  <c r="J406" i="5" s="1"/>
  <c r="I405" i="5"/>
  <c r="J405" i="5" s="1"/>
  <c r="I403" i="5"/>
  <c r="J403" i="5" s="1"/>
  <c r="I402" i="5"/>
  <c r="J402" i="5" s="1"/>
  <c r="G400" i="5"/>
  <c r="I400" i="5"/>
  <c r="J400" i="5" s="1"/>
  <c r="I397" i="5"/>
  <c r="J397" i="5" s="1"/>
  <c r="G397" i="5"/>
  <c r="I396" i="5"/>
  <c r="J396" i="5" s="1"/>
  <c r="I394" i="5"/>
  <c r="J394" i="5" s="1"/>
  <c r="G394" i="5"/>
  <c r="I393" i="5"/>
  <c r="J393" i="5" s="1"/>
  <c r="G392" i="5"/>
  <c r="I392" i="5"/>
  <c r="J392" i="5" s="1"/>
  <c r="I382" i="5"/>
  <c r="J382" i="5" s="1"/>
  <c r="G382" i="5"/>
  <c r="I381" i="5"/>
  <c r="J381" i="5" s="1"/>
  <c r="G381" i="5"/>
  <c r="G379" i="5"/>
  <c r="I379" i="5"/>
  <c r="J379" i="5" s="1"/>
  <c r="I378" i="5"/>
  <c r="J378" i="5" s="1"/>
  <c r="I377" i="5"/>
  <c r="J377" i="5" s="1"/>
  <c r="G375" i="5"/>
  <c r="I375" i="5"/>
  <c r="J375" i="5" s="1"/>
  <c r="I373" i="5"/>
  <c r="J373" i="5" s="1"/>
  <c r="G373" i="5"/>
  <c r="I372" i="5"/>
  <c r="J372" i="5" s="1"/>
  <c r="G372" i="5"/>
  <c r="I371" i="5"/>
  <c r="E371" i="5"/>
  <c r="G362" i="5"/>
  <c r="J361" i="5"/>
  <c r="I361" i="5"/>
  <c r="G361" i="5"/>
  <c r="J360" i="5"/>
  <c r="I360" i="5"/>
  <c r="G360" i="5"/>
  <c r="I358" i="5"/>
  <c r="J358" i="5" s="1"/>
  <c r="E358" i="5"/>
  <c r="I357" i="5"/>
  <c r="J357" i="5" s="1"/>
  <c r="G357" i="5"/>
  <c r="I356" i="5"/>
  <c r="J356" i="5" s="1"/>
  <c r="G354" i="5"/>
  <c r="I354" i="5"/>
  <c r="J354" i="5" s="1"/>
  <c r="I353" i="5"/>
  <c r="J353" i="5" s="1"/>
  <c r="E353" i="5"/>
  <c r="I351" i="5"/>
  <c r="E351" i="5"/>
  <c r="G351" i="5" s="1"/>
  <c r="G350" i="5"/>
  <c r="I350" i="5"/>
  <c r="J350" i="5" s="1"/>
  <c r="G349" i="5"/>
  <c r="I349" i="5"/>
  <c r="J349" i="5" s="1"/>
  <c r="I348" i="5"/>
  <c r="J348" i="5" s="1"/>
  <c r="I346" i="5"/>
  <c r="E346" i="5"/>
  <c r="I345" i="5"/>
  <c r="E345" i="5"/>
  <c r="G345" i="5" s="1"/>
  <c r="I344" i="5"/>
  <c r="J344" i="5" s="1"/>
  <c r="E344" i="5"/>
  <c r="G344" i="5" s="1"/>
  <c r="I343" i="5"/>
  <c r="J343" i="5" s="1"/>
  <c r="I334" i="5"/>
  <c r="J334" i="5" s="1"/>
  <c r="G334" i="5"/>
  <c r="I332" i="5"/>
  <c r="E332" i="5"/>
  <c r="G332" i="5" s="1"/>
  <c r="I330" i="5"/>
  <c r="E330" i="5"/>
  <c r="I328" i="5"/>
  <c r="E328" i="5"/>
  <c r="I327" i="5"/>
  <c r="J327" i="5" s="1"/>
  <c r="E327" i="5"/>
  <c r="G325" i="5"/>
  <c r="I325" i="5"/>
  <c r="J325" i="5" s="1"/>
  <c r="I324" i="5"/>
  <c r="E324" i="5"/>
  <c r="G324" i="5" s="1"/>
  <c r="I323" i="5"/>
  <c r="J323" i="5" s="1"/>
  <c r="I314" i="5"/>
  <c r="J314" i="5" s="1"/>
  <c r="G314" i="5"/>
  <c r="I312" i="5"/>
  <c r="J312" i="5" s="1"/>
  <c r="G312" i="5"/>
  <c r="I311" i="5"/>
  <c r="J311" i="5" s="1"/>
  <c r="I309" i="5"/>
  <c r="J309" i="5" s="1"/>
  <c r="G308" i="5"/>
  <c r="I308" i="5"/>
  <c r="J308" i="5" s="1"/>
  <c r="G299" i="5"/>
  <c r="I299" i="5"/>
  <c r="J299" i="5" s="1"/>
  <c r="I298" i="5"/>
  <c r="J298" i="5" s="1"/>
  <c r="G298" i="5"/>
  <c r="I297" i="5"/>
  <c r="J297" i="5" s="1"/>
  <c r="G297" i="5"/>
  <c r="I295" i="5"/>
  <c r="E295" i="5"/>
  <c r="G295" i="5" s="1"/>
  <c r="I293" i="5"/>
  <c r="J293" i="5" s="1"/>
  <c r="I291" i="5"/>
  <c r="J291" i="5" s="1"/>
  <c r="E291" i="5"/>
  <c r="I290" i="5"/>
  <c r="J290" i="5" s="1"/>
  <c r="G290" i="5"/>
  <c r="I288" i="5"/>
  <c r="J288" i="5" s="1"/>
  <c r="G286" i="5"/>
  <c r="I286" i="5"/>
  <c r="J286" i="5" s="1"/>
  <c r="I285" i="5"/>
  <c r="J285" i="5" s="1"/>
  <c r="I283" i="5"/>
  <c r="E283" i="5"/>
  <c r="I282" i="5"/>
  <c r="J282" i="5" s="1"/>
  <c r="I280" i="5"/>
  <c r="J280" i="5" s="1"/>
  <c r="G280" i="5"/>
  <c r="I278" i="5"/>
  <c r="J278" i="5" s="1"/>
  <c r="E278" i="5"/>
  <c r="I277" i="5"/>
  <c r="E277" i="5"/>
  <c r="I276" i="5"/>
  <c r="J276" i="5" s="1"/>
  <c r="E276" i="5"/>
  <c r="I275" i="5"/>
  <c r="J275" i="5" s="1"/>
  <c r="I274" i="5"/>
  <c r="J274" i="5" s="1"/>
  <c r="G265" i="5"/>
  <c r="I265" i="5"/>
  <c r="J265" i="5" s="1"/>
  <c r="I264" i="5"/>
  <c r="J264" i="5" s="1"/>
  <c r="G264" i="5"/>
  <c r="I263" i="5"/>
  <c r="J263" i="5" s="1"/>
  <c r="G263" i="5"/>
  <c r="I261" i="5"/>
  <c r="J261" i="5" s="1"/>
  <c r="G261" i="5"/>
  <c r="I259" i="5"/>
  <c r="J259" i="5" s="1"/>
  <c r="I257" i="5"/>
  <c r="J257" i="5" s="1"/>
  <c r="G257" i="5"/>
  <c r="I255" i="5"/>
  <c r="J255" i="5" s="1"/>
  <c r="I254" i="5"/>
  <c r="J254" i="5" s="1"/>
  <c r="G254" i="5"/>
  <c r="G245" i="5"/>
  <c r="I244" i="5"/>
  <c r="J244" i="5" s="1"/>
  <c r="G244" i="5"/>
  <c r="I243" i="5"/>
  <c r="J243" i="5" s="1"/>
  <c r="G243" i="5"/>
  <c r="I241" i="5"/>
  <c r="J241" i="5" s="1"/>
  <c r="E241" i="5"/>
  <c r="G241" i="5" s="1"/>
  <c r="I240" i="5"/>
  <c r="J240" i="5" s="1"/>
  <c r="G239" i="5"/>
  <c r="I239" i="5"/>
  <c r="J239" i="5" s="1"/>
  <c r="I237" i="5"/>
  <c r="E237" i="5"/>
  <c r="E236" i="5" s="1"/>
  <c r="G236" i="5" s="1"/>
  <c r="I236" i="5"/>
  <c r="I234" i="5"/>
  <c r="E234" i="5"/>
  <c r="I233" i="5"/>
  <c r="J233" i="5" s="1"/>
  <c r="I232" i="5"/>
  <c r="J232" i="5" s="1"/>
  <c r="G232" i="5"/>
  <c r="I231" i="5"/>
  <c r="J231" i="5" s="1"/>
  <c r="I229" i="5"/>
  <c r="E229" i="5"/>
  <c r="I228" i="5"/>
  <c r="J228" i="5" s="1"/>
  <c r="E228" i="5"/>
  <c r="G228" i="5" s="1"/>
  <c r="I227" i="5"/>
  <c r="E227" i="5"/>
  <c r="G227" i="5" s="1"/>
  <c r="G226" i="5"/>
  <c r="I216" i="5"/>
  <c r="J216" i="5" s="1"/>
  <c r="I215" i="5"/>
  <c r="J215" i="5" s="1"/>
  <c r="G215" i="5"/>
  <c r="I214" i="5"/>
  <c r="J214" i="5" s="1"/>
  <c r="G214" i="5"/>
  <c r="I212" i="5"/>
  <c r="J212" i="5" s="1"/>
  <c r="G211" i="5"/>
  <c r="I210" i="5"/>
  <c r="J210" i="5" s="1"/>
  <c r="I208" i="5"/>
  <c r="J208" i="5" s="1"/>
  <c r="G208" i="5"/>
  <c r="I206" i="5"/>
  <c r="J206" i="5" s="1"/>
  <c r="I204" i="5"/>
  <c r="J204" i="5" s="1"/>
  <c r="I203" i="5"/>
  <c r="J203" i="5" s="1"/>
  <c r="G202" i="5"/>
  <c r="I200" i="5"/>
  <c r="J200" i="5" s="1"/>
  <c r="I199" i="5"/>
  <c r="J199" i="5" s="1"/>
  <c r="I198" i="5"/>
  <c r="J198" i="5" s="1"/>
  <c r="G197" i="5"/>
  <c r="I197" i="5"/>
  <c r="J197" i="5" s="1"/>
  <c r="I195" i="5"/>
  <c r="J195" i="5" s="1"/>
  <c r="G195" i="5"/>
  <c r="G193" i="5"/>
  <c r="I193" i="5"/>
  <c r="J193" i="5" s="1"/>
  <c r="I192" i="5"/>
  <c r="J192" i="5" s="1"/>
  <c r="G191" i="5"/>
  <c r="I191" i="5"/>
  <c r="J191" i="5" s="1"/>
  <c r="I190" i="5"/>
  <c r="J190" i="5" s="1"/>
  <c r="I188" i="5"/>
  <c r="J188" i="5" s="1"/>
  <c r="G187" i="5"/>
  <c r="I187" i="5"/>
  <c r="J187" i="5" s="1"/>
  <c r="I186" i="5"/>
  <c r="J186" i="5" s="1"/>
  <c r="I185" i="5"/>
  <c r="J185" i="5" s="1"/>
  <c r="G178" i="5"/>
  <c r="I178" i="5"/>
  <c r="J178" i="5" s="1"/>
  <c r="J177" i="5"/>
  <c r="I177" i="5"/>
  <c r="G177" i="5"/>
  <c r="I176" i="5"/>
  <c r="J176" i="5" s="1"/>
  <c r="G176" i="5"/>
  <c r="G174" i="5"/>
  <c r="I174" i="5"/>
  <c r="J174" i="5" s="1"/>
  <c r="I173" i="5"/>
  <c r="J173" i="5" s="1"/>
  <c r="I171" i="5"/>
  <c r="J171" i="5" s="1"/>
  <c r="E171" i="5"/>
  <c r="I169" i="5"/>
  <c r="J169" i="5" s="1"/>
  <c r="E169" i="5"/>
  <c r="I167" i="5"/>
  <c r="J167" i="5" s="1"/>
  <c r="I165" i="5"/>
  <c r="J165" i="5" s="1"/>
  <c r="G163" i="5"/>
  <c r="I163" i="5"/>
  <c r="J163" i="5" s="1"/>
  <c r="I161" i="5"/>
  <c r="J161" i="5" s="1"/>
  <c r="I160" i="5"/>
  <c r="J160" i="5" s="1"/>
  <c r="G160" i="5"/>
  <c r="I158" i="5"/>
  <c r="J158" i="5" s="1"/>
  <c r="I156" i="5"/>
  <c r="J156" i="5" s="1"/>
  <c r="I155" i="5"/>
  <c r="J155" i="5" s="1"/>
  <c r="I154" i="5"/>
  <c r="J154" i="5" s="1"/>
  <c r="G153" i="5"/>
  <c r="I153" i="5"/>
  <c r="J153" i="5" s="1"/>
  <c r="I152" i="5"/>
  <c r="J152" i="5" s="1"/>
  <c r="G152" i="5"/>
  <c r="G150" i="5"/>
  <c r="I150" i="5"/>
  <c r="J150" i="5" s="1"/>
  <c r="I149" i="5"/>
  <c r="J149" i="5" s="1"/>
  <c r="G149" i="5"/>
  <c r="G148" i="5"/>
  <c r="I147" i="5"/>
  <c r="J147" i="5" s="1"/>
  <c r="G146" i="5"/>
  <c r="I146" i="5"/>
  <c r="J146" i="5" s="1"/>
  <c r="I136" i="5"/>
  <c r="J136" i="5" s="1"/>
  <c r="I135" i="5"/>
  <c r="J135" i="5" s="1"/>
  <c r="G135" i="5"/>
  <c r="I134" i="5"/>
  <c r="J134" i="5" s="1"/>
  <c r="G134" i="5"/>
  <c r="I132" i="5"/>
  <c r="J132" i="5" s="1"/>
  <c r="E132" i="5"/>
  <c r="G132" i="5" s="1"/>
  <c r="G131" i="5"/>
  <c r="I131" i="5"/>
  <c r="J131" i="5" s="1"/>
  <c r="I130" i="5"/>
  <c r="J130" i="5" s="1"/>
  <c r="I128" i="5"/>
  <c r="E128" i="5"/>
  <c r="E127" i="5" s="1"/>
  <c r="G127" i="5" s="1"/>
  <c r="I127" i="5"/>
  <c r="J127" i="5" s="1"/>
  <c r="I125" i="5"/>
  <c r="J125" i="5" s="1"/>
  <c r="E125" i="5"/>
  <c r="G125" i="5" s="1"/>
  <c r="I124" i="5"/>
  <c r="J124" i="5" s="1"/>
  <c r="G124" i="5"/>
  <c r="I122" i="5"/>
  <c r="J122" i="5" s="1"/>
  <c r="G122" i="5"/>
  <c r="I120" i="5"/>
  <c r="E120" i="5"/>
  <c r="I119" i="5"/>
  <c r="E119" i="5"/>
  <c r="G119" i="5" s="1"/>
  <c r="I118" i="5"/>
  <c r="J118" i="5" s="1"/>
  <c r="E118" i="5"/>
  <c r="G117" i="5"/>
  <c r="I117" i="5"/>
  <c r="J117" i="5" s="1"/>
  <c r="I108" i="5"/>
  <c r="J108" i="5" s="1"/>
  <c r="I107" i="5"/>
  <c r="J107" i="5" s="1"/>
  <c r="G107" i="5"/>
  <c r="I106" i="5"/>
  <c r="J106" i="5" s="1"/>
  <c r="G106" i="5"/>
  <c r="I104" i="5"/>
  <c r="J104" i="5" s="1"/>
  <c r="G104" i="5"/>
  <c r="I103" i="5"/>
  <c r="J103" i="5" s="1"/>
  <c r="I94" i="5"/>
  <c r="J94" i="5" s="1"/>
  <c r="G94" i="5"/>
  <c r="J93" i="5"/>
  <c r="I93" i="5"/>
  <c r="G93" i="5"/>
  <c r="I91" i="5"/>
  <c r="J91" i="5" s="1"/>
  <c r="I89" i="5"/>
  <c r="J89" i="5" s="1"/>
  <c r="I88" i="5"/>
  <c r="J88" i="5" s="1"/>
  <c r="G88" i="5"/>
  <c r="G86" i="5"/>
  <c r="I86" i="5"/>
  <c r="J86" i="5" s="1"/>
  <c r="G77" i="5"/>
  <c r="I77" i="5"/>
  <c r="J77" i="5" s="1"/>
  <c r="I76" i="5"/>
  <c r="J76" i="5" s="1"/>
  <c r="G76" i="5"/>
  <c r="I75" i="5"/>
  <c r="J75" i="5" s="1"/>
  <c r="G75" i="5"/>
  <c r="G71" i="5"/>
  <c r="I69" i="5"/>
  <c r="J69" i="5" s="1"/>
  <c r="G68" i="5"/>
  <c r="I68" i="5"/>
  <c r="J68" i="5" s="1"/>
  <c r="I66" i="5"/>
  <c r="J66" i="5" s="1"/>
  <c r="I57" i="5"/>
  <c r="J57" i="5" s="1"/>
  <c r="G57" i="5"/>
  <c r="I56" i="5"/>
  <c r="J56" i="5" s="1"/>
  <c r="G56" i="5"/>
  <c r="I55" i="5"/>
  <c r="J55" i="5" s="1"/>
  <c r="G55" i="5"/>
  <c r="I53" i="5"/>
  <c r="J53" i="5" s="1"/>
  <c r="G53" i="5"/>
  <c r="I52" i="5"/>
  <c r="J52" i="5" s="1"/>
  <c r="G51" i="5"/>
  <c r="I49" i="5"/>
  <c r="J49" i="5" s="1"/>
  <c r="I48" i="5"/>
  <c r="E48" i="5"/>
  <c r="G48" i="5" s="1"/>
  <c r="I46" i="5"/>
  <c r="J46" i="5" s="1"/>
  <c r="I45" i="5"/>
  <c r="J45" i="5" s="1"/>
  <c r="I44" i="5"/>
  <c r="J44" i="5" s="1"/>
  <c r="I43" i="5"/>
  <c r="J43" i="5" s="1"/>
  <c r="I41" i="5"/>
  <c r="J41" i="5" s="1"/>
  <c r="E41" i="5"/>
  <c r="G41" i="5" s="1"/>
  <c r="I40" i="5"/>
  <c r="E40" i="5"/>
  <c r="I39" i="5"/>
  <c r="E39" i="5"/>
  <c r="G39" i="5" s="1"/>
  <c r="I38" i="5"/>
  <c r="J38" i="5" s="1"/>
  <c r="I29" i="5"/>
  <c r="J29" i="5" s="1"/>
  <c r="I28" i="5"/>
  <c r="J28" i="5" s="1"/>
  <c r="G28" i="5"/>
  <c r="I27" i="5"/>
  <c r="J27" i="5" s="1"/>
  <c r="G27" i="5"/>
  <c r="I25" i="5"/>
  <c r="J25" i="5" s="1"/>
  <c r="E25" i="5"/>
  <c r="G25" i="5" s="1"/>
  <c r="G23" i="5"/>
  <c r="I21" i="5"/>
  <c r="J21" i="5" s="1"/>
  <c r="G20" i="5"/>
  <c r="I20" i="5"/>
  <c r="J20" i="5" s="1"/>
  <c r="E20" i="5"/>
  <c r="E19" i="5" s="1"/>
  <c r="G19" i="5" s="1"/>
  <c r="I19" i="5"/>
  <c r="I18" i="5"/>
  <c r="J18" i="5" s="1"/>
  <c r="I17" i="5"/>
  <c r="J17" i="5" s="1"/>
  <c r="I16" i="5"/>
  <c r="J16" i="5" s="1"/>
  <c r="G16" i="5"/>
  <c r="I15" i="5"/>
  <c r="J15" i="5" s="1"/>
  <c r="I13" i="5"/>
  <c r="E13" i="5"/>
  <c r="G13" i="5" s="1"/>
  <c r="I12" i="5"/>
  <c r="J12" i="5" s="1"/>
  <c r="E12" i="5"/>
  <c r="I11" i="5"/>
  <c r="J11" i="5" s="1"/>
  <c r="I10" i="5"/>
  <c r="J10" i="5" s="1"/>
  <c r="E19" i="6" l="1"/>
  <c r="G20" i="6"/>
  <c r="J21" i="33"/>
  <c r="J11" i="33"/>
  <c r="J27" i="33"/>
  <c r="J18" i="33"/>
  <c r="J13" i="33"/>
  <c r="J12" i="33"/>
  <c r="J20" i="33"/>
  <c r="G33" i="33"/>
  <c r="J25" i="32"/>
  <c r="J18" i="32"/>
  <c r="G32" i="32"/>
  <c r="J21" i="32"/>
  <c r="J12" i="32"/>
  <c r="J11" i="32"/>
  <c r="J32" i="32" s="1"/>
  <c r="J28" i="31"/>
  <c r="J12" i="31"/>
  <c r="J23" i="31"/>
  <c r="J21" i="31"/>
  <c r="J11" i="31"/>
  <c r="J35" i="31" s="1"/>
  <c r="J24" i="31"/>
  <c r="G24" i="31"/>
  <c r="G35" i="31" s="1"/>
  <c r="J26" i="30"/>
  <c r="J21" i="30"/>
  <c r="J12" i="30"/>
  <c r="G21" i="30"/>
  <c r="E20" i="30"/>
  <c r="J19" i="6"/>
  <c r="J32" i="6" s="1"/>
  <c r="G19" i="6"/>
  <c r="G32" i="6" s="1"/>
  <c r="J11" i="28"/>
  <c r="G21" i="28"/>
  <c r="E20" i="28"/>
  <c r="G20" i="28" s="1"/>
  <c r="J25" i="28"/>
  <c r="J32" i="28" s="1"/>
  <c r="J21" i="28"/>
  <c r="J20" i="28"/>
  <c r="J13" i="28"/>
  <c r="G32" i="28"/>
  <c r="J26" i="27"/>
  <c r="J22" i="27"/>
  <c r="J42" i="27" s="1"/>
  <c r="J11" i="26"/>
  <c r="J30" i="26" s="1"/>
  <c r="J26" i="25"/>
  <c r="J25" i="25"/>
  <c r="J24" i="25"/>
  <c r="J22" i="25"/>
  <c r="J21" i="25"/>
  <c r="J18" i="25"/>
  <c r="J16" i="25"/>
  <c r="J15" i="25"/>
  <c r="J13" i="25"/>
  <c r="J11" i="25"/>
  <c r="R18" i="25"/>
  <c r="G18" i="25"/>
  <c r="T18" i="25"/>
  <c r="S18" i="25" s="1"/>
  <c r="G16" i="25"/>
  <c r="P16" i="25"/>
  <c r="E19" i="25" s="1"/>
  <c r="G98" i="24"/>
  <c r="J98" i="24"/>
  <c r="J25" i="23"/>
  <c r="J21" i="23"/>
  <c r="J20" i="23"/>
  <c r="J18" i="23"/>
  <c r="J13" i="23"/>
  <c r="J12" i="23"/>
  <c r="J11" i="23"/>
  <c r="G32" i="23"/>
  <c r="J32" i="23"/>
  <c r="G45" i="22"/>
  <c r="J45" i="22"/>
  <c r="J10" i="21"/>
  <c r="J25" i="21" s="1"/>
  <c r="J25" i="20"/>
  <c r="J20" i="20"/>
  <c r="J18" i="20"/>
  <c r="G32" i="20"/>
  <c r="J12" i="20"/>
  <c r="J32" i="20" s="1"/>
  <c r="J34" i="19"/>
  <c r="J32" i="19"/>
  <c r="J30" i="19"/>
  <c r="J29" i="19"/>
  <c r="J26" i="19"/>
  <c r="J39" i="19" s="1"/>
  <c r="J19" i="19"/>
  <c r="J31" i="17"/>
  <c r="J27" i="17"/>
  <c r="J19" i="17"/>
  <c r="J14" i="17"/>
  <c r="J13" i="17"/>
  <c r="J12" i="17"/>
  <c r="G38" i="17"/>
  <c r="J25" i="15"/>
  <c r="J21" i="15"/>
  <c r="J20" i="15"/>
  <c r="J18" i="15"/>
  <c r="J13" i="15"/>
  <c r="J12" i="15"/>
  <c r="J11" i="15"/>
  <c r="J83" i="14"/>
  <c r="G83" i="14"/>
  <c r="J36" i="14"/>
  <c r="J34" i="14"/>
  <c r="G45" i="14"/>
  <c r="J45" i="14"/>
  <c r="J85" i="14" s="1"/>
  <c r="G32" i="13"/>
  <c r="J25" i="13"/>
  <c r="J21" i="13"/>
  <c r="J20" i="13"/>
  <c r="J18" i="13"/>
  <c r="J13" i="13"/>
  <c r="J12" i="13"/>
  <c r="J11" i="13"/>
  <c r="J32" i="13" s="1"/>
  <c r="J21" i="10"/>
  <c r="J24" i="9"/>
  <c r="G24" i="9"/>
  <c r="J20" i="8"/>
  <c r="J13" i="8"/>
  <c r="J12" i="8"/>
  <c r="J11" i="8"/>
  <c r="J39" i="5"/>
  <c r="J48" i="5"/>
  <c r="J119" i="5"/>
  <c r="G327" i="5"/>
  <c r="J466" i="5"/>
  <c r="G567" i="5"/>
  <c r="G728" i="5"/>
  <c r="G767" i="5"/>
  <c r="G154" i="5"/>
  <c r="G190" i="5"/>
  <c r="I211" i="5"/>
  <c r="J211" i="5" s="1"/>
  <c r="G276" i="5"/>
  <c r="G346" i="5"/>
  <c r="G405" i="5"/>
  <c r="G481" i="5"/>
  <c r="G501" i="5"/>
  <c r="G512" i="5"/>
  <c r="G530" i="5"/>
  <c r="G621" i="5"/>
  <c r="G634" i="5"/>
  <c r="G697" i="5"/>
  <c r="G712" i="5"/>
  <c r="G785" i="5"/>
  <c r="G44" i="5"/>
  <c r="G49" i="5"/>
  <c r="J120" i="5"/>
  <c r="G171" i="5"/>
  <c r="I226" i="5"/>
  <c r="J226" i="5" s="1"/>
  <c r="G229" i="5"/>
  <c r="J234" i="5"/>
  <c r="G240" i="5"/>
  <c r="I245" i="5"/>
  <c r="J245" i="5" s="1"/>
  <c r="G418" i="5"/>
  <c r="G424" i="5"/>
  <c r="G436" i="5"/>
  <c r="I507" i="5"/>
  <c r="J507" i="5" s="1"/>
  <c r="G522" i="5"/>
  <c r="G538" i="5"/>
  <c r="G556" i="5"/>
  <c r="G660" i="5"/>
  <c r="G682" i="5"/>
  <c r="G708" i="5"/>
  <c r="G738" i="5"/>
  <c r="G799" i="5"/>
  <c r="J441" i="5"/>
  <c r="G18" i="5"/>
  <c r="G29" i="5"/>
  <c r="G89" i="5"/>
  <c r="G155" i="5"/>
  <c r="J328" i="5"/>
  <c r="G452" i="5"/>
  <c r="G474" i="5"/>
  <c r="G483" i="5"/>
  <c r="G497" i="5"/>
  <c r="G534" i="5"/>
  <c r="G583" i="5"/>
  <c r="I652" i="5"/>
  <c r="J652" i="5" s="1"/>
  <c r="G656" i="5"/>
  <c r="G679" i="5"/>
  <c r="G688" i="5"/>
  <c r="G705" i="5"/>
  <c r="G756" i="5"/>
  <c r="I790" i="5"/>
  <c r="J790" i="5" s="1"/>
  <c r="J277" i="5"/>
  <c r="J295" i="5"/>
  <c r="G309" i="5"/>
  <c r="G348" i="5"/>
  <c r="J351" i="5"/>
  <c r="I362" i="5"/>
  <c r="J362" i="5" s="1"/>
  <c r="J743" i="5"/>
  <c r="J764" i="5"/>
  <c r="I769" i="5"/>
  <c r="J769" i="5" s="1"/>
  <c r="J40" i="5"/>
  <c r="J19" i="5"/>
  <c r="I51" i="5"/>
  <c r="J51" i="5" s="1"/>
  <c r="J60" i="5" s="1"/>
  <c r="J236" i="5"/>
  <c r="E443" i="5"/>
  <c r="J443" i="5" s="1"/>
  <c r="J648" i="5"/>
  <c r="G10" i="5"/>
  <c r="G147" i="5"/>
  <c r="G206" i="5"/>
  <c r="I23" i="5"/>
  <c r="J23" i="5" s="1"/>
  <c r="I71" i="5"/>
  <c r="J71" i="5" s="1"/>
  <c r="G192" i="5"/>
  <c r="G278" i="5"/>
  <c r="J283" i="5"/>
  <c r="J330" i="5"/>
  <c r="G371" i="5"/>
  <c r="G414" i="5"/>
  <c r="I492" i="5"/>
  <c r="J492" i="5" s="1"/>
  <c r="G626" i="5"/>
  <c r="I653" i="5"/>
  <c r="J653" i="5" s="1"/>
  <c r="G795" i="5"/>
  <c r="G52" i="5"/>
  <c r="I148" i="5"/>
  <c r="J148" i="5" s="1"/>
  <c r="G158" i="5"/>
  <c r="J237" i="5"/>
  <c r="G358" i="5"/>
  <c r="J434" i="5"/>
  <c r="J584" i="5"/>
  <c r="I615" i="5"/>
  <c r="J615" i="5" s="1"/>
  <c r="J662" i="5"/>
  <c r="G680" i="5"/>
  <c r="G699" i="5"/>
  <c r="J757" i="5"/>
  <c r="G43" i="5"/>
  <c r="J128" i="5"/>
  <c r="G188" i="5"/>
  <c r="G200" i="5"/>
  <c r="G216" i="5"/>
  <c r="G275" i="5"/>
  <c r="G377" i="5"/>
  <c r="G403" i="5"/>
  <c r="G500" i="5"/>
  <c r="G510" i="5"/>
  <c r="G515" i="5"/>
  <c r="G620" i="5"/>
  <c r="G628" i="5"/>
  <c r="G654" i="5"/>
  <c r="J771" i="5"/>
  <c r="J778" i="5" s="1"/>
  <c r="J690" i="5"/>
  <c r="G12" i="5"/>
  <c r="J345" i="5"/>
  <c r="G435" i="5"/>
  <c r="I123" i="5"/>
  <c r="J123" i="5" s="1"/>
  <c r="G123" i="5"/>
  <c r="J324" i="5"/>
  <c r="J337" i="5" s="1"/>
  <c r="I399" i="5"/>
  <c r="J399" i="5" s="1"/>
  <c r="G399" i="5"/>
  <c r="G411" i="5"/>
  <c r="I411" i="5"/>
  <c r="J411" i="5" s="1"/>
  <c r="J641" i="5"/>
  <c r="G258" i="5"/>
  <c r="I258" i="5"/>
  <c r="J258" i="5" s="1"/>
  <c r="J268" i="5" s="1"/>
  <c r="G91" i="5"/>
  <c r="G173" i="5"/>
  <c r="I105" i="5"/>
  <c r="J105" i="5" s="1"/>
  <c r="J111" i="5" s="1"/>
  <c r="G105" i="5"/>
  <c r="J13" i="5"/>
  <c r="I24" i="5"/>
  <c r="J24" i="5" s="1"/>
  <c r="G24" i="5"/>
  <c r="G395" i="5"/>
  <c r="I395" i="5"/>
  <c r="J395" i="5" s="1"/>
  <c r="G283" i="5"/>
  <c r="G294" i="5"/>
  <c r="I294" i="5"/>
  <c r="J294" i="5" s="1"/>
  <c r="J332" i="5"/>
  <c r="I725" i="5"/>
  <c r="J725" i="5" s="1"/>
  <c r="G725" i="5"/>
  <c r="I533" i="5"/>
  <c r="J533" i="5" s="1"/>
  <c r="G533" i="5"/>
  <c r="I281" i="5"/>
  <c r="J281" i="5" s="1"/>
  <c r="G281" i="5"/>
  <c r="J570" i="5"/>
  <c r="G212" i="5"/>
  <c r="I73" i="5"/>
  <c r="J73" i="5" s="1"/>
  <c r="J80" i="5" s="1"/>
  <c r="G73" i="5"/>
  <c r="J97" i="5"/>
  <c r="G108" i="5"/>
  <c r="J229" i="5"/>
  <c r="G45" i="5"/>
  <c r="G128" i="5"/>
  <c r="I164" i="5"/>
  <c r="J164" i="5" s="1"/>
  <c r="G164" i="5"/>
  <c r="G11" i="5"/>
  <c r="J317" i="5"/>
  <c r="I439" i="5"/>
  <c r="J439" i="5" s="1"/>
  <c r="G439" i="5"/>
  <c r="I586" i="5"/>
  <c r="J586" i="5" s="1"/>
  <c r="G586" i="5"/>
  <c r="G471" i="5"/>
  <c r="G490" i="5"/>
  <c r="G503" i="5"/>
  <c r="G509" i="5"/>
  <c r="I527" i="5"/>
  <c r="J527" i="5" s="1"/>
  <c r="G527" i="5"/>
  <c r="G770" i="5"/>
  <c r="J346" i="5"/>
  <c r="J365" i="5" s="1"/>
  <c r="I661" i="5"/>
  <c r="J661" i="5" s="1"/>
  <c r="G661" i="5"/>
  <c r="G21" i="5"/>
  <c r="G38" i="5"/>
  <c r="G40" i="5"/>
  <c r="G69" i="5"/>
  <c r="G103" i="5"/>
  <c r="G118" i="5"/>
  <c r="G120" i="5"/>
  <c r="G156" i="5"/>
  <c r="G169" i="5"/>
  <c r="G186" i="5"/>
  <c r="G204" i="5"/>
  <c r="J227" i="5"/>
  <c r="G255" i="5"/>
  <c r="G291" i="5"/>
  <c r="G328" i="5"/>
  <c r="G433" i="5"/>
  <c r="I478" i="5"/>
  <c r="J478" i="5" s="1"/>
  <c r="G478" i="5"/>
  <c r="G542" i="5"/>
  <c r="I558" i="5"/>
  <c r="J558" i="5" s="1"/>
  <c r="G558" i="5"/>
  <c r="J563" i="5"/>
  <c r="J657" i="5"/>
  <c r="J699" i="5"/>
  <c r="J706" i="5"/>
  <c r="G758" i="5"/>
  <c r="J427" i="5"/>
  <c r="I537" i="5"/>
  <c r="J537" i="5" s="1"/>
  <c r="G537" i="5"/>
  <c r="G563" i="5"/>
  <c r="I591" i="5"/>
  <c r="J591" i="5" s="1"/>
  <c r="G591" i="5"/>
  <c r="I742" i="5"/>
  <c r="J742" i="5" s="1"/>
  <c r="G742" i="5"/>
  <c r="I468" i="5"/>
  <c r="J468" i="5" s="1"/>
  <c r="G468" i="5"/>
  <c r="G17" i="5"/>
  <c r="G66" i="5"/>
  <c r="G136" i="5"/>
  <c r="G161" i="5"/>
  <c r="G210" i="5"/>
  <c r="G233" i="5"/>
  <c r="G288" i="5"/>
  <c r="G396" i="5"/>
  <c r="G413" i="5"/>
  <c r="G440" i="5"/>
  <c r="G447" i="5"/>
  <c r="G462" i="5"/>
  <c r="G494" i="5"/>
  <c r="G540" i="5"/>
  <c r="R563" i="5"/>
  <c r="G587" i="5"/>
  <c r="G730" i="5"/>
  <c r="I488" i="5"/>
  <c r="J488" i="5" s="1"/>
  <c r="G488" i="5"/>
  <c r="J650" i="5"/>
  <c r="J738" i="5"/>
  <c r="G15" i="5"/>
  <c r="G46" i="5"/>
  <c r="G130" i="5"/>
  <c r="G165" i="5"/>
  <c r="G231" i="5"/>
  <c r="G259" i="5"/>
  <c r="G274" i="5"/>
  <c r="G285" i="5"/>
  <c r="G393" i="5"/>
  <c r="G491" i="5"/>
  <c r="G528" i="5"/>
  <c r="J567" i="5"/>
  <c r="G623" i="5"/>
  <c r="G701" i="5"/>
  <c r="J787" i="5"/>
  <c r="J801" i="5"/>
  <c r="G198" i="5"/>
  <c r="I202" i="5"/>
  <c r="J202" i="5" s="1"/>
  <c r="J218" i="5" s="1"/>
  <c r="G282" i="5"/>
  <c r="G473" i="5"/>
  <c r="G504" i="5"/>
  <c r="G555" i="5"/>
  <c r="J560" i="5"/>
  <c r="I596" i="5"/>
  <c r="J596" i="5" s="1"/>
  <c r="G596" i="5"/>
  <c r="G612" i="5"/>
  <c r="I655" i="5"/>
  <c r="J655" i="5" s="1"/>
  <c r="G655" i="5"/>
  <c r="G658" i="5"/>
  <c r="G763" i="5"/>
  <c r="I498" i="5"/>
  <c r="J498" i="5" s="1"/>
  <c r="G498" i="5"/>
  <c r="J707" i="5"/>
  <c r="G293" i="5"/>
  <c r="G311" i="5"/>
  <c r="G323" i="5"/>
  <c r="G330" i="5"/>
  <c r="G356" i="5"/>
  <c r="G378" i="5"/>
  <c r="I383" i="5"/>
  <c r="J383" i="5" s="1"/>
  <c r="G383" i="5"/>
  <c r="G402" i="5"/>
  <c r="G410" i="5"/>
  <c r="G448" i="5"/>
  <c r="G502" i="5"/>
  <c r="G514" i="5"/>
  <c r="G588" i="5"/>
  <c r="I508" i="5"/>
  <c r="J508" i="5" s="1"/>
  <c r="G508" i="5"/>
  <c r="G739" i="5"/>
  <c r="P561" i="5"/>
  <c r="G561" i="5"/>
  <c r="G167" i="5"/>
  <c r="G185" i="5"/>
  <c r="G199" i="5"/>
  <c r="G203" i="5"/>
  <c r="G234" i="5"/>
  <c r="G237" i="5"/>
  <c r="G277" i="5"/>
  <c r="G343" i="5"/>
  <c r="G420" i="5"/>
  <c r="G524" i="5"/>
  <c r="G569" i="5"/>
  <c r="G594" i="5"/>
  <c r="G597" i="5"/>
  <c r="G618" i="5"/>
  <c r="G764" i="5"/>
  <c r="I804" i="5"/>
  <c r="J804" i="5" s="1"/>
  <c r="G804" i="5"/>
  <c r="G353" i="5"/>
  <c r="J371" i="5"/>
  <c r="I518" i="5"/>
  <c r="J518" i="5" s="1"/>
  <c r="G518" i="5"/>
  <c r="G633" i="5"/>
  <c r="G684" i="5"/>
  <c r="G690" i="5" s="1"/>
  <c r="G757" i="5"/>
  <c r="G789" i="5"/>
  <c r="G784" i="5"/>
  <c r="J9" i="34" l="1"/>
  <c r="J33" i="33"/>
  <c r="J20" i="30"/>
  <c r="J33" i="30" s="1"/>
  <c r="G20" i="30"/>
  <c r="G33" i="30" s="1"/>
  <c r="J19" i="25"/>
  <c r="J32" i="25" s="1"/>
  <c r="G19" i="25"/>
  <c r="G32" i="25" s="1"/>
  <c r="J38" i="17"/>
  <c r="J32" i="15"/>
  <c r="G85" i="14"/>
  <c r="J32" i="8"/>
  <c r="G80" i="5"/>
  <c r="J139" i="5"/>
  <c r="G386" i="5"/>
  <c r="G427" i="5"/>
  <c r="G97" i="5"/>
  <c r="J455" i="5"/>
  <c r="G641" i="5"/>
  <c r="J180" i="5"/>
  <c r="J220" i="5" s="1"/>
  <c r="J32" i="5"/>
  <c r="J248" i="5"/>
  <c r="G248" i="5"/>
  <c r="J302" i="5"/>
  <c r="J669" i="5"/>
  <c r="J807" i="5"/>
  <c r="G443" i="5"/>
  <c r="G455" i="5" s="1"/>
  <c r="G719" i="5"/>
  <c r="J549" i="5"/>
  <c r="G139" i="5"/>
  <c r="G180" i="5"/>
  <c r="G549" i="5"/>
  <c r="G778" i="5"/>
  <c r="G669" i="5"/>
  <c r="G603" i="5"/>
  <c r="G317" i="5"/>
  <c r="J719" i="5"/>
  <c r="G365" i="5"/>
  <c r="J603" i="5"/>
  <c r="G750" i="5"/>
  <c r="J386" i="5"/>
  <c r="G218" i="5"/>
  <c r="G111" i="5"/>
  <c r="G302" i="5"/>
  <c r="G60" i="5"/>
  <c r="E564" i="5"/>
  <c r="G32" i="5"/>
  <c r="J750" i="5"/>
  <c r="G337" i="5"/>
  <c r="G807" i="5"/>
  <c r="G268" i="5"/>
  <c r="G220" i="5" l="1"/>
  <c r="G564" i="5"/>
  <c r="G577" i="5" s="1"/>
  <c r="J564" i="5"/>
  <c r="J577" i="5" s="1"/>
  <c r="J810" i="5" s="1"/>
  <c r="J812" i="5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<sst xmlns="http://schemas.openxmlformats.org/spreadsheetml/2006/main" count="3053" uniqueCount="374">
  <si>
    <t>ALCALDIA MUNICIPAL DE PITALITO</t>
  </si>
  <si>
    <t>SECRETARIA DE EDUCACION MUNICIPAL</t>
  </si>
  <si>
    <t>EQUIPO DE INFRAESTRUCTURA EDUCATIVA</t>
  </si>
  <si>
    <t xml:space="preserve">PRESUPUESTO OFICIAL ESTIMADO </t>
  </si>
  <si>
    <t>Adicionalmente, cuando el Proceso de Contratación es estructurado por Precios Unitarios, la Entidad debe aplicar las notas 1, 2 y 3 del presente Formulario y las casiilas de "Descripción", "Porcentaje" de la Administración, Imprevisto, Utilidad y total A.I.U. resaltadas en color amarillo. Tratándose de otras modalidades de precio, la Entidad puede o no configurar los mismos aspectos.</t>
  </si>
  <si>
    <t>CAMBIO DE CUBIERTA DE AULAS ESCOLAES DE LA I.E.M. JOSE EUSTASIO RIVERA - SEDE EL MESÓN</t>
  </si>
  <si>
    <t>ITEM No</t>
  </si>
  <si>
    <t>DESCRIPCION</t>
  </si>
  <si>
    <t>UND</t>
  </si>
  <si>
    <t>CANT</t>
  </si>
  <si>
    <t>VALOR UNITARIO</t>
  </si>
  <si>
    <t>COSTOS DIRECTOS</t>
  </si>
  <si>
    <t>AIU (%)</t>
  </si>
  <si>
    <t>VALOR UNITARIO CON AIU</t>
  </si>
  <si>
    <t>VALOR TOTAL</t>
  </si>
  <si>
    <t>PRELIMINARES</t>
  </si>
  <si>
    <t xml:space="preserve">CUBIERTA </t>
  </si>
  <si>
    <t xml:space="preserve">ASEO Y TRANSPORTE </t>
  </si>
  <si>
    <t xml:space="preserve">ASEO GENERAL </t>
  </si>
  <si>
    <t>UN</t>
  </si>
  <si>
    <t xml:space="preserve">TRANSPORTE RURAL </t>
  </si>
  <si>
    <t xml:space="preserve"> TOTAL (A)</t>
  </si>
  <si>
    <t>CAMBIO DE CUBIERTA DE  AULA ESCOLAR DE LA INSTITUCIÓN EDUCATIVA MUNICIPAL JOSE EUSTASIO RIVERA - SEDE SANTA FE</t>
  </si>
  <si>
    <t>MAMPOSTERIA Y RESANE</t>
  </si>
  <si>
    <t xml:space="preserve"> TOTAL (C)</t>
  </si>
  <si>
    <t>ADECUACIÓN DE CUBIERTA Y PINTURA DE BATERÍA SANITARIA EN LA INSTITUCIÓN EDUCATIVA MUNICIPAL CRIOLLO - SEDE CONTADOR</t>
  </si>
  <si>
    <t>INSTALACIONES</t>
  </si>
  <si>
    <t>PISOS</t>
  </si>
  <si>
    <t>RESANE</t>
  </si>
  <si>
    <t xml:space="preserve"> TOTAL (E)</t>
  </si>
  <si>
    <t>MANTENIMIENTO DE FACHADA MEDIANTE PINTURA E IMPERMEABILIZACIÓN DE LA INSTITUCIÓN EDUCATIVA MUNICIPAL CRIOLLO - SEDE VERSALLES</t>
  </si>
  <si>
    <t xml:space="preserve"> TOTAL (F)</t>
  </si>
  <si>
    <t>DEMOLICIÓN DE SALA DE PROFESORES DE LA INSTITUCIÓN EDUCATIVA MUNICIPAL CRIOLLO - SEDE PRINCIPAL</t>
  </si>
  <si>
    <t xml:space="preserve">PRELIMINARES Y DEMOLICION </t>
  </si>
  <si>
    <t xml:space="preserve"> TOTAL (G)</t>
  </si>
  <si>
    <t>CAMBIO DE CUBIERTA DE DOS AULAS ESCOLARES DE LA INSITUCIÓN EDUCATIVA MUNICIPAL LICEO SUR ANDINO - SEDE ALTO BELLAVISTA</t>
  </si>
  <si>
    <t xml:space="preserve"> TOTAL (H)</t>
  </si>
  <si>
    <t xml:space="preserve">ADECUACIÓN DE BATERIAS SANITARIAS DE LA INSTITUCIÓN EDUCATIVA MUNICIPAL MONTESSORI - SEDE EL JARDIN </t>
  </si>
  <si>
    <t>BATERIA SANITARIA No 1</t>
  </si>
  <si>
    <t>M</t>
  </si>
  <si>
    <t>M2</t>
  </si>
  <si>
    <t>INSTALACIONES HIDROSANITARIAS</t>
  </si>
  <si>
    <t>APARATOS SANITARIOS</t>
  </si>
  <si>
    <t>INSTALACIONES ELECTRICAS</t>
  </si>
  <si>
    <t>PISOS Y ENCHAPES</t>
  </si>
  <si>
    <t>CARPINTERÍA METÁLICA</t>
  </si>
  <si>
    <t>CUBIERTA</t>
  </si>
  <si>
    <t>PAÑETE Y RESANE</t>
  </si>
  <si>
    <t xml:space="preserve">PINTURA GENERAL </t>
  </si>
  <si>
    <t>TOTAL COSTOS DIRECTOS BATERIA No. 1</t>
  </si>
  <si>
    <t>BATERIA SANITARIA No 2</t>
  </si>
  <si>
    <t>SUMINISTRO E INSTALACIÓN DE INTERRUPTOR TRIPLE</t>
  </si>
  <si>
    <t>TOTAL COSTOS DIRECTOS BATERIA No. 2</t>
  </si>
  <si>
    <t>CAMBIO DE CUBIERTA DE LA INSTITUCIÓN EDUCATIVA MUNICIPAL MONTESSORI - SEDE CAMBEROS</t>
  </si>
  <si>
    <t xml:space="preserve"> TOTAL (J)</t>
  </si>
  <si>
    <t>ADECUACIÓN Y MEJORAMIENTO DE DOS AULAS ESCOLARES DE LA INSTITUCIÓN EDUCATIVA MUNICIPAL WINNIPEG - SEDE PRINCIPAL</t>
  </si>
  <si>
    <t>MUROS</t>
  </si>
  <si>
    <t xml:space="preserve"> TOTAL (L)</t>
  </si>
  <si>
    <t>CAMBIO DE CUBIERTA DE DOS AULAS ESCOLARES EN LA INSTITUCIÓN EDUCATIVA MUNICIPAL NACIONAL - SEDE SAN ANTONIO</t>
  </si>
  <si>
    <t> </t>
  </si>
  <si>
    <t>CARPINTERIA METALICA</t>
  </si>
  <si>
    <t>ESTRUCTURAS</t>
  </si>
  <si>
    <t xml:space="preserve"> TOTAL (M)</t>
  </si>
  <si>
    <t>MEJORAMIENTO DE ALCANTARILLADO DE AGUAS LLUVIAS DE LA INSTITUCIÓN EDUCATIVA MUNICIPAL MONTESSORI - SEDE MARIA MONTESSORI</t>
  </si>
  <si>
    <t>MOVIMIENTO DE TIERRAS</t>
  </si>
  <si>
    <t>M3</t>
  </si>
  <si>
    <t xml:space="preserve"> TOTAL (N)</t>
  </si>
  <si>
    <t>ADECUACIÓN Y MEJORAMIENTO DE CERRAMIENTO PERIMETRAL DE LA INSTITUCIÓN EDUCATIVA MUNICIPAL MONTESSORI - SEDE MARIA MONTESSORI</t>
  </si>
  <si>
    <t>MAMPOSTERIA</t>
  </si>
  <si>
    <t>CONCRETOS</t>
  </si>
  <si>
    <t>ASEO</t>
  </si>
  <si>
    <t xml:space="preserve"> TOTAL (Ñ)</t>
  </si>
  <si>
    <t>CAMBIO DE CUBIERTA DE LA INSTITUCIÓN EDUCATIVA MUNICIPAL JOSE EUSTASIO RIVERA - SEDE PUERTO LLERAS</t>
  </si>
  <si>
    <t xml:space="preserve"> TOTAL (O)</t>
  </si>
  <si>
    <t>CONSTRUCCIÓN DE PORTON DE ACCESO A LA INSTITUCIÓN EDUCATIVA MUNICIPAL VILLA FATIMA - SEDE EL ENCANTO</t>
  </si>
  <si>
    <t>ESTRUCTURA</t>
  </si>
  <si>
    <t>ACEROS</t>
  </si>
  <si>
    <t>PAÑETE, ESTUCO Y PINTURA</t>
  </si>
  <si>
    <t xml:space="preserve"> TOTAL (P)</t>
  </si>
  <si>
    <t>ADECUACIÓN DE AULA ESCOLAR EN LA INSTITUCIÓN EDUCATIVA MUNICIPAL NACIONAL - SEDE NELSON CARVAJAL</t>
  </si>
  <si>
    <t xml:space="preserve">M2 </t>
  </si>
  <si>
    <t xml:space="preserve">CIMENTACIÓN </t>
  </si>
  <si>
    <t>ESTRUCTURA  Y ACEROS</t>
  </si>
  <si>
    <t>KG</t>
  </si>
  <si>
    <t>MAMPOSTERIA Y PAÑETE</t>
  </si>
  <si>
    <t>PINTURA GENERAL</t>
  </si>
  <si>
    <t>CARPINTERÍA METALICA</t>
  </si>
  <si>
    <t xml:space="preserve"> TOTAL (R)</t>
  </si>
  <si>
    <t>CAMBIO DE CUBIERTA DE AULAS ESCOLARES EN LA INSTITUCIÓN EDUCATIVA MUNICIPAL LICEO SUR ANDINO - SEDE BELLA VISTA</t>
  </si>
  <si>
    <t xml:space="preserve"> TOTAL (S)</t>
  </si>
  <si>
    <t>CONSTRUCCIÓN DE RESTAURANTE ESCOLAR TIPO 1 EN LA INSTITUCIÓN EDUCATIVA MUNICIPAL MONTESSORI - SEDE BAJO SOLARTE</t>
  </si>
  <si>
    <t>MOVIMIENTO DE TIERRA</t>
  </si>
  <si>
    <t>CIMENTACIÓN</t>
  </si>
  <si>
    <t>PAÑETES</t>
  </si>
  <si>
    <t>CUBIERTA Y ESTRUCTURA DE CUBIERTA</t>
  </si>
  <si>
    <t>CARPINTERÍA METALICA Y MADERA</t>
  </si>
  <si>
    <t>EXTERIORES</t>
  </si>
  <si>
    <t>INSTALACIONES HIDRAULICAS</t>
  </si>
  <si>
    <t>APARATOS SANITARIOS Y OTROS</t>
  </si>
  <si>
    <t>ASEO Y TRANSPORTE</t>
  </si>
  <si>
    <t>ASEO GENERAL</t>
  </si>
  <si>
    <t>TRANSPORTE RURAL</t>
  </si>
  <si>
    <t>CONSTRUCCIÓN DE CERRAMIENTO PERIMETRAL EN LA INSTIUCIÓN EDUCATIVA MUNICIPAL PALMARITO - SEDE VISTA HERMOSA</t>
  </si>
  <si>
    <t>MODULOS</t>
  </si>
  <si>
    <t>39 modulos</t>
  </si>
  <si>
    <t>6 modulos</t>
  </si>
  <si>
    <t>8 COLUMNAS DE 0,7 M</t>
  </si>
  <si>
    <t>ACERO 4 No 4 Y FLEJES CADA 0,15 M</t>
  </si>
  <si>
    <t>MAMPOSTERÍA</t>
  </si>
  <si>
    <t xml:space="preserve"> TOTAL (V)</t>
  </si>
  <si>
    <t>ADECUACIÓN Y MEJORAMIENTO DE AULAS ESCOLARES EN LA INSTITUCIÓN EDUCATIVA MUNICIPAL HUMBERTO MUÑOZ ORDOÑEZ - SEDE VICTOR MANUEL CORTÉS</t>
  </si>
  <si>
    <t>VR. UNIT</t>
  </si>
  <si>
    <t>VR. PARCIAL</t>
  </si>
  <si>
    <t>DEMOLICIÓN</t>
  </si>
  <si>
    <t xml:space="preserve"> TOTAL (X)</t>
  </si>
  <si>
    <t>CONSTRUCCIÓN DE POZO SÉPTICO EN LA INSTITUCIÓN EDUCATIVA MUNICIPAL JOSE EUSTASIO RIVERA - SEDE CABECERAS</t>
  </si>
  <si>
    <t>CIMENTACIÓN Y ESTRUCTURA</t>
  </si>
  <si>
    <t>INSTALACIONES SANITARIAS Y FILTRO</t>
  </si>
  <si>
    <t>VIAJE</t>
  </si>
  <si>
    <t xml:space="preserve"> TOTAL (Y)</t>
  </si>
  <si>
    <t>CAMBIO DE CUBIERTA I.E.M. CRIOLLO SEDE EL RECUERDO</t>
  </si>
  <si>
    <t xml:space="preserve"> TOTAL (Z)</t>
  </si>
  <si>
    <t>ADECUACIÓN Y MEJORAMIENTO DE PISO DE LA I.E.M. LA LAGUNA - SEDE PRINCIPAL</t>
  </si>
  <si>
    <t>SUBTOTAL</t>
  </si>
  <si>
    <t>VALOR EMERGENCIAS (NO OFERTABLE)</t>
  </si>
  <si>
    <t>DESCRIPCIÓN</t>
  </si>
  <si>
    <t>PORCENTAJE</t>
  </si>
  <si>
    <t>ADMINISTRACIÓN</t>
  </si>
  <si>
    <t>A=</t>
  </si>
  <si>
    <t>IMPREVISTO</t>
  </si>
  <si>
    <t>I=</t>
  </si>
  <si>
    <t>UTILIDAD</t>
  </si>
  <si>
    <t>U=</t>
  </si>
  <si>
    <t>TOTAL A.I.U</t>
  </si>
  <si>
    <t>A.I.U. =</t>
  </si>
  <si>
    <t>REPUBLICA DE COLOMBIA</t>
  </si>
  <si>
    <t>MUNICIPIO DE PITALITO HUILA</t>
  </si>
  <si>
    <t>SECRETARIA DE EDUCACION</t>
  </si>
  <si>
    <t>DESGLOSE A.I.U</t>
  </si>
  <si>
    <t>TIEMPO (meses)</t>
  </si>
  <si>
    <t>ITEM</t>
  </si>
  <si>
    <t>ADMINISTRACION (27%)</t>
  </si>
  <si>
    <t>COSTOS DIRECTOS DE PERSONAL</t>
  </si>
  <si>
    <t>CARGO / OFICIO</t>
  </si>
  <si>
    <t>DEDICACION</t>
  </si>
  <si>
    <t>JORNAL MENSUAL</t>
  </si>
  <si>
    <t>FACTOR MULTIPLICADOR</t>
  </si>
  <si>
    <t>V PARCIAL ($)</t>
  </si>
  <si>
    <t>PERSONAL PROFESIONAL</t>
  </si>
  <si>
    <t xml:space="preserve">DIRECTOR DE OBRA ( INGENIERO O ARQUITECTO ) </t>
  </si>
  <si>
    <t xml:space="preserve">RESIDENTE DE OBRA ( INGENIERO O ARQUITECTO ) </t>
  </si>
  <si>
    <t>RESIDENTE DE OBRA (TÉCNICO EN OBRAS CIVILES)</t>
  </si>
  <si>
    <t>SUBTOTAL COSTOS DE PERSONAL = (A)</t>
  </si>
  <si>
    <t>OTROS COSTOS DIRECTOS</t>
  </si>
  <si>
    <t>CONCEPTO</t>
  </si>
  <si>
    <t xml:space="preserve">CANTIDAD (MESES) </t>
  </si>
  <si>
    <t>VALOR PARCIAL</t>
  </si>
  <si>
    <t>papeleria ( Edición de informes, papelería, reproducciòn de documentos, planos, fotografías)</t>
  </si>
  <si>
    <t>SUBTOTAL OTROS COSTOS DIRECTOS = (B)</t>
  </si>
  <si>
    <t>GASTOS LEGALES, ADMINISTRACION O INDIRECTOS</t>
  </si>
  <si>
    <t>CANTIDAD</t>
  </si>
  <si>
    <t>POLIZAS (Cumplimiento, Manejo de Anticipo, Salarios y Prestaciones Sociales, Estabilidad de Obra, Responsabilidad Civil ExtraContractua)</t>
  </si>
  <si>
    <t>RETENCIÓN DE OBRA PÚBLICA</t>
  </si>
  <si>
    <t xml:space="preserve">ESTAMPILLAS </t>
  </si>
  <si>
    <t xml:space="preserve">Pro ancianato </t>
  </si>
  <si>
    <t xml:space="preserve">Pro deporte </t>
  </si>
  <si>
    <t xml:space="preserve">Pro cultura </t>
  </si>
  <si>
    <t>Pro electrificacion Rural</t>
  </si>
  <si>
    <t xml:space="preserve">Pro universidad </t>
  </si>
  <si>
    <t>Justicia Familiar</t>
  </si>
  <si>
    <t>SUBTOTAL OTROS COSTOS DIRECTOS = (C)</t>
  </si>
  <si>
    <t>TOTAL COSTOS BASICOS DE ADMINISTRCION= (A) + (B) + (C) = (D)</t>
  </si>
  <si>
    <t>IMPREVISTOS (1%)</t>
  </si>
  <si>
    <t>IMPREVISTOS</t>
  </si>
  <si>
    <t>UTILIDAD (5%)</t>
  </si>
  <si>
    <t>TOTAL</t>
  </si>
  <si>
    <t>AJUSTE AL PESO</t>
  </si>
  <si>
    <t>ING. EIVAR ALEJANDRO ARTUNDUAGA TRIVIÑO</t>
  </si>
  <si>
    <t>ARQ. JUAN ESTEBAN ORDOÑEZ LOSADA</t>
  </si>
  <si>
    <t>Apoyo Profesional SEM</t>
  </si>
  <si>
    <t>ING. ROMARIO GALLARDO ROMERO</t>
  </si>
  <si>
    <t>Apoyo Técnico SEM</t>
  </si>
  <si>
    <t>CRONOGRAMA GENERAL DE OBRA</t>
  </si>
  <si>
    <t>OBRA</t>
  </si>
  <si>
    <t>MESES</t>
  </si>
  <si>
    <t>INTERVENTORÍA</t>
  </si>
  <si>
    <t>CONSTRUCCIÓN, ADECUACIÓN Y MEJORAMIENTO DE LA INFRAESTRUCTURA FISICA DE LAS INSTITUCIONES EDUCATIVAS DEL MUNICIPIO DE PITALITO</t>
  </si>
  <si>
    <t>I.E.M. JOSE EUSTASIO RIVERA - SEDE EL MESÓN: 
Adecuación y mejoramiento de cubierta de aulas escolares.</t>
  </si>
  <si>
    <t>I.E.M JOSE EUSTASIO RIVERA – SEDE SANTA FE.
Adecuación y mejoramiento de cubierta de aulas escolares.</t>
  </si>
  <si>
    <t>I.E.M JOSE EUSTASIO RIVERA – SEDE PUERTO LLERAS.
Adecuación y mejoramiento de cubierta de aulas escolares.</t>
  </si>
  <si>
    <t>I.E.M JOSE EUSTASIO RIVERA – SEDE CABECERAS.
Construcción de pozo séptico.</t>
  </si>
  <si>
    <t>I.E.M JOSE EUSTASIO RIVERA – SEDE LA ESPERANZA.
Adecuación y mejoramiento de cubierta de aulas escolares.</t>
  </si>
  <si>
    <t xml:space="preserve">I.E.M VILLAFATIMA – SEDE EL ENCANTO.
Construcción de portón para cerramiento. </t>
  </si>
  <si>
    <t>I.E.M CRIOLLO – SEDE CONTADOR
Adecuación y mejoramiento de cubierta de aula escolar y de batería sanitaria.</t>
  </si>
  <si>
    <t>I.E.M CRIOLLO – SEDE VERSALLES.
Mantenimiento de fachada mediante impermeabilización y pintura de la sede.</t>
  </si>
  <si>
    <t>I.E.M CRIOLLO – SEDE PRINCIPAL.
Demolición de sala de profesores existente.</t>
  </si>
  <si>
    <t>I.E.M CRIOLLO – SEDE EL RECUERDO.
Adecuación y mejoramiento de cubierta de aulas escolares.</t>
  </si>
  <si>
    <t>I.E.M PALMARITO – SEDE VISTA HERMOSA.
Construcción de cerramiento perimetral.</t>
  </si>
  <si>
    <t>I.E.M LICEO SUR ANDINO – SEDE ALTO BELLAVISTA.
Adecuación y mejoramiento de cubierta de aulas escolares.</t>
  </si>
  <si>
    <t>I.E.M LICEO SUR ANDINO – SEDE BELLAVISTA.
Adecuación y mejoramiento de cubierta de aulas escolares.</t>
  </si>
  <si>
    <t>I.E.M MONTESSORI – SEDE EL JARDIN.
Adecuación y mejoramiento de baterías sanitarias.</t>
  </si>
  <si>
    <t>I.E.M MONTESSORI – SEDE CAMBEROS.
Adecuación y mejoramiento de cubierta de aulas escolares.</t>
  </si>
  <si>
    <t>I.E.M MONTESSORI – SEDE MARIA MONTESSORI.
Adecuación y mejoramiento de alcantarillado de aguas lluvias y cerramiento perimetral.</t>
  </si>
  <si>
    <t>I.E.M MONTESSORI – SEDE BAJO SOLARTE.
Construcción de restaurante escolar.</t>
  </si>
  <si>
    <t>I.E.M WINNIPEG – SEDE PRINCIPAL.
Adecuación y mejoramiento de aula escolar.</t>
  </si>
  <si>
    <t xml:space="preserve">I.E.M NACIONAL – SEDE SAN ANTONIO.
Adecuación y mejoramiento de cubierta de aulas escolares. </t>
  </si>
  <si>
    <t>I.E.M NACIONAL – SEDE NELSON CARVAJAL.
Adecuación y mejoramiento de aula escolar.</t>
  </si>
  <si>
    <t>I.E.M HUMBERTO MUÑOZ ORDOÑEZ – SEDE VICTOR MANUEL CORTES. 
Adecuación y mejoramiento de cubierta y piso de aulas escolares.</t>
  </si>
  <si>
    <t>I.E.M LA LAGUNA – SEDE PRINCIPAL. 
Adecuación y mejoramiento de piso de aulas escolares.</t>
  </si>
  <si>
    <t>I.E.M. JOSE EUSTASIO RIVERA - SEDE CENTRAL: 
Adecuación y mejoramiento de cubierta de aulas escolares.</t>
  </si>
  <si>
    <t>I.E.M. JOSE EUSTASIO RIVERA - SEDE PENSIL: 
Adecuación y mejoramiento de cubierta de aulas escolares.</t>
  </si>
  <si>
    <t>I.E.M WINNIPEG – SEDE LIBERTADOR.
Adecuación y mejoramiento de aula escolar.</t>
  </si>
  <si>
    <t xml:space="preserve"> TOTAL (B)</t>
  </si>
  <si>
    <t xml:space="preserve"> TOTAL (D)</t>
  </si>
  <si>
    <t xml:space="preserve"> TOTAL (K)</t>
  </si>
  <si>
    <t xml:space="preserve"> TOTAL (Q)</t>
  </si>
  <si>
    <t>ACERO DE VIGA CINTA</t>
  </si>
  <si>
    <t>2 No° 3</t>
  </si>
  <si>
    <t>1 N° 2 @ 0.1 m</t>
  </si>
  <si>
    <t xml:space="preserve"> TOTAL (U)</t>
  </si>
  <si>
    <t xml:space="preserve">PRELIMINARES </t>
  </si>
  <si>
    <t xml:space="preserve"> TOTAL (W)</t>
  </si>
  <si>
    <t>CAMBIO DE CUBIERTA DE LA I.E.M. JOSE EUSTASIO RIVERA - SEDE LA ESPERANZA</t>
  </si>
  <si>
    <t>CAMBIO DE CUBIERTA DE LA I.E.M. JOSE EUSTASIO RIVERA - SEDE CENTRAL</t>
  </si>
  <si>
    <t>CAMBIO DE CUBIERTA DE LA I.E.M. JOSE EUSTASIO RIVERA - SEDE PENSIL</t>
  </si>
  <si>
    <t>ADECUACIÓN DE AULA Y CAMBIO DE CUBIERTA DE LA I.E.M. WINNIPEG - SEDE LIBERTADOR</t>
  </si>
  <si>
    <t xml:space="preserve"> TOTAL (Z1)</t>
  </si>
  <si>
    <r>
      <rPr>
        <b/>
        <sz val="12"/>
        <color rgb="FF000000"/>
        <rFont val="Calibri"/>
        <family val="2"/>
        <scheme val="minor"/>
      </rPr>
      <t xml:space="preserve">Nota 1: </t>
    </r>
    <r>
      <rPr>
        <sz val="12"/>
        <color rgb="FF000000"/>
        <rFont val="Calibri"/>
        <family val="2"/>
        <scheme val="minor"/>
      </rPr>
      <t>Se debe tener en cuenta que el PRECIO UNITARIO incluye el valor de A.I.U.</t>
    </r>
  </si>
  <si>
    <r>
      <t xml:space="preserve">Nota 2: </t>
    </r>
    <r>
      <rPr>
        <sz val="12"/>
        <color rgb="FF000000"/>
        <rFont val="Calibri"/>
        <family val="2"/>
        <scheme val="minor"/>
      </rPr>
      <t>Cuando la fracción decimal del peso sea igual o superior a 5 se aproximará por exceso al número entero siguiente del peso y cuando la fracción decimal del peso sea inferior a 5 se aproximará por defecto al número entero del peso.</t>
    </r>
  </si>
  <si>
    <r>
      <rPr>
        <b/>
        <sz val="12"/>
        <color rgb="FF000000"/>
        <rFont val="Calibri"/>
        <family val="2"/>
        <scheme val="minor"/>
      </rPr>
      <t xml:space="preserve">Nota 3: </t>
    </r>
    <r>
      <rPr>
        <sz val="12"/>
        <color rgb="FF000000"/>
        <rFont val="Calibri"/>
        <family val="2"/>
        <scheme val="minor"/>
      </rPr>
      <t>El A.I.U y su discriminación deben estar en porcentaje (%).</t>
    </r>
  </si>
  <si>
    <t>VR CONTRATO</t>
  </si>
  <si>
    <t xml:space="preserve">DESMONTE DE CUBIERTA EN ETERNIT </t>
  </si>
  <si>
    <t xml:space="preserve">DESMONTE DE  ESTRUCTURA DE MADERA PARA CUBIERTA </t>
  </si>
  <si>
    <t>DESMONTE DE RED INTERIOR ELECTRICA</t>
  </si>
  <si>
    <t xml:space="preserve">CERRRAMIENTO EN FIBRA DE POLIPROPILENO h=2,1M </t>
  </si>
  <si>
    <t xml:space="preserve">CUBIERTA EN TEJA ARQUITECTONICA CAL -30 COLOR INSTITUCIONAL (Suministro e instalacion, Incluye todo lo necesario para su correcta ejecucion) </t>
  </si>
  <si>
    <t xml:space="preserve">CABALLETE TEJA ARQUITECTONICA (Suministro e instalacion, Incluye todo lo necesario para su correcta ejecucion ) </t>
  </si>
  <si>
    <t>CANAL EN LAMINA GALVANIZADA C=22; Longitud de desarrollo 0,6m</t>
  </si>
  <si>
    <t xml:space="preserve">SUMINISTO E INSTALACION DE BAJANTE AGUAS LLUVIAS 4" PVC LIVIANO </t>
  </si>
  <si>
    <t>RESANE MUROS (INCLUYE PAÑETE, ESTUCO Y PINTURA)</t>
  </si>
  <si>
    <t xml:space="preserve">MURO EN LADRILLO FAROL No 4 </t>
  </si>
  <si>
    <t xml:space="preserve">LIMPIEZA Y PINTURA DE CERCHAS Y CORREAS METALICAS </t>
  </si>
  <si>
    <t>SUMINISTRO E INSTALACION DE  SALIDA INTERRUPTOR DOBLE (Incluye interruptor)</t>
  </si>
  <si>
    <t>SUMINISTRO E INSTALACIÓN DE LUMINARIA LED HERMETICA 2X18,  FIJA (Incluye caja tipo RAWELT en aluminio para conexión y todo lo necesario para su correcto funcionamiento)</t>
  </si>
  <si>
    <t xml:space="preserve">RED ELECTRICA EN TUBERIA EMT DE 1/2", INCLUYE 2 LINEAS Y UN NEUTRO </t>
  </si>
  <si>
    <t>RECOLECCIÓN, CARGUE, TRANSPORTE Y DISPOSICIÓN FINAL DE ESCOMBROS GENERADOS EN OBRA, INCLUIDOS AYUDANTES Y CAMIÓN DE 5 M³</t>
  </si>
  <si>
    <t>SUMINISTRO E INSTALACIÓN DE CORREA EN PERFIL C  CON ATIESADOR de 160x60x 17 mm Cal: 16 X 6 m</t>
  </si>
  <si>
    <t>CERCHA METALICA SECCION, PRINCIPALES DE 100X100X 2,0 mm Y CELOCIAS  50X50x1,5 mm  fy= 3500 kg/cm2.</t>
  </si>
  <si>
    <t>DEMOLICION DE TANQUE EN CONCRETO</t>
  </si>
  <si>
    <t xml:space="preserve">SUMINISTRO E INSTALACION DE TANQUE DE 1000 LTS. (Incluye todo lo necesario para su correcto funcionamiento) </t>
  </si>
  <si>
    <t>SUMINISTRO E INSTALACION DE TUBERIA  PVC 1/2" RDE 9</t>
  </si>
  <si>
    <t>ALISTADO CON PENDIENTE EN MORTERO IMPERMEABILIZADO PARA PLACAS</t>
  </si>
  <si>
    <t xml:space="preserve">SUMINISTRO E INSTALACION DE BAJANTE AGUAS LLUVIAS 3" PVC LIVIANO </t>
  </si>
  <si>
    <t xml:space="preserve">ALISTADO DE PISO EN MORTERO e= 4cm </t>
  </si>
  <si>
    <t>DEMOLICION DE MURO EN LADRILLO FAROL e=15cm</t>
  </si>
  <si>
    <t xml:space="preserve">DESMONTE DE PUERTA. Incluye marco - (Ancho de 0,6 a 1 m; Altura 1,80 a 2,10 m) </t>
  </si>
  <si>
    <t>DESMONTE DE VENTANA Area de superficie &gt; 2 m2</t>
  </si>
  <si>
    <t>DEMOLICION DE ENCHAPE PARED</t>
  </si>
  <si>
    <t xml:space="preserve">DEMOLICION DE CERAMICA PISO </t>
  </si>
  <si>
    <t xml:space="preserve">DESMONTE DE APARATOS SANITARIOS </t>
  </si>
  <si>
    <t>SUMINISTRO E INSTALACION DE LLAVE TERMINAL COBRE 1/2"</t>
  </si>
  <si>
    <t>SUMINISTRO E INSTALACION DE LLAVE DE PASO 1/2" PVC LISA/ROSCADA</t>
  </si>
  <si>
    <t xml:space="preserve">SUMINISTRO E INSTALACION DE REJILLA SIFON 3" </t>
  </si>
  <si>
    <t>SUMINISTRO E INSTALACION DE TUBERIA SANITARIA  3" PVC Semipesada</t>
  </si>
  <si>
    <t>SUMINISTRO E INSTALACIÓN DE TUBERIA PVC 1/2" RDE 13,5</t>
  </si>
  <si>
    <t>SUMINISTRO E INSTALACION DE SANITARIO BLANCO (INCLUYE GRIFERIA)</t>
  </si>
  <si>
    <t xml:space="preserve">SUMINISTRO E INSTALACION DE SALIDA LAMPARA LED 12w (Incluye lampara) </t>
  </si>
  <si>
    <t>SUMINISTRO E INSTALACION DE SALIDA PARA INTERRUPTOR SENCILLO (Incluye Interruptor)</t>
  </si>
  <si>
    <t xml:space="preserve">SUMINISTRO E INSTALACION DE ENCHAPE PARED COLOR INSTITUCIONAL </t>
  </si>
  <si>
    <t>SUMINISTRO E INSTALACION  DE PISO EN CERAMICA TRAFICO No 5, COLOR INSTITUCIONAL</t>
  </si>
  <si>
    <t>ADECUACIÓN DE MARCO Y PUERTA METALICA, DIMENSIÓN de 0.50 a  0.80 m de ancho y hasta 2.00 m de alto  (Incluye corte y materiales para su correcto funcionamiento)</t>
  </si>
  <si>
    <t xml:space="preserve">PAÑETE LISO MUROS 1:3 (Incluye filos, carteras y dilataciones) </t>
  </si>
  <si>
    <t>ESTUCO Y PINTURA VINILO TIPO I, MUROS Y ESTRUCTURAS DE CONCRETO (TRES MANOS)</t>
  </si>
  <si>
    <t>ESMALTE SOBRE LAMINA LLENA</t>
  </si>
  <si>
    <t xml:space="preserve">ESMALTE SOBRE VENTANERIA METALICA </t>
  </si>
  <si>
    <t>MURO EN PLACA DE YESO 1/2" - 1 CARA (No Incluye estuco, No incluye Pintura)</t>
  </si>
  <si>
    <t>ESTUCO</t>
  </si>
  <si>
    <t>PINTURA TIPO l</t>
  </si>
  <si>
    <t xml:space="preserve">SUMINISTRO E INSTALACION  DE PISO EN CERAMICA TRAFICO No 5, TIPO GRANILLA </t>
  </si>
  <si>
    <t>DEMOLICION DE MURO EN LADRILLO FAROL  e&lt;= 12cm</t>
  </si>
  <si>
    <t>SUMINISTRO E INSTALACION DE VENTANA CORREDIZA EN LAMINA CR CAL 18 CON REJA Y VIDRIO</t>
  </si>
  <si>
    <t>DINTEL   0,15 * 0,12 m en concreto de 3000 psi. Incluye acero de refuerzo  2 No. 3, Estribo No. 2 @ 0,07 m y anclajes de 0.75 m  No 3 @ 0,50 m</t>
  </si>
  <si>
    <t xml:space="preserve">CAJA DE INSPECCION DE PASO EN CONCRETO DE 2500 PSI 80X80 cm. - h&lt;= 0,8m - Muro de 12cm - Tapa en marco y contramarco en angulo de 1 x 1/8 </t>
  </si>
  <si>
    <t>SUMINISTRO E  INSTALACION DE TUBERIA SANITARIA  4" PVC Semipesada</t>
  </si>
  <si>
    <t xml:space="preserve">EXCAVACION MANUAL h= hasta 2m  (Incluye retiro ) </t>
  </si>
  <si>
    <t xml:space="preserve">RELLENO COMPACTADO MECANICAMENTE CON RECEBO Y/O MATERIAL DE PRESTAMO </t>
  </si>
  <si>
    <t xml:space="preserve">DESMONTE DE MODULO EN MALLA ESLABONADA </t>
  </si>
  <si>
    <t xml:space="preserve">DEMOLICION DE MURO EN LADRILLO MACIZO e=12cm </t>
  </si>
  <si>
    <t>CARGUE Y RETIRO E MATERIAL SOBRANTE</t>
  </si>
  <si>
    <t>MURO EN LADRILLO REJILLA IGUAL AL EXISTENTE</t>
  </si>
  <si>
    <t>COLUMNETA DE CONFINAMIENTO 0.25x0.25 m EN LADRILLO REJILLA IGUAL AL EXISTENTE</t>
  </si>
  <si>
    <t>COLUMNETA 10X6 cm (Concreto de 3000 PSI - No Incluye acero de refuerzo )</t>
  </si>
  <si>
    <t>SUMINISTRO, FABRICACIÓN E INSTALACIÓN DE CUBIERTA EN LÁMINA CALIBRE 18 PARA REJA, INCLUYE SOLDADURA, PINTURA ANTICORROSIVA Y ESMALTE Y MANO DE OBRA, TERMINADO E INSTALADO</t>
  </si>
  <si>
    <t>COLUMNA 20X20 cm (Concreto de 3000 PSI - No Incluye acero de refuerzo )</t>
  </si>
  <si>
    <t xml:space="preserve">ZAPATA EN CONCRETO DE 3000 PSI de 1x1x0,4 (No incluye acero) </t>
  </si>
  <si>
    <t>SUMINISTRO, FABRICACIÓN E INSTALACIÓN DE PORTÓN METÁLICO EN PERFIL ESTRUCTURAL Y LÁMINA CALIBRE 18, INCLUYE SOLDADURA, PINTURA ANTICORROSIVA Y ESMALTE, HERRAJES Y MANO DE OBRA, TERMINADO E INSTALADO A SATISFACCIÓN</t>
  </si>
  <si>
    <t xml:space="preserve">ACERO DE REFUERZO DE 60000 PSI; Incluye Figurado y armado </t>
  </si>
  <si>
    <t xml:space="preserve">PAÑETE LISO MUROS 1:4 (Incluye filos, carteras y dilataciones) </t>
  </si>
  <si>
    <t>DEMOLICION DE PLACA DE CONTRAPISO  8cm&lt; e &lt;= 10cm</t>
  </si>
  <si>
    <t>DESMONTE DE VENTANA Area de superficie &lt;= 2 m2</t>
  </si>
  <si>
    <t xml:space="preserve">DESMONTE DE PUERTA. Incluye marco - (Ancho de 1 a 1,5 m; Altura 1,80 a 2,10 m) </t>
  </si>
  <si>
    <t xml:space="preserve">CONCRETO CICLOPEO DE 2500 PSI (60% Concreto: 40% piedra ) </t>
  </si>
  <si>
    <t xml:space="preserve">VIGA DE CIMENTACION 0,2X0,20 m (No incluye Hierro, No Incluye Formaleta ) </t>
  </si>
  <si>
    <t xml:space="preserve">VIGA DE AMARRE 15X20 cm SOBRE MURO  (Concreto de 3000 psi - No incluye acero de refuerzo) </t>
  </si>
  <si>
    <t>SUMINISTRO E INSTALACION DE MALLA ELECTROSOLDADA 6mm 15X15</t>
  </si>
  <si>
    <t xml:space="preserve">PLACA DE CONTRAPISO 3000 PSI e= 10cm </t>
  </si>
  <si>
    <t>SUMINISTRO E INSTALACIÓN DE GUARDAESCOBA DE PISO EN CERAMICA TRAFICO No 5, COLOR INSTITUCIONAL h=8cm</t>
  </si>
  <si>
    <t>INSTALACIÓN  DE VENTANA  METALICA EXISTENTE (incluye reparación, soldadura e instalación) &lt;= 2 m2</t>
  </si>
  <si>
    <t>INSTALACIÓN DE PUERTA METALICA EXISTENTE DE 1,00 A 1,50 m DE ANCHO Y DE 1,80 A 2,10 m DE ALTO (incluye reparación, soldadura e instalación)</t>
  </si>
  <si>
    <t xml:space="preserve">LOCALIZACION Y REPLANTEO (MANUAL) </t>
  </si>
  <si>
    <t xml:space="preserve">DESCAPOTE MECANICO Y RETIRO Hasta 30cm </t>
  </si>
  <si>
    <t xml:space="preserve">MEJORAMIENTO DEL SUELO EN RECEBO - CEMENTO COMPACTADO MANUAL </t>
  </si>
  <si>
    <t>SOLADO DE LIMPIEZA CONCRETO 1700 P.S.I. E=0,05M</t>
  </si>
  <si>
    <t xml:space="preserve">VIGA DE CIMENTACION 0,35X0,35 m (No incluye Hierro,  Incluye Formaleta ) </t>
  </si>
  <si>
    <t xml:space="preserve">VIGA DE CIMENTACION 0,15 X0,20 m EN CONCRETO DE 3000 PSI (No incluye Hierro, No Incluye Formaleta ) </t>
  </si>
  <si>
    <t xml:space="preserve">ALFAGIA EN CONCRETO 3000 PSI, ANCHO = 0,25 m Ep= 0,15. (Incluye acero de refuerzo DE 60000 PSI (2 No 3; E No 2 @ 0,10 m) </t>
  </si>
  <si>
    <t xml:space="preserve">VIGA  AEREA 35X35 cm   (Concreto de 3000 psi - No incluye acero de refuerzo) </t>
  </si>
  <si>
    <t>COLUMNA 35x35 cm (Concreto de 3000 PSI - No Incluye acero de refuerzo )</t>
  </si>
  <si>
    <t>COLUMNETA 15X15 cm (Concreto de 3000 PSI - No Incluye acero de refuerzo )</t>
  </si>
  <si>
    <t xml:space="preserve">VIGA  CINTA   15X12 cm  (Concreto de 3000 psi - No incluye acero de refuerzo) </t>
  </si>
  <si>
    <t>LOSA MACIZA e=0,10m (Placa en Concreto de 3000 Psi, No incluye acero de refuerzo )</t>
  </si>
  <si>
    <t xml:space="preserve">SUMINISTRO E INSTALACION DE SALIDA PARCIAL MONOFASICA TABLERO 4 CIRCUITOS. ( Inlcuye tablero y breakers) </t>
  </si>
  <si>
    <t xml:space="preserve">SUMINISTRO E INSTALACION DE SALIDA TOMA CORRIENTE  DOBLE  110V (Incluye tomacorriente doble) </t>
  </si>
  <si>
    <t>SUMINISTRO E INSTALACION DE RED ELECTRICA PARA CONEXIÓN EN CABLE 2XNo.8 THW</t>
  </si>
  <si>
    <t>CORREA METALICA 2p 120x60mm</t>
  </si>
  <si>
    <t>PLACA DE CONTRAPISO 3000 PSI e= 15cm  (No Incluye Acero)</t>
  </si>
  <si>
    <t>SUMINISTRO E INSTALACION DE VENTANA CORREDIZA EN LAMINA CR CAL 20 CON REJA Y VIDRIO</t>
  </si>
  <si>
    <t xml:space="preserve">SUMINISTRO E INSTALACION DE MARCO Y PUERTA METALICA CAL 20, DIMENSIÓN de 0.80 m de ancho y hasta 2.10 m de alto  (Incluye portacandado y pasador) </t>
  </si>
  <si>
    <t xml:space="preserve">SUMINISTRO E INSTALACION DE MARCO Y PUERTA METALICA CAL 20, DIMENSIÓN de 1 m de ancho y hasta 2.10 m de alto  (Incluye portacandado y pasador) </t>
  </si>
  <si>
    <t xml:space="preserve">SUMINISTRO E INSTALACION DE MARCO Y PUERTA METALICA CAL 20, DIMENSIÓN de 1,20 m de ancho y hasta 2.10 m de alto  (Incluye portacandado y pasador) </t>
  </si>
  <si>
    <t>ESGRAFIADO EN GRANIPLAST EN MUROS Y ESTRUCTURAS DE CONCRETO</t>
  </si>
  <si>
    <t>ESTUCO Y PINTURA ESPECIAL EPOXICA ANTIHONGOS</t>
  </si>
  <si>
    <t>PLACA DE DE PISOS EN CONCRETO DE 3000 PSI e=15 m (incluye formaleta, texturizado, dilatación inducida, vibrado y curado)</t>
  </si>
  <si>
    <t xml:space="preserve">CAJA DE INSPECCION DE PASO EN CONCRETO DE 2500 PSI 60X60 cm. - h&lt;= 0,8m - Muro de 12cm - Tapa en marco y contramarco en angulo de 1 x 1/8 </t>
  </si>
  <si>
    <t xml:space="preserve">TRAMPA DE GRASAS EN LADRILLO 80X80 cm. - h&lt;= 8m - Tapa en marco y contramarco en angulo de 1 x 1/8 </t>
  </si>
  <si>
    <t>PUNTO DESAGUE PVC SANITARIO 4"</t>
  </si>
  <si>
    <t>PUNTO DESAGUE PVC SANITARIO 3"</t>
  </si>
  <si>
    <t>PUNTO DESAGUE PVC SANITARIO 2"</t>
  </si>
  <si>
    <t>SUMINISTRO E  INSTALACION DE TUBERIA SANITARIA  4" PVC Tipo pesada</t>
  </si>
  <si>
    <t>PUNTO DE AGUA FRIA PVC 1/2"</t>
  </si>
  <si>
    <t>ACOMETIDA PVC 1/2" RDE 13,5</t>
  </si>
  <si>
    <t xml:space="preserve">SUMINISTRO E INSTALACION DE LAVAMANOS BLANCO </t>
  </si>
  <si>
    <t>SUMINISTRO E INSTALACION DE DISPENSADOR DE PAPEL HIGIENICO EN ACERO INOXIDABLE TIPO INSTITUCIONAL CAPACIDAD DE 400 mts DE PAPEL</t>
  </si>
  <si>
    <t>POCETA DE ASEO (0,60X0,40X0,45m libres), ENCHAPADA, SEGÚN DISEÑO</t>
  </si>
  <si>
    <t>SUMINISTRO E INSTALACIÓN DE ESTUFA A GAS DE EMPOTRAR DE 4 HORNILLAS</t>
  </si>
  <si>
    <t xml:space="preserve">SUMINISTRO E INSTALACION DE LAVAPLATOS CON LLAVE </t>
  </si>
  <si>
    <t>MESON EN CONCRETO e= 0,1m b=0,60m FORRADO EN LAMINA DE ACERO GALVANIZADO (meson 1 R.T.1) (No incluye acero)</t>
  </si>
  <si>
    <t>MESON EN CONCRETO e= 0,1m b=0,60m SIN ENTREPAÑO, REVESTIDO EN GRANITO PULIDO (meson 2 R.T.1) (No incluye acero)</t>
  </si>
  <si>
    <t xml:space="preserve">DESCAPOTE DE CAPA SUPERFICIAL A MANO h=hasta 0,15m (Incluye retiro) </t>
  </si>
  <si>
    <t xml:space="preserve">MURO EN LADRILLO REJILLA </t>
  </si>
  <si>
    <t>SUMINISTRO E INSTALACIÓN DE TUBERIA DE HIERRO GALVANIZADO SEMIPESADO DE 2" CAL 14. INCLUYE ACABADO EN TAPA METALICA, ANCLAJES Y PINTURA.</t>
  </si>
  <si>
    <t>SUMINISTRO E INSTALACIÓN DE MALLA ESLABONADA CAL 10, OJO 2"  - CONTORNO MODULO EN ANGULO DE 1-1/2" X 1/8". INCLUYE ANCLAJES Y PINTURA  (De acuerdo al diseño)</t>
  </si>
  <si>
    <t>SUMINISTRO E INSTALACIÓN DE ALAMBRE DE PUAS CAL 16,5 (3 HILOS)</t>
  </si>
  <si>
    <t>SUMINISTRO E INSTALACIÓN DE GUARDAESCOBA DE PISO EN CERAMICA TRAFICO No 5, TIPO GRANILLA h=8cm</t>
  </si>
  <si>
    <t>DEMOLICION DE POZO SÉPTICO hasta 2.50 m de profundidad (incluye Tapa en concreto, losa inferior, vigas, columnas y pantallas) (incluye retiro)</t>
  </si>
  <si>
    <t xml:space="preserve">RELLENO COMPACTACION MANUAL CON MATERIAL DE SITIO </t>
  </si>
  <si>
    <t xml:space="preserve">VIGA DE AMARRE 20X20 cm (Concreto de 3000 psi -  incluye acero 4 No.4, E:3/8" C/0,15 m) </t>
  </si>
  <si>
    <t xml:space="preserve">COLUMNETA 15X20  cm (Concreto de 3000 PSI - incluye acero 4 No.4, E:3/8" C/0,15 m) </t>
  </si>
  <si>
    <t>PLACA PARA TAPA DE TANQUE  en  concreto armado de  3000  PSI  e=0.10 m (Incluye acero de refuerzo 3/8" c/15cm; 2 sentidos y tres contramarcos para tapa) (según diseño)</t>
  </si>
  <si>
    <t>TAPA PARA TANQUE de 0.9m x 0.75m (Incluye acero de refuerzo 3/8" c/15cm; 2 sentidos, concreto de 3000 psi y marco en angulo de 1/8") (según diseño)</t>
  </si>
  <si>
    <t>TAPA PARA TANQUE de 0.50m x 0.50m i(Incluye acero de refuerzo 3/8" c/15cm; 2 sentidos, concreto de 3000 psi y marco en angulo de 1/8") (según diseño)</t>
  </si>
  <si>
    <t>TAPA PARA TANQUE de 0.75m x 0.75m (Incluye acero de refuerzo 3/8" c/15cm; 2 sentidos, concreto de 3000 psi y marco en angulo de 1/8") (según diseño)</t>
  </si>
  <si>
    <t>LOSA MACIZA en Concreto de 3000 Psi, e=0,12m (Incluye acero de refuerzo 1/2" c/15cm; 2 sentidos )</t>
  </si>
  <si>
    <t>MURO EN LADRILLO TOLETE COMÚN (SOGA) (incluye mortero de pega 1:3)</t>
  </si>
  <si>
    <t xml:space="preserve">PAÑETE IMPERMEABILIZADO  LISO MUROS 1:4 (Incluye filos, carteras y dilataciones) </t>
  </si>
  <si>
    <t>IMPERMEABILIZACION PARA TANQUES Y PISCINAS</t>
  </si>
  <si>
    <t xml:space="preserve">Suministro e instalación de FILTRO ANAEROBIO PARA POZO SEPTICO TIPO (incluye roseton y cultivo bacteriano anaerobio)    </t>
  </si>
  <si>
    <t>SUMINISTRO E  INSTALACION DE TUBERIA SANITARIA  6" PVC CORRUGADA</t>
  </si>
  <si>
    <t>Suministro e instalación de tubería sanitaria en PVC 4" para pozo séptico (incluye tubería, accesorios y soldadura PVC) (según diseño)</t>
  </si>
  <si>
    <t>SUMINISTRO E INSTALACIÓN DE TAPETE LÚDICO TIPO GIMNASIO EN LOSETA DE CAUCHO EPDM DE 20 mm, SISTEMA ENCASTRABLE  (sin adhesivo)</t>
  </si>
  <si>
    <t>ML</t>
  </si>
  <si>
    <t xml:space="preserve">M </t>
  </si>
  <si>
    <t>GLB</t>
  </si>
  <si>
    <t>CAMBIO DE CUBIERTA I.E.M. CRIOLLO - SEDE EL RECUERDO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</si>
</sst>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 &quot;$&quot;\ * #,##0.00_ ;_ &quot;$&quot;\ * \-#,##0.00_ ;_ &quot;$&quot;\ * &quot;-&quot;??_ ;_ @_ "/>
    <numFmt numFmtId="166" formatCode="0.0"/>
    <numFmt numFmtId="167" formatCode="[$ $]#,##0.00"/>
    <numFmt numFmtId="168" formatCode="[$ $]#,##0"/>
    <numFmt numFmtId="169" formatCode="&quot;$&quot;\ #,##0.00"/>
    <numFmt numFmtId="170" formatCode="0.000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b/>
      <sz val="16"/>
      <color rgb="FF000000"/>
      <name val="Calibri"/>
      <family val="2"/>
    </font>
    <font>
      <b/>
      <sz val="10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FF0000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rgb="FF000000"/>
      <name val="Calibri"/>
      <family val="2"/>
    </font>
    <font>
      <sz val="8"/>
      <color theme="1"/>
      <name val="Arial"/>
      <family val="2"/>
    </font>
    <font>
      <b/>
      <sz val="9"/>
      <color rgb="FFFF0000"/>
      <name val="Arial"/>
      <family val="2"/>
    </font>
    <font>
      <sz val="11"/>
      <color rgb="FF002060"/>
      <name val="Calibri"/>
      <family val="2"/>
    </font>
    <font>
      <b/>
      <sz val="12"/>
      <color rgb="FF0070C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u/>
      <sz val="10"/>
      <color rgb="FF0070C0"/>
      <name val="Calibri"/>
      <family val="2"/>
      <scheme val="minor"/>
    </font>
    <font>
      <b/>
      <sz val="11"/>
      <color rgb="FF002060"/>
      <name val="Calibri"/>
      <family val="2"/>
    </font>
    <font>
      <b/>
      <sz val="14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</font>
    <font>
      <sz val="9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2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EDEDED"/>
        <bgColor rgb="FFEDEDED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0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auto="1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165" fontId="2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</cellStyleXfs>
  <cellXfs count="641">
    <xf numFmtId="0" fontId="0" fillId="0" borderId="0" xfId="0"/>
    <xf numFmtId="0" fontId="4" fillId="0" borderId="7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0" fontId="8" fillId="0" borderId="0" xfId="6"/>
    <xf numFmtId="0" fontId="11" fillId="0" borderId="16" xfId="6" applyFont="1" applyBorder="1"/>
    <xf numFmtId="0" fontId="11" fillId="0" borderId="18" xfId="6" applyFont="1" applyBorder="1" applyAlignment="1">
      <alignment horizontal="center"/>
    </xf>
    <xf numFmtId="0" fontId="12" fillId="0" borderId="56" xfId="6" applyFont="1" applyBorder="1" applyAlignment="1">
      <alignment horizontal="center"/>
    </xf>
    <xf numFmtId="0" fontId="12" fillId="3" borderId="49" xfId="6" applyFont="1" applyFill="1" applyBorder="1" applyAlignment="1">
      <alignment horizontal="right"/>
    </xf>
    <xf numFmtId="10" fontId="14" fillId="0" borderId="49" xfId="1" applyNumberFormat="1" applyFont="1" applyBorder="1" applyAlignment="1">
      <alignment horizontal="center"/>
    </xf>
    <xf numFmtId="9" fontId="14" fillId="0" borderId="49" xfId="6" applyNumberFormat="1" applyFont="1" applyBorder="1" applyAlignment="1">
      <alignment horizontal="center"/>
    </xf>
    <xf numFmtId="0" fontId="15" fillId="0" borderId="57" xfId="6" applyFont="1" applyBorder="1"/>
    <xf numFmtId="0" fontId="15" fillId="0" borderId="61" xfId="6" applyFont="1" applyBorder="1"/>
    <xf numFmtId="0" fontId="17" fillId="0" borderId="62" xfId="6" applyFont="1" applyBorder="1" applyAlignment="1">
      <alignment horizontal="center"/>
    </xf>
    <xf numFmtId="0" fontId="17" fillId="0" borderId="63" xfId="6" applyFont="1" applyBorder="1" applyAlignment="1">
      <alignment horizontal="center"/>
    </xf>
    <xf numFmtId="0" fontId="17" fillId="0" borderId="63" xfId="6" applyFont="1" applyBorder="1" applyAlignment="1">
      <alignment horizontal="center" wrapText="1"/>
    </xf>
    <xf numFmtId="0" fontId="17" fillId="0" borderId="60" xfId="6" applyFont="1" applyBorder="1" applyAlignment="1">
      <alignment horizontal="center"/>
    </xf>
    <xf numFmtId="0" fontId="18" fillId="0" borderId="0" xfId="6" applyFont="1"/>
    <xf numFmtId="0" fontId="15" fillId="0" borderId="5" xfId="6" applyFont="1" applyBorder="1"/>
    <xf numFmtId="0" fontId="19" fillId="0" borderId="62" xfId="6" applyFont="1" applyBorder="1"/>
    <xf numFmtId="0" fontId="19" fillId="0" borderId="63" xfId="6" applyFont="1" applyBorder="1"/>
    <xf numFmtId="0" fontId="20" fillId="0" borderId="63" xfId="6" applyFont="1" applyBorder="1"/>
    <xf numFmtId="0" fontId="20" fillId="0" borderId="60" xfId="6" applyFont="1" applyBorder="1"/>
    <xf numFmtId="0" fontId="15" fillId="0" borderId="5" xfId="6" applyFont="1" applyBorder="1" applyAlignment="1">
      <alignment horizontal="right"/>
    </xf>
    <xf numFmtId="0" fontId="21" fillId="0" borderId="62" xfId="6" applyFont="1" applyBorder="1"/>
    <xf numFmtId="9" fontId="21" fillId="0" borderId="63" xfId="6" applyNumberFormat="1" applyFont="1" applyBorder="1" applyAlignment="1">
      <alignment horizontal="right"/>
    </xf>
    <xf numFmtId="164" fontId="21" fillId="0" borderId="63" xfId="2" applyFont="1" applyBorder="1" applyAlignment="1">
      <alignment horizontal="right"/>
    </xf>
    <xf numFmtId="2" fontId="21" fillId="0" borderId="63" xfId="6" applyNumberFormat="1" applyFont="1" applyBorder="1" applyAlignment="1">
      <alignment horizontal="center"/>
    </xf>
    <xf numFmtId="0" fontId="21" fillId="0" borderId="63" xfId="6" applyFont="1" applyBorder="1" applyAlignment="1">
      <alignment horizontal="center"/>
    </xf>
    <xf numFmtId="164" fontId="21" fillId="0" borderId="60" xfId="2" applyFont="1" applyBorder="1" applyAlignment="1">
      <alignment horizontal="right"/>
    </xf>
    <xf numFmtId="0" fontId="15" fillId="0" borderId="57" xfId="6" applyFont="1" applyBorder="1" applyAlignment="1">
      <alignment horizontal="right"/>
    </xf>
    <xf numFmtId="0" fontId="19" fillId="0" borderId="62" xfId="6" applyFont="1" applyBorder="1" applyAlignment="1">
      <alignment horizontal="right"/>
    </xf>
    <xf numFmtId="0" fontId="21" fillId="0" borderId="63" xfId="6" applyFont="1" applyBorder="1"/>
    <xf numFmtId="164" fontId="22" fillId="0" borderId="60" xfId="2" applyFont="1" applyBorder="1"/>
    <xf numFmtId="10" fontId="18" fillId="0" borderId="0" xfId="6" applyNumberFormat="1" applyFont="1"/>
    <xf numFmtId="0" fontId="22" fillId="0" borderId="60" xfId="6" applyFont="1" applyBorder="1"/>
    <xf numFmtId="0" fontId="18" fillId="0" borderId="34" xfId="6" applyFont="1" applyBorder="1"/>
    <xf numFmtId="0" fontId="15" fillId="0" borderId="5" xfId="6" applyFont="1" applyBorder="1" applyAlignment="1">
      <alignment vertical="center"/>
    </xf>
    <xf numFmtId="0" fontId="21" fillId="0" borderId="62" xfId="6" applyFont="1" applyBorder="1" applyAlignment="1">
      <alignment vertical="center" wrapText="1"/>
    </xf>
    <xf numFmtId="0" fontId="21" fillId="0" borderId="63" xfId="6" applyFont="1" applyBorder="1" applyAlignment="1">
      <alignment horizontal="center" vertical="center"/>
    </xf>
    <xf numFmtId="164" fontId="21" fillId="0" borderId="63" xfId="2" applyFont="1" applyBorder="1" applyAlignment="1">
      <alignment horizontal="right" vertical="center"/>
    </xf>
    <xf numFmtId="0" fontId="18" fillId="0" borderId="34" xfId="6" applyFont="1" applyBorder="1" applyAlignment="1">
      <alignment vertical="center"/>
    </xf>
    <xf numFmtId="167" fontId="21" fillId="0" borderId="60" xfId="6" applyNumberFormat="1" applyFont="1" applyBorder="1" applyAlignment="1">
      <alignment horizontal="right" vertical="center"/>
    </xf>
    <xf numFmtId="0" fontId="8" fillId="0" borderId="0" xfId="6" applyAlignment="1">
      <alignment vertical="center"/>
    </xf>
    <xf numFmtId="167" fontId="22" fillId="0" borderId="60" xfId="6" applyNumberFormat="1" applyFont="1" applyBorder="1"/>
    <xf numFmtId="0" fontId="23" fillId="0" borderId="62" xfId="6" applyFont="1" applyBorder="1" applyAlignment="1">
      <alignment horizontal="center"/>
    </xf>
    <xf numFmtId="0" fontId="23" fillId="0" borderId="63" xfId="6" applyFont="1" applyBorder="1" applyAlignment="1">
      <alignment horizontal="center"/>
    </xf>
    <xf numFmtId="0" fontId="21" fillId="0" borderId="62" xfId="6" applyFont="1" applyBorder="1" applyAlignment="1">
      <alignment wrapText="1"/>
    </xf>
    <xf numFmtId="10" fontId="21" fillId="0" borderId="63" xfId="6" applyNumberFormat="1" applyFont="1" applyBorder="1" applyAlignment="1">
      <alignment horizontal="right" vertical="center"/>
    </xf>
    <xf numFmtId="168" fontId="24" fillId="0" borderId="63" xfId="6" applyNumberFormat="1" applyFont="1" applyBorder="1" applyAlignment="1">
      <alignment vertical="center"/>
    </xf>
    <xf numFmtId="0" fontId="21" fillId="0" borderId="63" xfId="6" applyFont="1" applyBorder="1" applyAlignment="1">
      <alignment vertical="center"/>
    </xf>
    <xf numFmtId="0" fontId="21" fillId="0" borderId="63" xfId="6" applyFont="1" applyBorder="1" applyAlignment="1">
      <alignment horizontal="right" vertical="center"/>
    </xf>
    <xf numFmtId="168" fontId="8" fillId="0" borderId="0" xfId="6" applyNumberFormat="1"/>
    <xf numFmtId="10" fontId="21" fillId="0" borderId="63" xfId="6" applyNumberFormat="1" applyFont="1" applyBorder="1" applyAlignment="1">
      <alignment horizontal="right"/>
    </xf>
    <xf numFmtId="168" fontId="21" fillId="0" borderId="63" xfId="6" applyNumberFormat="1" applyFont="1" applyBorder="1"/>
    <xf numFmtId="0" fontId="21" fillId="0" borderId="63" xfId="6" applyFont="1" applyBorder="1" applyAlignment="1">
      <alignment horizontal="right"/>
    </xf>
    <xf numFmtId="167" fontId="21" fillId="0" borderId="60" xfId="6" applyNumberFormat="1" applyFont="1" applyBorder="1" applyAlignment="1">
      <alignment horizontal="right"/>
    </xf>
    <xf numFmtId="0" fontId="21" fillId="0" borderId="62" xfId="6" applyFont="1" applyBorder="1" applyAlignment="1">
      <alignment horizontal="right"/>
    </xf>
    <xf numFmtId="44" fontId="8" fillId="0" borderId="0" xfId="6" applyNumberFormat="1"/>
    <xf numFmtId="10" fontId="21" fillId="0" borderId="63" xfId="6" applyNumberFormat="1" applyFont="1" applyBorder="1"/>
    <xf numFmtId="167" fontId="19" fillId="0" borderId="60" xfId="6" applyNumberFormat="1" applyFont="1" applyBorder="1" applyAlignment="1">
      <alignment horizontal="right"/>
    </xf>
    <xf numFmtId="10" fontId="8" fillId="0" borderId="0" xfId="6" applyNumberFormat="1"/>
    <xf numFmtId="0" fontId="21" fillId="0" borderId="60" xfId="6" applyFont="1" applyBorder="1" applyAlignment="1">
      <alignment horizontal="right"/>
    </xf>
    <xf numFmtId="167" fontId="22" fillId="0" borderId="60" xfId="6" applyNumberFormat="1" applyFont="1" applyBorder="1" applyAlignment="1">
      <alignment horizontal="center"/>
    </xf>
    <xf numFmtId="169" fontId="18" fillId="0" borderId="0" xfId="6" applyNumberFormat="1" applyFont="1"/>
    <xf numFmtId="0" fontId="15" fillId="0" borderId="68" xfId="6" applyFont="1" applyBorder="1"/>
    <xf numFmtId="0" fontId="19" fillId="0" borderId="69" xfId="6" applyFont="1" applyBorder="1" applyAlignment="1">
      <alignment horizontal="left"/>
    </xf>
    <xf numFmtId="0" fontId="19" fillId="0" borderId="70" xfId="6" applyFont="1" applyBorder="1" applyAlignment="1">
      <alignment horizontal="left"/>
    </xf>
    <xf numFmtId="0" fontId="19" fillId="0" borderId="52" xfId="6" applyFont="1" applyBorder="1"/>
    <xf numFmtId="167" fontId="8" fillId="0" borderId="0" xfId="6" applyNumberFormat="1"/>
    <xf numFmtId="0" fontId="9" fillId="0" borderId="62" xfId="6" applyFont="1" applyBorder="1"/>
    <xf numFmtId="0" fontId="9" fillId="0" borderId="63" xfId="6" applyFont="1" applyBorder="1" applyAlignment="1">
      <alignment horizontal="right"/>
    </xf>
    <xf numFmtId="9" fontId="9" fillId="0" borderId="63" xfId="6" applyNumberFormat="1" applyFont="1" applyBorder="1" applyAlignment="1">
      <alignment horizontal="right"/>
    </xf>
    <xf numFmtId="0" fontId="9" fillId="0" borderId="63" xfId="6" applyFont="1" applyBorder="1"/>
    <xf numFmtId="167" fontId="25" fillId="0" borderId="63" xfId="6" applyNumberFormat="1" applyFont="1" applyBorder="1" applyAlignment="1">
      <alignment horizontal="center"/>
    </xf>
    <xf numFmtId="164" fontId="8" fillId="0" borderId="0" xfId="2" applyFont="1"/>
    <xf numFmtId="169" fontId="8" fillId="0" borderId="0" xfId="6" applyNumberFormat="1"/>
    <xf numFmtId="0" fontId="9" fillId="0" borderId="71" xfId="6" applyFont="1" applyBorder="1"/>
    <xf numFmtId="0" fontId="9" fillId="0" borderId="72" xfId="6" applyFont="1" applyBorder="1"/>
    <xf numFmtId="0" fontId="9" fillId="0" borderId="26" xfId="6" applyFont="1" applyBorder="1"/>
    <xf numFmtId="0" fontId="9" fillId="0" borderId="0" xfId="6" applyFont="1" applyAlignment="1">
      <alignment horizontal="right"/>
    </xf>
    <xf numFmtId="9" fontId="9" fillId="0" borderId="38" xfId="6" applyNumberFormat="1" applyFont="1" applyBorder="1" applyAlignment="1">
      <alignment horizontal="right"/>
    </xf>
    <xf numFmtId="0" fontId="9" fillId="0" borderId="67" xfId="6" applyFont="1" applyBorder="1"/>
    <xf numFmtId="0" fontId="9" fillId="0" borderId="60" xfId="6" applyFont="1" applyBorder="1"/>
    <xf numFmtId="0" fontId="22" fillId="3" borderId="63" xfId="6" applyFont="1" applyFill="1" applyBorder="1"/>
    <xf numFmtId="167" fontId="22" fillId="3" borderId="60" xfId="6" applyNumberFormat="1" applyFont="1" applyFill="1" applyBorder="1" applyAlignment="1">
      <alignment horizontal="center"/>
    </xf>
    <xf numFmtId="164" fontId="26" fillId="0" borderId="49" xfId="2" applyFont="1" applyFill="1" applyBorder="1"/>
    <xf numFmtId="0" fontId="22" fillId="3" borderId="60" xfId="6" applyFont="1" applyFill="1" applyBorder="1"/>
    <xf numFmtId="0" fontId="22" fillId="3" borderId="72" xfId="6" applyFont="1" applyFill="1" applyBorder="1"/>
    <xf numFmtId="167" fontId="22" fillId="3" borderId="26" xfId="6" applyNumberFormat="1" applyFont="1" applyFill="1" applyBorder="1" applyAlignment="1">
      <alignment horizontal="center"/>
    </xf>
    <xf numFmtId="10" fontId="28" fillId="0" borderId="49" xfId="6" applyNumberFormat="1" applyFont="1" applyBorder="1" applyAlignment="1">
      <alignment horizontal="center"/>
    </xf>
    <xf numFmtId="0" fontId="9" fillId="0" borderId="53" xfId="6" applyFont="1" applyBorder="1" applyAlignment="1">
      <alignment horizontal="center"/>
    </xf>
    <xf numFmtId="0" fontId="9" fillId="0" borderId="54" xfId="6" applyFont="1" applyBorder="1"/>
    <xf numFmtId="0" fontId="29" fillId="0" borderId="54" xfId="6" applyFont="1" applyBorder="1" applyAlignment="1">
      <alignment horizontal="right"/>
    </xf>
    <xf numFmtId="164" fontId="3" fillId="0" borderId="55" xfId="2" applyFont="1" applyBorder="1"/>
    <xf numFmtId="0" fontId="8" fillId="0" borderId="25" xfId="6" applyBorder="1"/>
    <xf numFmtId="0" fontId="8" fillId="0" borderId="26" xfId="6" applyBorder="1"/>
    <xf numFmtId="0" fontId="30" fillId="0" borderId="25" xfId="7" applyFont="1" applyBorder="1" applyAlignment="1">
      <alignment horizontal="center" vertical="center"/>
    </xf>
    <xf numFmtId="0" fontId="31" fillId="0" borderId="0" xfId="8" applyFont="1"/>
    <xf numFmtId="0" fontId="32" fillId="0" borderId="0" xfId="8" applyFont="1" applyAlignment="1">
      <alignment horizontal="center" vertical="center"/>
    </xf>
    <xf numFmtId="44" fontId="32" fillId="0" borderId="0" xfId="9" applyFont="1" applyFill="1" applyBorder="1" applyAlignment="1">
      <alignment horizontal="center" vertical="center"/>
    </xf>
    <xf numFmtId="42" fontId="32" fillId="0" borderId="0" xfId="10" applyFont="1" applyFill="1" applyBorder="1" applyAlignment="1">
      <alignment horizontal="center" vertical="center"/>
    </xf>
    <xf numFmtId="0" fontId="1" fillId="0" borderId="26" xfId="8" applyBorder="1"/>
    <xf numFmtId="0" fontId="1" fillId="0" borderId="0" xfId="8"/>
    <xf numFmtId="169" fontId="1" fillId="0" borderId="0" xfId="8" applyNumberFormat="1"/>
    <xf numFmtId="0" fontId="31" fillId="0" borderId="73" xfId="8" applyFont="1" applyBorder="1"/>
    <xf numFmtId="167" fontId="1" fillId="0" borderId="0" xfId="8" applyNumberFormat="1"/>
    <xf numFmtId="164" fontId="1" fillId="0" borderId="0" xfId="2"/>
    <xf numFmtId="0" fontId="31" fillId="0" borderId="25" xfId="8" applyFont="1" applyBorder="1" applyAlignment="1">
      <alignment horizontal="center" vertical="center"/>
    </xf>
    <xf numFmtId="0" fontId="30" fillId="0" borderId="0" xfId="7" applyFont="1" applyAlignment="1">
      <alignment horizontal="center"/>
    </xf>
    <xf numFmtId="44" fontId="1" fillId="0" borderId="0" xfId="8" applyNumberFormat="1"/>
    <xf numFmtId="0" fontId="33" fillId="0" borderId="0" xfId="7" applyFont="1" applyAlignment="1">
      <alignment horizontal="center"/>
    </xf>
    <xf numFmtId="0" fontId="8" fillId="0" borderId="73" xfId="6" applyBorder="1"/>
    <xf numFmtId="0" fontId="6" fillId="0" borderId="0" xfId="6" applyFont="1"/>
    <xf numFmtId="0" fontId="8" fillId="0" borderId="50" xfId="6" applyBorder="1"/>
    <xf numFmtId="0" fontId="8" fillId="0" borderId="51" xfId="6" applyBorder="1"/>
    <xf numFmtId="0" fontId="8" fillId="0" borderId="52" xfId="6" applyBorder="1"/>
    <xf numFmtId="0" fontId="35" fillId="0" borderId="0" xfId="0" applyFont="1"/>
    <xf numFmtId="0" fontId="35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justify" vertical="distributed" wrapText="1"/>
    </xf>
    <xf numFmtId="0" fontId="35" fillId="0" borderId="0" xfId="0" applyFont="1" applyAlignment="1">
      <alignment horizontal="center" vertical="distributed" wrapText="1"/>
    </xf>
    <xf numFmtId="4" fontId="35" fillId="0" borderId="0" xfId="5" applyNumberFormat="1" applyFont="1" applyFill="1" applyBorder="1" applyAlignment="1">
      <alignment horizontal="center" vertical="center"/>
    </xf>
    <xf numFmtId="165" fontId="35" fillId="0" borderId="0" xfId="5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0" fontId="35" fillId="0" borderId="0" xfId="0" applyNumberFormat="1" applyFont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vertical="center"/>
    </xf>
    <xf numFmtId="0" fontId="35" fillId="0" borderId="0" xfId="0" applyFont="1" applyAlignment="1">
      <alignment horizontal="justify" vertical="distributed"/>
    </xf>
    <xf numFmtId="4" fontId="3" fillId="0" borderId="0" xfId="5" applyNumberFormat="1" applyFont="1" applyFill="1" applyBorder="1" applyAlignment="1">
      <alignment horizontal="center" vertical="center"/>
    </xf>
    <xf numFmtId="165" fontId="3" fillId="0" borderId="0" xfId="5" applyFont="1" applyFill="1" applyBorder="1" applyAlignment="1">
      <alignment horizontal="center" vertical="center"/>
    </xf>
    <xf numFmtId="164" fontId="35" fillId="0" borderId="0" xfId="2" applyFont="1"/>
    <xf numFmtId="0" fontId="35" fillId="0" borderId="0" xfId="11" applyFont="1" applyAlignment="1">
      <alignment horizontal="center" vertical="center" wrapText="1"/>
    </xf>
    <xf numFmtId="0" fontId="43" fillId="0" borderId="0" xfId="0" applyFont="1" applyAlignment="1">
      <alignment horizontal="center"/>
    </xf>
    <xf numFmtId="165" fontId="3" fillId="0" borderId="0" xfId="0" applyNumberFormat="1" applyFont="1"/>
    <xf numFmtId="0" fontId="35" fillId="0" borderId="0" xfId="11" applyFont="1" applyAlignment="1">
      <alignment horizontal="justify" vertical="center" wrapText="1"/>
    </xf>
    <xf numFmtId="164" fontId="3" fillId="0" borderId="0" xfId="2" applyFont="1" applyFill="1" applyBorder="1"/>
    <xf numFmtId="49" fontId="3" fillId="0" borderId="0" xfId="0" applyNumberFormat="1" applyFont="1" applyAlignment="1">
      <alignment horizontal="center" vertical="top"/>
    </xf>
    <xf numFmtId="49" fontId="44" fillId="0" borderId="0" xfId="0" applyNumberFormat="1" applyFont="1" applyAlignment="1">
      <alignment horizontal="center" vertical="top"/>
    </xf>
    <xf numFmtId="164" fontId="3" fillId="0" borderId="0" xfId="0" applyNumberFormat="1" applyFont="1"/>
    <xf numFmtId="44" fontId="35" fillId="0" borderId="0" xfId="0" applyNumberFormat="1" applyFont="1"/>
    <xf numFmtId="0" fontId="35" fillId="0" borderId="0" xfId="0" applyFont="1" applyAlignment="1">
      <alignment horizontal="center"/>
    </xf>
    <xf numFmtId="2" fontId="35" fillId="0" borderId="0" xfId="8" applyNumberFormat="1" applyFont="1" applyAlignment="1">
      <alignment horizontal="right" vertical="center"/>
    </xf>
    <xf numFmtId="165" fontId="45" fillId="0" borderId="0" xfId="5" applyFont="1" applyFill="1" applyBorder="1" applyAlignment="1">
      <alignment vertical="center"/>
    </xf>
    <xf numFmtId="164" fontId="45" fillId="0" borderId="0" xfId="2" applyFont="1" applyFill="1" applyBorder="1" applyAlignment="1">
      <alignment vertical="center"/>
    </xf>
    <xf numFmtId="0" fontId="7" fillId="0" borderId="0" xfId="0" applyFont="1" applyAlignment="1">
      <alignment horizontal="center"/>
    </xf>
    <xf numFmtId="164" fontId="35" fillId="0" borderId="0" xfId="2" applyFont="1" applyFill="1" applyBorder="1" applyAlignment="1">
      <alignment horizontal="center"/>
    </xf>
    <xf numFmtId="0" fontId="46" fillId="0" borderId="0" xfId="3" applyFont="1" applyAlignment="1">
      <alignment horizontal="center"/>
    </xf>
    <xf numFmtId="165" fontId="35" fillId="0" borderId="0" xfId="5" applyFont="1" applyFill="1" applyBorder="1" applyAlignment="1">
      <alignment horizontal="right"/>
    </xf>
    <xf numFmtId="0" fontId="47" fillId="0" borderId="0" xfId="3" applyFont="1"/>
    <xf numFmtId="0" fontId="33" fillId="0" borderId="0" xfId="3" applyFont="1" applyAlignment="1">
      <alignment horizontal="center"/>
    </xf>
    <xf numFmtId="0" fontId="7" fillId="0" borderId="0" xfId="0" applyFont="1" applyAlignment="1">
      <alignment horizontal="center" vertical="center"/>
    </xf>
    <xf numFmtId="165" fontId="35" fillId="0" borderId="0" xfId="5" applyFont="1" applyAlignment="1">
      <alignment horizontal="right"/>
    </xf>
    <xf numFmtId="49" fontId="48" fillId="0" borderId="0" xfId="0" applyNumberFormat="1" applyFont="1" applyAlignment="1">
      <alignment horizontal="center" vertical="top"/>
    </xf>
    <xf numFmtId="0" fontId="42" fillId="0" borderId="6" xfId="0" applyFont="1" applyBorder="1" applyAlignment="1">
      <alignment vertical="center" wrapText="1"/>
    </xf>
    <xf numFmtId="0" fontId="42" fillId="0" borderId="7" xfId="0" applyFont="1" applyBorder="1" applyAlignment="1">
      <alignment vertical="center" wrapText="1"/>
    </xf>
    <xf numFmtId="165" fontId="42" fillId="0" borderId="7" xfId="5" applyFont="1" applyFill="1" applyBorder="1" applyAlignment="1">
      <alignment vertical="center" wrapText="1"/>
    </xf>
    <xf numFmtId="165" fontId="3" fillId="0" borderId="7" xfId="5" applyFont="1" applyFill="1" applyBorder="1" applyAlignment="1">
      <alignment vertical="center" wrapText="1"/>
    </xf>
    <xf numFmtId="0" fontId="3" fillId="0" borderId="7" xfId="0" applyFont="1" applyBorder="1"/>
    <xf numFmtId="0" fontId="3" fillId="0" borderId="8" xfId="0" applyFont="1" applyBorder="1"/>
    <xf numFmtId="0" fontId="42" fillId="0" borderId="10" xfId="0" applyFont="1" applyBorder="1" applyAlignment="1">
      <alignment vertical="center" wrapText="1"/>
    </xf>
    <xf numFmtId="0" fontId="42" fillId="0" borderId="11" xfId="0" applyFont="1" applyBorder="1" applyAlignment="1">
      <alignment vertical="center" wrapText="1"/>
    </xf>
    <xf numFmtId="165" fontId="42" fillId="0" borderId="11" xfId="5" applyFont="1" applyFill="1" applyBorder="1" applyAlignment="1">
      <alignment vertical="center" wrapText="1"/>
    </xf>
    <xf numFmtId="165" fontId="3" fillId="0" borderId="11" xfId="5" applyFont="1" applyFill="1" applyBorder="1" applyAlignment="1">
      <alignment vertical="center" wrapText="1"/>
    </xf>
    <xf numFmtId="0" fontId="42" fillId="0" borderId="27" xfId="0" applyFont="1" applyBorder="1" applyAlignment="1">
      <alignment vertical="center" wrapText="1"/>
    </xf>
    <xf numFmtId="165" fontId="42" fillId="0" borderId="27" xfId="5" applyFont="1" applyFill="1" applyBorder="1" applyAlignment="1">
      <alignment vertical="center" wrapText="1"/>
    </xf>
    <xf numFmtId="165" fontId="3" fillId="0" borderId="27" xfId="5" applyFont="1" applyFill="1" applyBorder="1" applyAlignment="1">
      <alignment vertical="center" wrapText="1"/>
    </xf>
    <xf numFmtId="0" fontId="3" fillId="0" borderId="27" xfId="0" applyFont="1" applyBorder="1"/>
    <xf numFmtId="0" fontId="3" fillId="0" borderId="76" xfId="0" applyFont="1" applyBorder="1"/>
    <xf numFmtId="0" fontId="39" fillId="4" borderId="49" xfId="0" applyFont="1" applyFill="1" applyBorder="1" applyAlignment="1">
      <alignment horizontal="center" vertical="center"/>
    </xf>
    <xf numFmtId="0" fontId="42" fillId="5" borderId="13" xfId="0" applyFont="1" applyFill="1" applyBorder="1" applyAlignment="1">
      <alignment vertical="center" wrapText="1"/>
    </xf>
    <xf numFmtId="0" fontId="42" fillId="5" borderId="14" xfId="0" applyFont="1" applyFill="1" applyBorder="1" applyAlignment="1">
      <alignment vertical="center" wrapText="1"/>
    </xf>
    <xf numFmtId="165" fontId="42" fillId="5" borderId="14" xfId="5" applyFont="1" applyFill="1" applyBorder="1" applyAlignment="1">
      <alignment vertical="center" wrapText="1"/>
    </xf>
    <xf numFmtId="165" fontId="3" fillId="5" borderId="14" xfId="5" applyFont="1" applyFill="1" applyBorder="1" applyAlignment="1">
      <alignment vertical="center" wrapText="1"/>
    </xf>
    <xf numFmtId="0" fontId="3" fillId="5" borderId="14" xfId="0" applyFont="1" applyFill="1" applyBorder="1"/>
    <xf numFmtId="0" fontId="3" fillId="5" borderId="15" xfId="0" applyFont="1" applyFill="1" applyBorder="1"/>
    <xf numFmtId="0" fontId="42" fillId="5" borderId="75" xfId="0" applyFont="1" applyFill="1" applyBorder="1" applyAlignment="1">
      <alignment vertical="center" wrapText="1"/>
    </xf>
    <xf numFmtId="0" fontId="42" fillId="5" borderId="6" xfId="0" applyFont="1" applyFill="1" applyBorder="1" applyAlignment="1">
      <alignment vertical="center" wrapText="1"/>
    </xf>
    <xf numFmtId="0" fontId="42" fillId="5" borderId="7" xfId="0" applyFont="1" applyFill="1" applyBorder="1" applyAlignment="1">
      <alignment vertical="center" wrapText="1"/>
    </xf>
    <xf numFmtId="165" fontId="42" fillId="5" borderId="7" xfId="5" applyFont="1" applyFill="1" applyBorder="1" applyAlignment="1">
      <alignment vertical="center" wrapText="1"/>
    </xf>
    <xf numFmtId="165" fontId="3" fillId="5" borderId="7" xfId="5" applyFont="1" applyFill="1" applyBorder="1" applyAlignment="1">
      <alignment vertical="center" wrapText="1"/>
    </xf>
    <xf numFmtId="0" fontId="3" fillId="5" borderId="7" xfId="0" applyFont="1" applyFill="1" applyBorder="1"/>
    <xf numFmtId="0" fontId="3" fillId="5" borderId="8" xfId="0" applyFont="1" applyFill="1" applyBorder="1"/>
    <xf numFmtId="0" fontId="3" fillId="5" borderId="11" xfId="0" applyFont="1" applyFill="1" applyBorder="1"/>
    <xf numFmtId="0" fontId="3" fillId="5" borderId="12" xfId="0" applyFont="1" applyFill="1" applyBorder="1"/>
    <xf numFmtId="0" fontId="39" fillId="0" borderId="19" xfId="4" applyFont="1" applyBorder="1" applyAlignment="1">
      <alignment horizontal="center" vertical="center" wrapText="1"/>
    </xf>
    <xf numFmtId="0" fontId="39" fillId="0" borderId="20" xfId="4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4" fontId="39" fillId="0" borderId="20" xfId="5" applyNumberFormat="1" applyFont="1" applyFill="1" applyBorder="1" applyAlignment="1">
      <alignment horizontal="center" vertical="center" wrapText="1"/>
    </xf>
    <xf numFmtId="165" fontId="39" fillId="0" borderId="20" xfId="5" applyFont="1" applyFill="1" applyBorder="1" applyAlignment="1">
      <alignment horizontal="center" vertical="center" wrapText="1"/>
    </xf>
    <xf numFmtId="164" fontId="39" fillId="0" borderId="20" xfId="5" applyNumberFormat="1" applyFont="1" applyFill="1" applyBorder="1" applyAlignment="1">
      <alignment horizontal="center" vertical="center" wrapText="1"/>
    </xf>
    <xf numFmtId="164" fontId="39" fillId="0" borderId="21" xfId="5" applyNumberFormat="1" applyFont="1" applyFill="1" applyBorder="1" applyAlignment="1">
      <alignment horizontal="center" vertical="center" wrapText="1"/>
    </xf>
    <xf numFmtId="164" fontId="35" fillId="0" borderId="0" xfId="2" applyFont="1" applyBorder="1"/>
    <xf numFmtId="1" fontId="3" fillId="8" borderId="2" xfId="0" applyNumberFormat="1" applyFont="1" applyFill="1" applyBorder="1" applyAlignment="1">
      <alignment horizontal="center" vertical="top"/>
    </xf>
    <xf numFmtId="0" fontId="3" fillId="8" borderId="3" xfId="0" applyFont="1" applyFill="1" applyBorder="1"/>
    <xf numFmtId="0" fontId="3" fillId="8" borderId="3" xfId="0" applyFont="1" applyFill="1" applyBorder="1" applyAlignment="1">
      <alignment horizontal="center" vertical="center"/>
    </xf>
    <xf numFmtId="4" fontId="3" fillId="8" borderId="3" xfId="5" applyNumberFormat="1" applyFont="1" applyFill="1" applyBorder="1" applyAlignment="1">
      <alignment horizontal="center" vertical="center"/>
    </xf>
    <xf numFmtId="165" fontId="3" fillId="8" borderId="3" xfId="5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/>
    <xf numFmtId="0" fontId="3" fillId="8" borderId="0" xfId="0" applyFont="1" applyFill="1"/>
    <xf numFmtId="166" fontId="35" fillId="0" borderId="6" xfId="0" applyNumberFormat="1" applyFont="1" applyBorder="1" applyAlignment="1">
      <alignment horizontal="center" vertical="center"/>
    </xf>
    <xf numFmtId="0" fontId="35" fillId="9" borderId="7" xfId="0" applyFont="1" applyFill="1" applyBorder="1" applyAlignment="1">
      <alignment horizontal="justify" vertical="distributed" wrapText="1"/>
    </xf>
    <xf numFmtId="0" fontId="35" fillId="0" borderId="7" xfId="0" applyFont="1" applyBorder="1" applyAlignment="1">
      <alignment horizontal="center" vertical="distributed" wrapText="1"/>
    </xf>
    <xf numFmtId="4" fontId="35" fillId="0" borderId="7" xfId="5" applyNumberFormat="1" applyFont="1" applyBorder="1" applyAlignment="1">
      <alignment horizontal="center" vertical="center"/>
    </xf>
    <xf numFmtId="165" fontId="35" fillId="0" borderId="7" xfId="5" applyFont="1" applyBorder="1" applyAlignment="1">
      <alignment horizontal="center" vertical="center"/>
    </xf>
    <xf numFmtId="9" fontId="35" fillId="0" borderId="7" xfId="1" applyFont="1" applyBorder="1" applyAlignment="1">
      <alignment horizontal="center" vertical="center"/>
    </xf>
    <xf numFmtId="164" fontId="35" fillId="0" borderId="7" xfId="2" applyFont="1" applyBorder="1" applyAlignment="1">
      <alignment vertical="center"/>
    </xf>
    <xf numFmtId="164" fontId="35" fillId="0" borderId="8" xfId="2" applyFont="1" applyBorder="1" applyAlignment="1">
      <alignment vertical="center"/>
    </xf>
    <xf numFmtId="10" fontId="35" fillId="0" borderId="0" xfId="0" applyNumberFormat="1" applyFont="1"/>
    <xf numFmtId="9" fontId="35" fillId="0" borderId="0" xfId="0" applyNumberFormat="1" applyFont="1"/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wrapText="1"/>
    </xf>
    <xf numFmtId="0" fontId="3" fillId="8" borderId="7" xfId="0" applyFont="1" applyFill="1" applyBorder="1" applyAlignment="1">
      <alignment horizontal="center" vertical="center"/>
    </xf>
    <xf numFmtId="4" fontId="3" fillId="8" borderId="7" xfId="5" applyNumberFormat="1" applyFont="1" applyFill="1" applyBorder="1" applyAlignment="1">
      <alignment horizontal="center" vertical="center"/>
    </xf>
    <xf numFmtId="165" fontId="3" fillId="8" borderId="7" xfId="5" applyFont="1" applyFill="1" applyBorder="1" applyAlignment="1">
      <alignment horizontal="center" vertical="center"/>
    </xf>
    <xf numFmtId="165" fontId="35" fillId="8" borderId="7" xfId="5" applyFont="1" applyFill="1" applyBorder="1" applyAlignment="1">
      <alignment horizontal="center" vertical="center"/>
    </xf>
    <xf numFmtId="9" fontId="35" fillId="8" borderId="7" xfId="1" applyFont="1" applyFill="1" applyBorder="1" applyAlignment="1">
      <alignment horizontal="center" vertical="center"/>
    </xf>
    <xf numFmtId="164" fontId="35" fillId="8" borderId="7" xfId="2" applyFont="1" applyFill="1" applyBorder="1" applyAlignment="1">
      <alignment vertical="center"/>
    </xf>
    <xf numFmtId="164" fontId="35" fillId="8" borderId="8" xfId="2" applyFont="1" applyFill="1" applyBorder="1" applyAlignment="1">
      <alignment vertical="center"/>
    </xf>
    <xf numFmtId="0" fontId="3" fillId="8" borderId="0" xfId="0" applyFont="1" applyFill="1" applyAlignment="1">
      <alignment horizontal="center" vertical="center"/>
    </xf>
    <xf numFmtId="10" fontId="35" fillId="8" borderId="0" xfId="0" applyNumberFormat="1" applyFont="1" applyFill="1"/>
    <xf numFmtId="9" fontId="35" fillId="8" borderId="0" xfId="0" applyNumberFormat="1" applyFont="1" applyFill="1"/>
    <xf numFmtId="0" fontId="35" fillId="0" borderId="6" xfId="0" applyFont="1" applyBorder="1" applyAlignment="1">
      <alignment horizontal="center" vertical="center"/>
    </xf>
    <xf numFmtId="0" fontId="35" fillId="0" borderId="7" xfId="0" applyFont="1" applyBorder="1" applyAlignment="1">
      <alignment horizontal="justify" vertical="distributed" wrapText="1"/>
    </xf>
    <xf numFmtId="0" fontId="35" fillId="0" borderId="7" xfId="0" applyFont="1" applyBorder="1" applyAlignment="1">
      <alignment horizontal="justify" vertical="distributed"/>
    </xf>
    <xf numFmtId="0" fontId="35" fillId="0" borderId="7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23" xfId="0" applyFont="1" applyBorder="1" applyAlignment="1">
      <alignment horizontal="justify" vertical="distributed"/>
    </xf>
    <xf numFmtId="0" fontId="35" fillId="0" borderId="23" xfId="0" applyFont="1" applyBorder="1" applyAlignment="1">
      <alignment horizontal="center" vertical="distributed" wrapText="1"/>
    </xf>
    <xf numFmtId="4" fontId="35" fillId="0" borderId="23" xfId="5" applyNumberFormat="1" applyFont="1" applyBorder="1" applyAlignment="1">
      <alignment horizontal="center" vertical="center"/>
    </xf>
    <xf numFmtId="165" fontId="35" fillId="0" borderId="23" xfId="5" applyFont="1" applyBorder="1" applyAlignment="1">
      <alignment horizontal="center" vertical="center"/>
    </xf>
    <xf numFmtId="9" fontId="35" fillId="0" borderId="23" xfId="1" applyFont="1" applyBorder="1" applyAlignment="1">
      <alignment horizontal="center" vertical="center"/>
    </xf>
    <xf numFmtId="164" fontId="35" fillId="0" borderId="23" xfId="2" applyFont="1" applyBorder="1" applyAlignment="1">
      <alignment vertical="center"/>
    </xf>
    <xf numFmtId="164" fontId="35" fillId="0" borderId="24" xfId="2" applyFont="1" applyBorder="1" applyAlignment="1">
      <alignment vertical="center"/>
    </xf>
    <xf numFmtId="0" fontId="35" fillId="0" borderId="0" xfId="0" applyFont="1" applyAlignment="1">
      <alignment horizontal="center" vertical="center" wrapText="1"/>
    </xf>
    <xf numFmtId="4" fontId="35" fillId="0" borderId="0" xfId="5" applyNumberFormat="1" applyFont="1" applyBorder="1" applyAlignment="1">
      <alignment horizontal="center" vertical="center"/>
    </xf>
    <xf numFmtId="165" fontId="35" fillId="0" borderId="0" xfId="5" applyFont="1" applyBorder="1" applyAlignment="1">
      <alignment horizontal="center" vertical="center"/>
    </xf>
    <xf numFmtId="9" fontId="35" fillId="0" borderId="0" xfId="1" applyFont="1" applyBorder="1" applyAlignment="1">
      <alignment horizontal="center" vertical="center"/>
    </xf>
    <xf numFmtId="164" fontId="35" fillId="0" borderId="0" xfId="2" applyFont="1" applyBorder="1" applyAlignment="1">
      <alignment vertical="center"/>
    </xf>
    <xf numFmtId="49" fontId="3" fillId="0" borderId="25" xfId="0" applyNumberFormat="1" applyFont="1" applyBorder="1" applyAlignment="1">
      <alignment horizontal="center" vertical="top"/>
    </xf>
    <xf numFmtId="0" fontId="3" fillId="0" borderId="0" xfId="0" applyFont="1" applyAlignment="1">
      <alignment wrapText="1"/>
    </xf>
    <xf numFmtId="164" fontId="3" fillId="0" borderId="7" xfId="0" applyNumberFormat="1" applyFont="1" applyBorder="1"/>
    <xf numFmtId="164" fontId="3" fillId="0" borderId="0" xfId="0" applyNumberFormat="1" applyFont="1" applyAlignment="1">
      <alignment horizontal="center"/>
    </xf>
    <xf numFmtId="164" fontId="3" fillId="0" borderId="8" xfId="0" applyNumberFormat="1" applyFont="1" applyBorder="1"/>
    <xf numFmtId="0" fontId="43" fillId="0" borderId="0" xfId="0" applyFont="1" applyAlignment="1">
      <alignment horizontal="center" vertical="center"/>
    </xf>
    <xf numFmtId="0" fontId="3" fillId="8" borderId="3" xfId="0" applyFont="1" applyFill="1" applyBorder="1" applyAlignment="1">
      <alignment wrapText="1"/>
    </xf>
    <xf numFmtId="0" fontId="35" fillId="8" borderId="0" xfId="0" applyFont="1" applyFill="1"/>
    <xf numFmtId="0" fontId="35" fillId="8" borderId="0" xfId="0" applyFont="1" applyFill="1" applyAlignment="1">
      <alignment horizontal="center" vertical="center"/>
    </xf>
    <xf numFmtId="0" fontId="35" fillId="0" borderId="23" xfId="0" applyFont="1" applyBorder="1" applyAlignment="1">
      <alignment horizontal="justify" vertical="distributed" wrapText="1"/>
    </xf>
    <xf numFmtId="164" fontId="35" fillId="0" borderId="0" xfId="2" applyFont="1" applyAlignment="1">
      <alignment horizontal="center"/>
    </xf>
    <xf numFmtId="0" fontId="35" fillId="0" borderId="25" xfId="0" applyFont="1" applyBorder="1" applyAlignment="1">
      <alignment horizontal="center" vertical="distributed"/>
    </xf>
    <xf numFmtId="165" fontId="35" fillId="0" borderId="26" xfId="5" applyFont="1" applyFill="1" applyBorder="1" applyAlignment="1">
      <alignment horizontal="center" vertical="center"/>
    </xf>
    <xf numFmtId="164" fontId="3" fillId="0" borderId="11" xfId="0" applyNumberFormat="1" applyFont="1" applyBorder="1"/>
    <xf numFmtId="164" fontId="3" fillId="0" borderId="12" xfId="0" applyNumberFormat="1" applyFont="1" applyBorder="1"/>
    <xf numFmtId="1" fontId="3" fillId="8" borderId="2" xfId="0" applyNumberFormat="1" applyFont="1" applyFill="1" applyBorder="1" applyAlignment="1">
      <alignment horizontal="center" vertical="center"/>
    </xf>
    <xf numFmtId="0" fontId="3" fillId="8" borderId="3" xfId="0" applyFont="1" applyFill="1" applyBorder="1" applyAlignment="1">
      <alignment vertical="center" wrapText="1"/>
    </xf>
    <xf numFmtId="0" fontId="35" fillId="8" borderId="3" xfId="0" applyFont="1" applyFill="1" applyBorder="1" applyAlignment="1">
      <alignment vertical="center"/>
    </xf>
    <xf numFmtId="0" fontId="3" fillId="8" borderId="4" xfId="0" applyFont="1" applyFill="1" applyBorder="1" applyAlignment="1">
      <alignment vertical="center"/>
    </xf>
    <xf numFmtId="0" fontId="3" fillId="8" borderId="0" xfId="0" applyFont="1" applyFill="1" applyAlignment="1">
      <alignment vertical="center"/>
    </xf>
    <xf numFmtId="1" fontId="3" fillId="8" borderId="6" xfId="0" applyNumberFormat="1" applyFont="1" applyFill="1" applyBorder="1" applyAlignment="1">
      <alignment horizontal="center" vertical="top"/>
    </xf>
    <xf numFmtId="0" fontId="35" fillId="0" borderId="23" xfId="0" applyFont="1" applyBorder="1" applyAlignment="1">
      <alignment horizontal="center" vertical="center"/>
    </xf>
    <xf numFmtId="166" fontId="35" fillId="0" borderId="22" xfId="0" applyNumberFormat="1" applyFont="1" applyBorder="1" applyAlignment="1">
      <alignment horizontal="center" vertical="center"/>
    </xf>
    <xf numFmtId="164" fontId="35" fillId="0" borderId="0" xfId="0" applyNumberFormat="1" applyFont="1"/>
    <xf numFmtId="4" fontId="35" fillId="0" borderId="7" xfId="5" applyNumberFormat="1" applyFont="1" applyFill="1" applyBorder="1" applyAlignment="1">
      <alignment horizontal="center" vertical="center"/>
    </xf>
    <xf numFmtId="0" fontId="39" fillId="0" borderId="13" xfId="4" applyFont="1" applyBorder="1" applyAlignment="1">
      <alignment horizontal="center" vertical="center" wrapText="1"/>
    </xf>
    <xf numFmtId="0" fontId="39" fillId="0" borderId="14" xfId="4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4" fontId="39" fillId="0" borderId="14" xfId="5" applyNumberFormat="1" applyFont="1" applyFill="1" applyBorder="1" applyAlignment="1">
      <alignment horizontal="center" vertical="center" wrapText="1"/>
    </xf>
    <xf numFmtId="165" fontId="39" fillId="0" borderId="14" xfId="5" applyFont="1" applyFill="1" applyBorder="1" applyAlignment="1">
      <alignment horizontal="center" vertical="center" wrapText="1"/>
    </xf>
    <xf numFmtId="164" fontId="39" fillId="0" borderId="14" xfId="5" applyNumberFormat="1" applyFont="1" applyFill="1" applyBorder="1" applyAlignment="1">
      <alignment horizontal="center" vertical="center" wrapText="1"/>
    </xf>
    <xf numFmtId="164" fontId="39" fillId="0" borderId="15" xfId="5" applyNumberFormat="1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justify" vertical="center" wrapText="1"/>
    </xf>
    <xf numFmtId="44" fontId="35" fillId="8" borderId="0" xfId="0" applyNumberFormat="1" applyFont="1" applyFill="1"/>
    <xf numFmtId="0" fontId="3" fillId="8" borderId="7" xfId="0" applyFont="1" applyFill="1" applyBorder="1" applyAlignment="1">
      <alignment vertical="center" wrapText="1"/>
    </xf>
    <xf numFmtId="165" fontId="35" fillId="0" borderId="7" xfId="5" applyFont="1" applyFill="1" applyBorder="1" applyAlignment="1">
      <alignment horizontal="center" vertical="center"/>
    </xf>
    <xf numFmtId="0" fontId="35" fillId="8" borderId="0" xfId="0" applyFont="1" applyFill="1" applyAlignment="1">
      <alignment vertical="center"/>
    </xf>
    <xf numFmtId="0" fontId="35" fillId="0" borderId="28" xfId="0" applyFont="1" applyBorder="1" applyAlignment="1">
      <alignment horizontal="center" vertical="center"/>
    </xf>
    <xf numFmtId="165" fontId="35" fillId="0" borderId="29" xfId="5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top"/>
    </xf>
    <xf numFmtId="164" fontId="3" fillId="0" borderId="33" xfId="0" applyNumberFormat="1" applyFont="1" applyBorder="1"/>
    <xf numFmtId="165" fontId="3" fillId="0" borderId="0" xfId="0" applyNumberFormat="1" applyFont="1" applyAlignment="1">
      <alignment horizontal="center"/>
    </xf>
    <xf numFmtId="164" fontId="3" fillId="0" borderId="29" xfId="0" applyNumberFormat="1" applyFont="1" applyBorder="1"/>
    <xf numFmtId="0" fontId="5" fillId="10" borderId="7" xfId="0" applyFont="1" applyFill="1" applyBorder="1" applyAlignment="1">
      <alignment horizontal="center" vertical="center"/>
    </xf>
    <xf numFmtId="9" fontId="35" fillId="8" borderId="3" xfId="1" applyFont="1" applyFill="1" applyBorder="1" applyAlignment="1">
      <alignment horizontal="center" vertical="center"/>
    </xf>
    <xf numFmtId="164" fontId="35" fillId="8" borderId="3" xfId="2" applyFont="1" applyFill="1" applyBorder="1" applyAlignment="1">
      <alignment vertical="center"/>
    </xf>
    <xf numFmtId="164" fontId="35" fillId="8" borderId="4" xfId="2" applyFont="1" applyFill="1" applyBorder="1" applyAlignment="1">
      <alignment vertical="center"/>
    </xf>
    <xf numFmtId="0" fontId="35" fillId="0" borderId="0" xfId="0" applyFont="1" applyAlignment="1">
      <alignment horizontal="center" vertical="distributed"/>
    </xf>
    <xf numFmtId="164" fontId="3" fillId="0" borderId="34" xfId="0" applyNumberFormat="1" applyFont="1" applyBorder="1"/>
    <xf numFmtId="2" fontId="3" fillId="8" borderId="7" xfId="5" applyNumberFormat="1" applyFont="1" applyFill="1" applyBorder="1" applyAlignment="1">
      <alignment horizontal="center" vertical="center"/>
    </xf>
    <xf numFmtId="0" fontId="35" fillId="0" borderId="7" xfId="0" applyFont="1" applyBorder="1" applyAlignment="1">
      <alignment horizontal="center" vertical="center" wrapText="1"/>
    </xf>
    <xf numFmtId="0" fontId="35" fillId="9" borderId="0" xfId="0" applyFont="1" applyFill="1"/>
    <xf numFmtId="0" fontId="35" fillId="9" borderId="6" xfId="0" applyFont="1" applyFill="1" applyBorder="1" applyAlignment="1">
      <alignment horizontal="center" vertical="center"/>
    </xf>
    <xf numFmtId="0" fontId="35" fillId="9" borderId="7" xfId="0" applyFont="1" applyFill="1" applyBorder="1" applyAlignment="1">
      <alignment vertical="center" wrapText="1"/>
    </xf>
    <xf numFmtId="0" fontId="35" fillId="9" borderId="7" xfId="0" applyFont="1" applyFill="1" applyBorder="1" applyAlignment="1">
      <alignment horizontal="center" vertical="center"/>
    </xf>
    <xf numFmtId="165" fontId="35" fillId="9" borderId="7" xfId="5" applyFont="1" applyFill="1" applyBorder="1" applyAlignment="1">
      <alignment horizontal="center" vertical="center"/>
    </xf>
    <xf numFmtId="0" fontId="35" fillId="0" borderId="7" xfId="0" applyFont="1" applyBorder="1" applyAlignment="1">
      <alignment vertical="center" wrapText="1"/>
    </xf>
    <xf numFmtId="0" fontId="35" fillId="9" borderId="0" xfId="0" applyFont="1" applyFill="1" applyAlignment="1">
      <alignment vertical="center"/>
    </xf>
    <xf numFmtId="2" fontId="35" fillId="0" borderId="7" xfId="5" applyNumberFormat="1" applyFont="1" applyBorder="1" applyAlignment="1">
      <alignment horizontal="center" vertical="center"/>
    </xf>
    <xf numFmtId="2" fontId="35" fillId="0" borderId="23" xfId="5" applyNumberFormat="1" applyFont="1" applyBorder="1" applyAlignment="1">
      <alignment horizontal="center" vertical="center"/>
    </xf>
    <xf numFmtId="164" fontId="3" fillId="8" borderId="3" xfId="5" applyNumberFormat="1" applyFont="1" applyFill="1" applyBorder="1" applyAlignment="1">
      <alignment horizontal="center" vertical="center"/>
    </xf>
    <xf numFmtId="166" fontId="35" fillId="0" borderId="7" xfId="0" applyNumberFormat="1" applyFont="1" applyBorder="1" applyAlignment="1">
      <alignment horizontal="left" vertical="center" wrapText="1"/>
    </xf>
    <xf numFmtId="166" fontId="35" fillId="0" borderId="7" xfId="0" applyNumberFormat="1" applyFont="1" applyBorder="1" applyAlignment="1">
      <alignment horizontal="center" vertical="center"/>
    </xf>
    <xf numFmtId="2" fontId="35" fillId="0" borderId="7" xfId="0" applyNumberFormat="1" applyFont="1" applyBorder="1" applyAlignment="1">
      <alignment horizontal="center" vertical="center"/>
    </xf>
    <xf numFmtId="44" fontId="35" fillId="0" borderId="7" xfId="0" applyNumberFormat="1" applyFont="1" applyBorder="1" applyAlignment="1">
      <alignment horizontal="center" vertical="center"/>
    </xf>
    <xf numFmtId="44" fontId="35" fillId="0" borderId="7" xfId="0" applyNumberFormat="1" applyFont="1" applyBorder="1" applyAlignment="1">
      <alignment horizontal="left" vertical="distributed" wrapText="1"/>
    </xf>
    <xf numFmtId="44" fontId="35" fillId="0" borderId="7" xfId="0" applyNumberFormat="1" applyFont="1" applyBorder="1" applyAlignment="1">
      <alignment horizontal="justify" vertical="distributed" wrapText="1"/>
    </xf>
    <xf numFmtId="44" fontId="35" fillId="8" borderId="7" xfId="0" applyNumberFormat="1" applyFont="1" applyFill="1" applyBorder="1" applyAlignment="1">
      <alignment horizontal="center" vertical="center"/>
    </xf>
    <xf numFmtId="2" fontId="35" fillId="0" borderId="7" xfId="0" applyNumberFormat="1" applyFont="1" applyBorder="1" applyAlignment="1">
      <alignment horizontal="center" vertical="center" wrapText="1"/>
    </xf>
    <xf numFmtId="0" fontId="3" fillId="7" borderId="0" xfId="0" applyFont="1" applyFill="1"/>
    <xf numFmtId="0" fontId="35" fillId="0" borderId="7" xfId="0" applyFont="1" applyBorder="1" applyAlignment="1">
      <alignment wrapText="1"/>
    </xf>
    <xf numFmtId="0" fontId="35" fillId="0" borderId="7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center" vertical="distributed" wrapText="1"/>
    </xf>
    <xf numFmtId="0" fontId="35" fillId="0" borderId="7" xfId="0" applyFont="1" applyBorder="1" applyAlignment="1">
      <alignment horizontal="left" vertical="distributed" wrapText="1"/>
    </xf>
    <xf numFmtId="44" fontId="35" fillId="0" borderId="7" xfId="0" applyNumberFormat="1" applyFont="1" applyBorder="1" applyAlignment="1">
      <alignment horizontal="center" vertical="distributed" wrapText="1"/>
    </xf>
    <xf numFmtId="0" fontId="50" fillId="11" borderId="0" xfId="0" applyFont="1" applyFill="1"/>
    <xf numFmtId="0" fontId="35" fillId="0" borderId="22" xfId="0" applyFont="1" applyBorder="1" applyAlignment="1">
      <alignment horizontal="center" vertical="distributed"/>
    </xf>
    <xf numFmtId="0" fontId="35" fillId="0" borderId="23" xfId="0" applyFont="1" applyBorder="1" applyAlignment="1">
      <alignment wrapText="1"/>
    </xf>
    <xf numFmtId="4" fontId="35" fillId="0" borderId="23" xfId="5" applyNumberFormat="1" applyFont="1" applyFill="1" applyBorder="1" applyAlignment="1">
      <alignment horizontal="center" vertical="center"/>
    </xf>
    <xf numFmtId="165" fontId="35" fillId="0" borderId="23" xfId="5" applyFont="1" applyFill="1" applyBorder="1" applyAlignment="1">
      <alignment horizontal="center" vertical="center"/>
    </xf>
    <xf numFmtId="44" fontId="35" fillId="0" borderId="23" xfId="0" applyNumberFormat="1" applyFont="1" applyBorder="1" applyAlignment="1">
      <alignment horizontal="center" vertical="center"/>
    </xf>
    <xf numFmtId="0" fontId="35" fillId="7" borderId="0" xfId="0" applyFont="1" applyFill="1"/>
    <xf numFmtId="2" fontId="35" fillId="8" borderId="0" xfId="0" applyNumberFormat="1" applyFont="1" applyFill="1"/>
    <xf numFmtId="2" fontId="35" fillId="0" borderId="0" xfId="0" applyNumberFormat="1" applyFont="1"/>
    <xf numFmtId="1" fontId="35" fillId="0" borderId="0" xfId="0" applyNumberFormat="1" applyFont="1"/>
    <xf numFmtId="2" fontId="35" fillId="0" borderId="0" xfId="2" applyNumberFormat="1" applyFont="1" applyBorder="1" applyAlignment="1">
      <alignment wrapText="1"/>
    </xf>
    <xf numFmtId="2" fontId="35" fillId="0" borderId="0" xfId="0" applyNumberFormat="1" applyFont="1" applyAlignment="1">
      <alignment wrapText="1"/>
    </xf>
    <xf numFmtId="4" fontId="35" fillId="9" borderId="7" xfId="5" applyNumberFormat="1" applyFont="1" applyFill="1" applyBorder="1" applyAlignment="1">
      <alignment horizontal="center" vertical="center"/>
    </xf>
    <xf numFmtId="0" fontId="3" fillId="9" borderId="0" xfId="0" applyFont="1" applyFill="1"/>
    <xf numFmtId="2" fontId="3" fillId="9" borderId="0" xfId="0" applyNumberFormat="1" applyFont="1" applyFill="1"/>
    <xf numFmtId="1" fontId="3" fillId="9" borderId="0" xfId="0" applyNumberFormat="1" applyFont="1" applyFill="1"/>
    <xf numFmtId="0" fontId="3" fillId="0" borderId="0" xfId="0" applyFont="1" applyAlignment="1">
      <alignment vertical="center" wrapText="1"/>
    </xf>
    <xf numFmtId="0" fontId="35" fillId="12" borderId="0" xfId="0" applyFont="1" applyFill="1"/>
    <xf numFmtId="0" fontId="3" fillId="12" borderId="0" xfId="0" applyFont="1" applyFill="1"/>
    <xf numFmtId="0" fontId="3" fillId="0" borderId="35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4" fontId="3" fillId="0" borderId="36" xfId="5" applyNumberFormat="1" applyFont="1" applyBorder="1" applyAlignment="1">
      <alignment horizontal="center" vertical="center" wrapText="1"/>
    </xf>
    <xf numFmtId="165" fontId="3" fillId="0" borderId="36" xfId="5" applyFont="1" applyBorder="1" applyAlignment="1">
      <alignment horizontal="center" vertical="center" wrapText="1"/>
    </xf>
    <xf numFmtId="164" fontId="39" fillId="0" borderId="36" xfId="5" applyNumberFormat="1" applyFont="1" applyFill="1" applyBorder="1" applyAlignment="1">
      <alignment horizontal="center" vertical="center" wrapText="1"/>
    </xf>
    <xf numFmtId="164" fontId="39" fillId="0" borderId="37" xfId="5" applyNumberFormat="1" applyFont="1" applyFill="1" applyBorder="1" applyAlignment="1">
      <alignment horizontal="center" vertical="center" wrapText="1"/>
    </xf>
    <xf numFmtId="1" fontId="3" fillId="8" borderId="77" xfId="0" applyNumberFormat="1" applyFont="1" applyFill="1" applyBorder="1" applyAlignment="1">
      <alignment horizontal="center" vertical="top"/>
    </xf>
    <xf numFmtId="0" fontId="3" fillId="8" borderId="78" xfId="0" applyFont="1" applyFill="1" applyBorder="1"/>
    <xf numFmtId="0" fontId="3" fillId="8" borderId="78" xfId="0" applyFont="1" applyFill="1" applyBorder="1" applyAlignment="1">
      <alignment horizontal="center" vertical="center"/>
    </xf>
    <xf numFmtId="4" fontId="3" fillId="8" borderId="78" xfId="5" applyNumberFormat="1" applyFont="1" applyFill="1" applyBorder="1" applyAlignment="1">
      <alignment horizontal="center" vertical="center"/>
    </xf>
    <xf numFmtId="165" fontId="3" fillId="8" borderId="78" xfId="5" applyFont="1" applyFill="1" applyBorder="1" applyAlignment="1">
      <alignment horizontal="center" vertical="center"/>
    </xf>
    <xf numFmtId="9" fontId="35" fillId="8" borderId="78" xfId="1" applyFont="1" applyFill="1" applyBorder="1" applyAlignment="1">
      <alignment horizontal="center" vertical="center"/>
    </xf>
    <xf numFmtId="164" fontId="35" fillId="8" borderId="78" xfId="2" applyFont="1" applyFill="1" applyBorder="1" applyAlignment="1">
      <alignment vertical="center"/>
    </xf>
    <xf numFmtId="164" fontId="35" fillId="8" borderId="79" xfId="2" applyFont="1" applyFill="1" applyBorder="1" applyAlignment="1">
      <alignment vertical="center"/>
    </xf>
    <xf numFmtId="166" fontId="35" fillId="0" borderId="80" xfId="0" applyNumberFormat="1" applyFont="1" applyBorder="1" applyAlignment="1">
      <alignment horizontal="center" vertical="center"/>
    </xf>
    <xf numFmtId="0" fontId="35" fillId="0" borderId="34" xfId="0" applyFont="1" applyBorder="1" applyAlignment="1">
      <alignment horizontal="justify" vertical="distributed" wrapText="1"/>
    </xf>
    <xf numFmtId="0" fontId="35" fillId="0" borderId="34" xfId="0" applyFont="1" applyBorder="1" applyAlignment="1">
      <alignment horizontal="center" vertical="distributed" wrapText="1"/>
    </xf>
    <xf numFmtId="4" fontId="35" fillId="0" borderId="34" xfId="5" applyNumberFormat="1" applyFont="1" applyBorder="1" applyAlignment="1">
      <alignment horizontal="center" vertical="center"/>
    </xf>
    <xf numFmtId="165" fontId="35" fillId="0" borderId="34" xfId="5" applyFont="1" applyBorder="1" applyAlignment="1">
      <alignment horizontal="center" vertical="center"/>
    </xf>
    <xf numFmtId="9" fontId="35" fillId="0" borderId="34" xfId="1" applyFont="1" applyBorder="1" applyAlignment="1">
      <alignment horizontal="center" vertical="center"/>
    </xf>
    <xf numFmtId="164" fontId="35" fillId="0" borderId="34" xfId="2" applyFont="1" applyBorder="1" applyAlignment="1">
      <alignment vertical="center"/>
    </xf>
    <xf numFmtId="164" fontId="35" fillId="0" borderId="81" xfId="2" applyFont="1" applyBorder="1" applyAlignment="1">
      <alignment vertical="center"/>
    </xf>
    <xf numFmtId="0" fontId="3" fillId="8" borderId="80" xfId="0" applyFont="1" applyFill="1" applyBorder="1" applyAlignment="1">
      <alignment horizontal="center" vertical="center"/>
    </xf>
    <xf numFmtId="0" fontId="3" fillId="8" borderId="34" xfId="0" applyFont="1" applyFill="1" applyBorder="1" applyAlignment="1">
      <alignment wrapText="1"/>
    </xf>
    <xf numFmtId="0" fontId="3" fillId="8" borderId="34" xfId="0" applyFont="1" applyFill="1" applyBorder="1" applyAlignment="1">
      <alignment horizontal="center" vertical="center"/>
    </xf>
    <xf numFmtId="4" fontId="3" fillId="8" borderId="34" xfId="5" applyNumberFormat="1" applyFont="1" applyFill="1" applyBorder="1" applyAlignment="1">
      <alignment horizontal="center" vertical="center"/>
    </xf>
    <xf numFmtId="165" fontId="3" fillId="8" borderId="34" xfId="5" applyFont="1" applyFill="1" applyBorder="1" applyAlignment="1">
      <alignment horizontal="center" vertical="center"/>
    </xf>
    <xf numFmtId="165" fontId="35" fillId="8" borderId="34" xfId="5" applyFont="1" applyFill="1" applyBorder="1" applyAlignment="1">
      <alignment horizontal="center" vertical="center"/>
    </xf>
    <xf numFmtId="9" fontId="35" fillId="8" borderId="34" xfId="1" applyFont="1" applyFill="1" applyBorder="1" applyAlignment="1">
      <alignment horizontal="center" vertical="center"/>
    </xf>
    <xf numFmtId="164" fontId="35" fillId="8" borderId="34" xfId="2" applyFont="1" applyFill="1" applyBorder="1" applyAlignment="1">
      <alignment vertical="center"/>
    </xf>
    <xf numFmtId="164" fontId="35" fillId="8" borderId="81" xfId="2" applyFont="1" applyFill="1" applyBorder="1" applyAlignment="1">
      <alignment vertical="center"/>
    </xf>
    <xf numFmtId="0" fontId="35" fillId="0" borderId="80" xfId="0" applyFont="1" applyBorder="1" applyAlignment="1">
      <alignment horizontal="center" vertical="center"/>
    </xf>
    <xf numFmtId="0" fontId="35" fillId="9" borderId="34" xfId="0" applyFont="1" applyFill="1" applyBorder="1" applyAlignment="1">
      <alignment horizontal="justify" vertical="distributed" wrapText="1"/>
    </xf>
    <xf numFmtId="0" fontId="35" fillId="0" borderId="34" xfId="0" applyFont="1" applyBorder="1" applyAlignment="1">
      <alignment horizontal="justify" vertical="distributed"/>
    </xf>
    <xf numFmtId="4" fontId="35" fillId="0" borderId="34" xfId="5" applyNumberFormat="1" applyFont="1" applyFill="1" applyBorder="1" applyAlignment="1">
      <alignment horizontal="center" vertical="center"/>
    </xf>
    <xf numFmtId="165" fontId="35" fillId="0" borderId="34" xfId="5" applyFont="1" applyFill="1" applyBorder="1" applyAlignment="1">
      <alignment horizontal="center" vertical="center"/>
    </xf>
    <xf numFmtId="0" fontId="35" fillId="0" borderId="80" xfId="0" applyFont="1" applyBorder="1" applyAlignment="1">
      <alignment horizontal="center" vertical="distributed" wrapText="1"/>
    </xf>
    <xf numFmtId="0" fontId="35" fillId="0" borderId="34" xfId="0" applyFont="1" applyBorder="1" applyAlignment="1">
      <alignment horizontal="left" vertical="distributed" wrapText="1"/>
    </xf>
    <xf numFmtId="2" fontId="35" fillId="0" borderId="34" xfId="0" applyNumberFormat="1" applyFont="1" applyBorder="1" applyAlignment="1">
      <alignment horizontal="center" vertical="center" wrapText="1"/>
    </xf>
    <xf numFmtId="44" fontId="35" fillId="0" borderId="34" xfId="0" applyNumberFormat="1" applyFont="1" applyBorder="1" applyAlignment="1">
      <alignment horizontal="center" vertical="distributed" wrapText="1"/>
    </xf>
    <xf numFmtId="0" fontId="35" fillId="0" borderId="34" xfId="0" applyFont="1" applyBorder="1" applyAlignment="1">
      <alignment horizontal="center" vertical="center"/>
    </xf>
    <xf numFmtId="0" fontId="35" fillId="0" borderId="82" xfId="0" applyFont="1" applyBorder="1" applyAlignment="1">
      <alignment horizontal="center" vertical="center"/>
    </xf>
    <xf numFmtId="0" fontId="35" fillId="0" borderId="83" xfId="0" applyFont="1" applyBorder="1" applyAlignment="1">
      <alignment horizontal="justify" vertical="distributed" wrapText="1"/>
    </xf>
    <xf numFmtId="0" fontId="35" fillId="0" borderId="83" xfId="0" applyFont="1" applyBorder="1" applyAlignment="1">
      <alignment horizontal="center" vertical="distributed" wrapText="1"/>
    </xf>
    <xf numFmtId="4" fontId="35" fillId="0" borderId="83" xfId="5" applyNumberFormat="1" applyFont="1" applyBorder="1" applyAlignment="1">
      <alignment horizontal="center" vertical="center"/>
    </xf>
    <xf numFmtId="165" fontId="35" fillId="0" borderId="83" xfId="5" applyFont="1" applyBorder="1" applyAlignment="1">
      <alignment horizontal="center" vertical="center"/>
    </xf>
    <xf numFmtId="9" fontId="35" fillId="0" borderId="83" xfId="1" applyFont="1" applyBorder="1" applyAlignment="1">
      <alignment horizontal="center" vertical="center"/>
    </xf>
    <xf numFmtId="164" fontId="35" fillId="0" borderId="83" xfId="2" applyFont="1" applyBorder="1" applyAlignment="1">
      <alignment vertical="center"/>
    </xf>
    <xf numFmtId="164" fontId="35" fillId="0" borderId="84" xfId="2" applyFont="1" applyBorder="1" applyAlignment="1">
      <alignment vertical="center"/>
    </xf>
    <xf numFmtId="4" fontId="35" fillId="0" borderId="0" xfId="5" applyNumberFormat="1" applyFont="1" applyAlignment="1">
      <alignment horizontal="center" vertical="center"/>
    </xf>
    <xf numFmtId="165" fontId="35" fillId="0" borderId="0" xfId="5" applyFont="1" applyAlignment="1">
      <alignment horizontal="center" vertical="center"/>
    </xf>
    <xf numFmtId="0" fontId="39" fillId="0" borderId="42" xfId="4" applyFont="1" applyBorder="1" applyAlignment="1">
      <alignment horizontal="center" vertical="center" wrapText="1"/>
    </xf>
    <xf numFmtId="164" fontId="39" fillId="0" borderId="43" xfId="5" applyNumberFormat="1" applyFont="1" applyFill="1" applyBorder="1" applyAlignment="1">
      <alignment horizontal="center" vertical="center" wrapText="1"/>
    </xf>
    <xf numFmtId="0" fontId="0" fillId="8" borderId="0" xfId="0" applyFill="1"/>
    <xf numFmtId="1" fontId="3" fillId="8" borderId="2" xfId="0" applyNumberFormat="1" applyFont="1" applyFill="1" applyBorder="1" applyAlignment="1">
      <alignment horizontal="center" vertical="top" wrapText="1"/>
    </xf>
    <xf numFmtId="0" fontId="3" fillId="8" borderId="3" xfId="0" applyFont="1" applyFill="1" applyBorder="1" applyAlignment="1">
      <alignment horizontal="center" vertical="center" wrapText="1"/>
    </xf>
    <xf numFmtId="4" fontId="3" fillId="8" borderId="3" xfId="5" applyNumberFormat="1" applyFont="1" applyFill="1" applyBorder="1" applyAlignment="1">
      <alignment horizontal="center" vertical="center" wrapText="1"/>
    </xf>
    <xf numFmtId="165" fontId="3" fillId="8" borderId="3" xfId="5" applyFont="1" applyFill="1" applyBorder="1" applyAlignment="1">
      <alignment horizontal="right" vertical="center" wrapText="1"/>
    </xf>
    <xf numFmtId="164" fontId="3" fillId="8" borderId="3" xfId="5" applyNumberFormat="1" applyFont="1" applyFill="1" applyBorder="1" applyAlignment="1">
      <alignment horizontal="center" vertical="center" wrapText="1"/>
    </xf>
    <xf numFmtId="0" fontId="0" fillId="12" borderId="0" xfId="0" applyFill="1"/>
    <xf numFmtId="166" fontId="35" fillId="0" borderId="6" xfId="0" applyNumberFormat="1" applyFont="1" applyBorder="1" applyAlignment="1">
      <alignment horizontal="center" vertical="center" wrapText="1"/>
    </xf>
    <xf numFmtId="166" fontId="35" fillId="0" borderId="7" xfId="0" applyNumberFormat="1" applyFont="1" applyBorder="1" applyAlignment="1">
      <alignment horizontal="center" vertical="center" wrapText="1"/>
    </xf>
    <xf numFmtId="44" fontId="35" fillId="0" borderId="7" xfId="0" applyNumberFormat="1" applyFont="1" applyBorder="1" applyAlignment="1">
      <alignment horizontal="right" vertical="center" wrapText="1"/>
    </xf>
    <xf numFmtId="164" fontId="35" fillId="0" borderId="7" xfId="5" applyNumberFormat="1" applyFont="1" applyBorder="1" applyAlignment="1">
      <alignment horizontal="center" vertical="center" wrapText="1"/>
    </xf>
    <xf numFmtId="4" fontId="35" fillId="0" borderId="7" xfId="5" applyNumberFormat="1" applyFont="1" applyBorder="1" applyAlignment="1">
      <alignment horizontal="center" vertical="center" wrapText="1"/>
    </xf>
    <xf numFmtId="165" fontId="35" fillId="0" borderId="7" xfId="5" applyFont="1" applyBorder="1" applyAlignment="1">
      <alignment horizontal="right" vertical="center" wrapText="1"/>
    </xf>
    <xf numFmtId="1" fontId="3" fillId="8" borderId="6" xfId="0" applyNumberFormat="1" applyFont="1" applyFill="1" applyBorder="1" applyAlignment="1">
      <alignment horizontal="center" vertical="top" wrapText="1"/>
    </xf>
    <xf numFmtId="0" fontId="3" fillId="8" borderId="7" xfId="0" applyFont="1" applyFill="1" applyBorder="1" applyAlignment="1">
      <alignment horizontal="center" vertical="center" wrapText="1"/>
    </xf>
    <xf numFmtId="4" fontId="3" fillId="8" borderId="7" xfId="5" applyNumberFormat="1" applyFont="1" applyFill="1" applyBorder="1" applyAlignment="1">
      <alignment horizontal="center" vertical="center" wrapText="1"/>
    </xf>
    <xf numFmtId="165" fontId="3" fillId="8" borderId="7" xfId="5" applyFont="1" applyFill="1" applyBorder="1" applyAlignment="1">
      <alignment horizontal="right" vertical="center" wrapText="1"/>
    </xf>
    <xf numFmtId="164" fontId="35" fillId="8" borderId="7" xfId="5" applyNumberFormat="1" applyFont="1" applyFill="1" applyBorder="1" applyAlignment="1">
      <alignment horizontal="center" vertical="center" wrapText="1"/>
    </xf>
    <xf numFmtId="166" fontId="35" fillId="9" borderId="6" xfId="0" applyNumberFormat="1" applyFont="1" applyFill="1" applyBorder="1" applyAlignment="1">
      <alignment horizontal="center" vertical="center" wrapText="1"/>
    </xf>
    <xf numFmtId="0" fontId="35" fillId="9" borderId="7" xfId="0" applyFont="1" applyFill="1" applyBorder="1" applyAlignment="1">
      <alignment horizontal="center" vertical="distributed" wrapText="1"/>
    </xf>
    <xf numFmtId="2" fontId="35" fillId="9" borderId="7" xfId="0" applyNumberFormat="1" applyFont="1" applyFill="1" applyBorder="1" applyAlignment="1">
      <alignment horizontal="center" vertical="center" wrapText="1"/>
    </xf>
    <xf numFmtId="44" fontId="35" fillId="9" borderId="7" xfId="0" applyNumberFormat="1" applyFont="1" applyFill="1" applyBorder="1" applyAlignment="1">
      <alignment horizontal="right" vertical="distributed" wrapText="1"/>
    </xf>
    <xf numFmtId="44" fontId="35" fillId="0" borderId="7" xfId="0" applyNumberFormat="1" applyFont="1" applyBorder="1" applyAlignment="1">
      <alignment horizontal="right" vertical="distributed" wrapText="1"/>
    </xf>
    <xf numFmtId="0" fontId="3" fillId="8" borderId="6" xfId="0" applyFont="1" applyFill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4" fontId="35" fillId="9" borderId="7" xfId="5" applyNumberFormat="1" applyFont="1" applyFill="1" applyBorder="1" applyAlignment="1">
      <alignment horizontal="center" vertical="center" wrapText="1"/>
    </xf>
    <xf numFmtId="165" fontId="35" fillId="9" borderId="7" xfId="5" applyFont="1" applyFill="1" applyBorder="1" applyAlignment="1">
      <alignment horizontal="right" vertical="center" wrapText="1"/>
    </xf>
    <xf numFmtId="0" fontId="0" fillId="9" borderId="0" xfId="0" applyFill="1"/>
    <xf numFmtId="0" fontId="35" fillId="9" borderId="6" xfId="0" applyFont="1" applyFill="1" applyBorder="1" applyAlignment="1">
      <alignment horizontal="center" vertical="center" wrapText="1"/>
    </xf>
    <xf numFmtId="0" fontId="35" fillId="9" borderId="7" xfId="0" applyFont="1" applyFill="1" applyBorder="1" applyAlignment="1">
      <alignment wrapText="1"/>
    </xf>
    <xf numFmtId="0" fontId="35" fillId="9" borderId="7" xfId="0" applyFont="1" applyFill="1" applyBorder="1" applyAlignment="1">
      <alignment horizontal="center" vertical="center" wrapText="1"/>
    </xf>
    <xf numFmtId="0" fontId="35" fillId="0" borderId="7" xfId="0" applyFont="1" applyBorder="1" applyAlignment="1">
      <alignment horizont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wrapText="1"/>
    </xf>
    <xf numFmtId="0" fontId="35" fillId="0" borderId="23" xfId="0" applyFont="1" applyBorder="1" applyAlignment="1">
      <alignment horizontal="center" vertical="center" wrapText="1"/>
    </xf>
    <xf numFmtId="44" fontId="35" fillId="0" borderId="23" xfId="0" applyNumberFormat="1" applyFont="1" applyBorder="1" applyAlignment="1">
      <alignment horizontal="right" vertical="distributed" wrapText="1"/>
    </xf>
    <xf numFmtId="164" fontId="35" fillId="0" borderId="23" xfId="5" applyNumberFormat="1" applyFont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wrapText="1"/>
    </xf>
    <xf numFmtId="0" fontId="3" fillId="8" borderId="11" xfId="0" applyFont="1" applyFill="1" applyBorder="1" applyAlignment="1">
      <alignment horizontal="center" vertical="center"/>
    </xf>
    <xf numFmtId="4" fontId="3" fillId="8" borderId="11" xfId="5" applyNumberFormat="1" applyFont="1" applyFill="1" applyBorder="1" applyAlignment="1">
      <alignment horizontal="center" vertical="center"/>
    </xf>
    <xf numFmtId="165" fontId="3" fillId="8" borderId="11" xfId="5" applyFont="1" applyFill="1" applyBorder="1" applyAlignment="1">
      <alignment horizontal="center" vertical="center"/>
    </xf>
    <xf numFmtId="0" fontId="35" fillId="0" borderId="75" xfId="0" applyFont="1" applyBorder="1" applyAlignment="1">
      <alignment horizontal="center" vertical="center"/>
    </xf>
    <xf numFmtId="0" fontId="35" fillId="9" borderId="27" xfId="0" applyFont="1" applyFill="1" applyBorder="1" applyAlignment="1">
      <alignment horizontal="justify" vertical="distributed" wrapText="1"/>
    </xf>
    <xf numFmtId="0" fontId="35" fillId="0" borderId="27" xfId="0" applyFont="1" applyBorder="1" applyAlignment="1">
      <alignment horizontal="center" vertical="distributed" wrapText="1"/>
    </xf>
    <xf numFmtId="4" fontId="35" fillId="0" borderId="27" xfId="5" applyNumberFormat="1" applyFont="1" applyBorder="1" applyAlignment="1">
      <alignment horizontal="center" vertical="center"/>
    </xf>
    <xf numFmtId="165" fontId="35" fillId="0" borderId="27" xfId="5" applyFont="1" applyBorder="1" applyAlignment="1">
      <alignment horizontal="center" vertical="center"/>
    </xf>
    <xf numFmtId="0" fontId="39" fillId="0" borderId="88" xfId="4" applyFont="1" applyBorder="1" applyAlignment="1">
      <alignment horizontal="center" vertical="center" wrapText="1"/>
    </xf>
    <xf numFmtId="0" fontId="39" fillId="0" borderId="89" xfId="4" applyFont="1" applyBorder="1" applyAlignment="1">
      <alignment horizontal="center" vertical="center" wrapText="1"/>
    </xf>
    <xf numFmtId="0" fontId="39" fillId="0" borderId="89" xfId="0" applyFont="1" applyBorder="1" applyAlignment="1">
      <alignment horizontal="center" vertical="center" wrapText="1"/>
    </xf>
    <xf numFmtId="4" fontId="39" fillId="0" borderId="89" xfId="5" applyNumberFormat="1" applyFont="1" applyFill="1" applyBorder="1" applyAlignment="1">
      <alignment horizontal="center" vertical="center" wrapText="1"/>
    </xf>
    <xf numFmtId="165" fontId="39" fillId="0" borderId="89" xfId="5" applyFont="1" applyFill="1" applyBorder="1" applyAlignment="1">
      <alignment horizontal="center" vertical="center" wrapText="1"/>
    </xf>
    <xf numFmtId="164" fontId="39" fillId="0" borderId="89" xfId="5" applyNumberFormat="1" applyFont="1" applyFill="1" applyBorder="1" applyAlignment="1">
      <alignment horizontal="center" vertical="center" wrapText="1"/>
    </xf>
    <xf numFmtId="164" fontId="39" fillId="0" borderId="90" xfId="5" applyNumberFormat="1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/>
    </xf>
    <xf numFmtId="165" fontId="3" fillId="8" borderId="45" xfId="5" applyFont="1" applyFill="1" applyBorder="1" applyAlignment="1">
      <alignment horizontal="center" vertical="center"/>
    </xf>
    <xf numFmtId="0" fontId="3" fillId="8" borderId="91" xfId="0" applyFont="1" applyFill="1" applyBorder="1"/>
    <xf numFmtId="0" fontId="35" fillId="0" borderId="92" xfId="4" applyFont="1" applyBorder="1" applyAlignment="1">
      <alignment horizontal="center" vertical="center" wrapText="1"/>
    </xf>
    <xf numFmtId="164" fontId="35" fillId="0" borderId="45" xfId="2" applyFont="1" applyBorder="1" applyAlignment="1">
      <alignment vertical="center"/>
    </xf>
    <xf numFmtId="164" fontId="35" fillId="8" borderId="45" xfId="2" applyFont="1" applyFill="1" applyBorder="1" applyAlignment="1">
      <alignment vertical="center"/>
    </xf>
    <xf numFmtId="0" fontId="35" fillId="0" borderId="44" xfId="0" applyFont="1" applyBorder="1" applyAlignment="1">
      <alignment horizontal="center" vertical="center"/>
    </xf>
    <xf numFmtId="0" fontId="35" fillId="0" borderId="44" xfId="0" applyFont="1" applyBorder="1" applyAlignment="1">
      <alignment horizontal="center" vertical="distributed" wrapText="1"/>
    </xf>
    <xf numFmtId="2" fontId="35" fillId="0" borderId="7" xfId="0" applyNumberFormat="1" applyFont="1" applyBorder="1" applyAlignment="1">
      <alignment horizontal="center" vertical="distributed" wrapText="1"/>
    </xf>
    <xf numFmtId="0" fontId="35" fillId="0" borderId="46" xfId="0" applyFont="1" applyBorder="1" applyAlignment="1">
      <alignment horizontal="center" vertical="center"/>
    </xf>
    <xf numFmtId="0" fontId="35" fillId="0" borderId="47" xfId="0" applyFont="1" applyBorder="1" applyAlignment="1">
      <alignment horizontal="justify" vertical="distributed" wrapText="1"/>
    </xf>
    <xf numFmtId="0" fontId="35" fillId="0" borderId="47" xfId="0" applyFont="1" applyBorder="1" applyAlignment="1">
      <alignment horizontal="center" vertical="distributed" wrapText="1"/>
    </xf>
    <xf numFmtId="4" fontId="35" fillId="0" borderId="47" xfId="5" applyNumberFormat="1" applyFont="1" applyBorder="1" applyAlignment="1">
      <alignment horizontal="center" vertical="center"/>
    </xf>
    <xf numFmtId="165" fontId="35" fillId="0" borderId="47" xfId="5" applyFont="1" applyBorder="1" applyAlignment="1">
      <alignment horizontal="center" vertical="center"/>
    </xf>
    <xf numFmtId="9" fontId="35" fillId="0" borderId="47" xfId="1" applyFont="1" applyBorder="1" applyAlignment="1">
      <alignment horizontal="center" vertical="center"/>
    </xf>
    <xf numFmtId="164" fontId="35" fillId="0" borderId="47" xfId="2" applyFont="1" applyBorder="1" applyAlignment="1">
      <alignment vertical="center"/>
    </xf>
    <xf numFmtId="164" fontId="35" fillId="0" borderId="48" xfId="2" applyFont="1" applyBorder="1" applyAlignment="1">
      <alignment vertical="center"/>
    </xf>
    <xf numFmtId="0" fontId="35" fillId="9" borderId="0" xfId="0" applyFont="1" applyFill="1" applyAlignment="1">
      <alignment horizontal="center" vertical="center"/>
    </xf>
    <xf numFmtId="0" fontId="3" fillId="8" borderId="7" xfId="0" applyFont="1" applyFill="1" applyBorder="1"/>
    <xf numFmtId="164" fontId="35" fillId="0" borderId="0" xfId="0" applyNumberFormat="1" applyFont="1" applyAlignment="1">
      <alignment horizontal="center"/>
    </xf>
    <xf numFmtId="164" fontId="35" fillId="0" borderId="26" xfId="0" applyNumberFormat="1" applyFont="1" applyBorder="1"/>
    <xf numFmtId="164" fontId="3" fillId="0" borderId="96" xfId="0" applyNumberFormat="1" applyFont="1" applyBorder="1"/>
    <xf numFmtId="164" fontId="52" fillId="0" borderId="0" xfId="2" applyFont="1"/>
    <xf numFmtId="44" fontId="42" fillId="0" borderId="0" xfId="0" applyNumberFormat="1" applyFont="1"/>
    <xf numFmtId="164" fontId="3" fillId="0" borderId="98" xfId="0" applyNumberFormat="1" applyFont="1" applyBorder="1"/>
    <xf numFmtId="44" fontId="3" fillId="0" borderId="0" xfId="0" applyNumberFormat="1" applyFont="1"/>
    <xf numFmtId="49" fontId="48" fillId="0" borderId="28" xfId="0" applyNumberFormat="1" applyFont="1" applyBorder="1" applyAlignment="1">
      <alignment horizontal="center" vertical="top"/>
    </xf>
    <xf numFmtId="164" fontId="35" fillId="0" borderId="29" xfId="0" applyNumberFormat="1" applyFont="1" applyBorder="1"/>
    <xf numFmtId="164" fontId="54" fillId="7" borderId="7" xfId="0" applyNumberFormat="1" applyFont="1" applyFill="1" applyBorder="1" applyAlignment="1">
      <alignment horizontal="center" vertical="center"/>
    </xf>
    <xf numFmtId="49" fontId="48" fillId="0" borderId="99" xfId="0" applyNumberFormat="1" applyFont="1" applyBorder="1" applyAlignment="1">
      <alignment horizontal="center" vertical="top"/>
    </xf>
    <xf numFmtId="0" fontId="35" fillId="0" borderId="100" xfId="0" applyFont="1" applyBorder="1" applyAlignment="1">
      <alignment wrapText="1"/>
    </xf>
    <xf numFmtId="0" fontId="43" fillId="0" borderId="100" xfId="0" applyFont="1" applyBorder="1"/>
    <xf numFmtId="0" fontId="43" fillId="0" borderId="100" xfId="0" applyFont="1" applyBorder="1" applyAlignment="1">
      <alignment horizontal="center" vertical="center"/>
    </xf>
    <xf numFmtId="164" fontId="54" fillId="7" borderId="47" xfId="0" applyNumberFormat="1" applyFont="1" applyFill="1" applyBorder="1" applyAlignment="1">
      <alignment horizontal="center" vertical="center"/>
    </xf>
    <xf numFmtId="164" fontId="3" fillId="0" borderId="0" xfId="2" applyFont="1"/>
    <xf numFmtId="164" fontId="55" fillId="0" borderId="0" xfId="2" applyFont="1"/>
    <xf numFmtId="0" fontId="37" fillId="0" borderId="13" xfId="3" applyFont="1" applyBorder="1" applyAlignment="1">
      <alignment horizontal="center" vertical="center" wrapText="1"/>
    </xf>
    <xf numFmtId="0" fontId="37" fillId="0" borderId="14" xfId="3" applyFont="1" applyBorder="1" applyAlignment="1">
      <alignment horizontal="center" vertical="center" wrapText="1"/>
    </xf>
    <xf numFmtId="0" fontId="37" fillId="0" borderId="15" xfId="3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/>
    </xf>
    <xf numFmtId="0" fontId="37" fillId="7" borderId="16" xfId="3" applyFont="1" applyFill="1" applyBorder="1" applyAlignment="1">
      <alignment horizontal="center" vertical="center" wrapText="1"/>
    </xf>
    <xf numFmtId="0" fontId="37" fillId="7" borderId="17" xfId="3" applyFont="1" applyFill="1" applyBorder="1" applyAlignment="1">
      <alignment horizontal="center" vertical="center" wrapText="1"/>
    </xf>
    <xf numFmtId="0" fontId="37" fillId="7" borderId="18" xfId="3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 wrapText="1"/>
    </xf>
    <xf numFmtId="0" fontId="49" fillId="0" borderId="3" xfId="0" applyFont="1" applyBorder="1" applyAlignment="1">
      <alignment horizontal="center" vertical="center" wrapText="1"/>
    </xf>
    <xf numFmtId="0" fontId="49" fillId="0" borderId="4" xfId="0" applyFont="1" applyBorder="1" applyAlignment="1">
      <alignment horizontal="center" vertical="center" wrapText="1"/>
    </xf>
    <xf numFmtId="164" fontId="34" fillId="0" borderId="1" xfId="2" applyFont="1" applyFill="1" applyBorder="1" applyAlignment="1">
      <alignment horizontal="center" vertical="center" wrapText="1"/>
    </xf>
    <xf numFmtId="164" fontId="34" fillId="0" borderId="5" xfId="2" applyFont="1" applyFill="1" applyBorder="1" applyAlignment="1">
      <alignment horizontal="center" vertical="center" wrapText="1"/>
    </xf>
    <xf numFmtId="164" fontId="34" fillId="0" borderId="9" xfId="2" applyFont="1" applyFill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wrapText="1"/>
    </xf>
    <xf numFmtId="0" fontId="49" fillId="0" borderId="7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49" fontId="53" fillId="7" borderId="44" xfId="0" applyNumberFormat="1" applyFont="1" applyFill="1" applyBorder="1" applyAlignment="1">
      <alignment horizontal="left" vertical="top"/>
    </xf>
    <xf numFmtId="49" fontId="48" fillId="7" borderId="7" xfId="0" applyNumberFormat="1" applyFont="1" applyFill="1" applyBorder="1" applyAlignment="1">
      <alignment horizontal="left" vertical="top"/>
    </xf>
    <xf numFmtId="9" fontId="35" fillId="13" borderId="7" xfId="1" applyFont="1" applyFill="1" applyBorder="1" applyAlignment="1">
      <alignment horizontal="center" vertical="center"/>
    </xf>
    <xf numFmtId="9" fontId="35" fillId="13" borderId="45" xfId="1" applyFont="1" applyFill="1" applyBorder="1" applyAlignment="1">
      <alignment horizontal="center" vertical="center"/>
    </xf>
    <xf numFmtId="9" fontId="35" fillId="13" borderId="47" xfId="1" applyFont="1" applyFill="1" applyBorder="1" applyAlignment="1">
      <alignment horizontal="center" vertical="center"/>
    </xf>
    <xf numFmtId="9" fontId="35" fillId="13" borderId="48" xfId="1" applyFont="1" applyFill="1" applyBorder="1" applyAlignment="1">
      <alignment horizontal="center" vertical="center"/>
    </xf>
    <xf numFmtId="49" fontId="51" fillId="0" borderId="97" xfId="0" applyNumberFormat="1" applyFont="1" applyBorder="1" applyAlignment="1">
      <alignment horizontal="center" vertical="top"/>
    </xf>
    <xf numFmtId="49" fontId="51" fillId="0" borderId="17" xfId="0" applyNumberFormat="1" applyFont="1" applyBorder="1" applyAlignment="1">
      <alignment horizontal="center" vertical="top"/>
    </xf>
    <xf numFmtId="49" fontId="51" fillId="0" borderId="18" xfId="0" applyNumberFormat="1" applyFont="1" applyBorder="1" applyAlignment="1">
      <alignment horizontal="center" vertical="top"/>
    </xf>
    <xf numFmtId="49" fontId="53" fillId="7" borderId="7" xfId="0" applyNumberFormat="1" applyFont="1" applyFill="1" applyBorder="1" applyAlignment="1">
      <alignment horizontal="left" vertical="top"/>
    </xf>
    <xf numFmtId="49" fontId="44" fillId="7" borderId="7" xfId="0" applyNumberFormat="1" applyFont="1" applyFill="1" applyBorder="1" applyAlignment="1">
      <alignment horizontal="center" vertical="top"/>
    </xf>
    <xf numFmtId="164" fontId="3" fillId="7" borderId="7" xfId="0" applyNumberFormat="1" applyFont="1" applyFill="1" applyBorder="1" applyAlignment="1">
      <alignment horizontal="center"/>
    </xf>
    <xf numFmtId="164" fontId="3" fillId="7" borderId="45" xfId="0" applyNumberFormat="1" applyFont="1" applyFill="1" applyBorder="1" applyAlignment="1">
      <alignment horizontal="center"/>
    </xf>
    <xf numFmtId="49" fontId="44" fillId="7" borderId="44" xfId="0" applyNumberFormat="1" applyFont="1" applyFill="1" applyBorder="1" applyAlignment="1">
      <alignment horizontal="left" vertical="top" wrapText="1"/>
    </xf>
    <xf numFmtId="49" fontId="44" fillId="7" borderId="7" xfId="0" applyNumberFormat="1" applyFont="1" applyFill="1" applyBorder="1" applyAlignment="1">
      <alignment horizontal="left" vertical="top" wrapText="1"/>
    </xf>
    <xf numFmtId="0" fontId="37" fillId="0" borderId="85" xfId="3" applyFont="1" applyBorder="1" applyAlignment="1">
      <alignment horizontal="center" vertical="center" wrapText="1"/>
    </xf>
    <xf numFmtId="0" fontId="37" fillId="0" borderId="86" xfId="3" applyFont="1" applyBorder="1" applyAlignment="1">
      <alignment horizontal="center" vertical="center" wrapText="1"/>
    </xf>
    <xf numFmtId="0" fontId="37" fillId="0" borderId="87" xfId="3" applyFont="1" applyBorder="1" applyAlignment="1">
      <alignment horizontal="center" vertical="center" wrapText="1"/>
    </xf>
    <xf numFmtId="0" fontId="43" fillId="0" borderId="34" xfId="0" applyFont="1" applyBorder="1" applyAlignment="1">
      <alignment horizontal="center"/>
    </xf>
    <xf numFmtId="49" fontId="51" fillId="0" borderId="93" xfId="0" applyNumberFormat="1" applyFont="1" applyBorder="1" applyAlignment="1">
      <alignment horizontal="left" vertical="top"/>
    </xf>
    <xf numFmtId="49" fontId="51" fillId="0" borderId="94" xfId="0" applyNumberFormat="1" applyFont="1" applyBorder="1" applyAlignment="1">
      <alignment horizontal="left" vertical="top"/>
    </xf>
    <xf numFmtId="49" fontId="51" fillId="0" borderId="95" xfId="0" applyNumberFormat="1" applyFont="1" applyBorder="1" applyAlignment="1">
      <alignment horizontal="left" vertical="top"/>
    </xf>
    <xf numFmtId="0" fontId="37" fillId="0" borderId="35" xfId="3" applyFont="1" applyBorder="1" applyAlignment="1">
      <alignment horizontal="center" vertical="center" wrapText="1"/>
    </xf>
    <xf numFmtId="0" fontId="37" fillId="0" borderId="36" xfId="3" applyFont="1" applyBorder="1" applyAlignment="1">
      <alignment horizontal="center" vertical="center" wrapText="1"/>
    </xf>
    <xf numFmtId="0" fontId="37" fillId="0" borderId="37" xfId="3" applyFont="1" applyBorder="1" applyAlignment="1">
      <alignment horizontal="center" vertical="center" wrapText="1"/>
    </xf>
    <xf numFmtId="0" fontId="37" fillId="0" borderId="39" xfId="3" applyFont="1" applyBorder="1" applyAlignment="1">
      <alignment horizontal="center" vertical="center" wrapText="1"/>
    </xf>
    <xf numFmtId="0" fontId="37" fillId="0" borderId="40" xfId="3" applyFont="1" applyBorder="1" applyAlignment="1">
      <alignment horizontal="center" vertical="center" wrapText="1"/>
    </xf>
    <xf numFmtId="0" fontId="37" fillId="0" borderId="41" xfId="3" applyFont="1" applyBorder="1" applyAlignment="1">
      <alignment horizontal="center" vertical="center" wrapText="1"/>
    </xf>
    <xf numFmtId="0" fontId="37" fillId="0" borderId="16" xfId="3" applyFont="1" applyBorder="1" applyAlignment="1">
      <alignment horizontal="center" vertical="center" wrapText="1"/>
    </xf>
    <xf numFmtId="0" fontId="37" fillId="0" borderId="17" xfId="3" applyFont="1" applyBorder="1" applyAlignment="1">
      <alignment horizontal="center" vertical="center" wrapText="1"/>
    </xf>
    <xf numFmtId="0" fontId="37" fillId="0" borderId="18" xfId="3" applyFont="1" applyBorder="1" applyAlignment="1">
      <alignment horizontal="center" vertical="center" wrapText="1"/>
    </xf>
    <xf numFmtId="0" fontId="43" fillId="0" borderId="30" xfId="0" applyFont="1" applyBorder="1" applyAlignment="1">
      <alignment horizontal="center" wrapText="1"/>
    </xf>
    <xf numFmtId="0" fontId="43" fillId="0" borderId="31" xfId="0" applyFont="1" applyBorder="1" applyAlignment="1">
      <alignment horizontal="center" wrapText="1"/>
    </xf>
    <xf numFmtId="0" fontId="43" fillId="0" borderId="32" xfId="0" applyFont="1" applyBorder="1" applyAlignment="1">
      <alignment horizontal="center" wrapText="1"/>
    </xf>
    <xf numFmtId="0" fontId="43" fillId="0" borderId="7" xfId="0" applyFont="1" applyBorder="1" applyAlignment="1">
      <alignment horizontal="center"/>
    </xf>
    <xf numFmtId="0" fontId="30" fillId="0" borderId="0" xfId="7" applyFont="1" applyAlignment="1">
      <alignment horizontal="center"/>
    </xf>
    <xf numFmtId="0" fontId="30" fillId="0" borderId="26" xfId="7" applyFont="1" applyBorder="1" applyAlignment="1">
      <alignment horizontal="center"/>
    </xf>
    <xf numFmtId="0" fontId="33" fillId="0" borderId="0" xfId="7" applyFont="1" applyAlignment="1">
      <alignment horizontal="center"/>
    </xf>
    <xf numFmtId="0" fontId="33" fillId="0" borderId="26" xfId="7" applyFont="1" applyBorder="1" applyAlignment="1">
      <alignment horizontal="center"/>
    </xf>
    <xf numFmtId="0" fontId="8" fillId="0" borderId="0" xfId="6" applyAlignment="1">
      <alignment horizontal="center"/>
    </xf>
    <xf numFmtId="0" fontId="19" fillId="0" borderId="64" xfId="6" applyFont="1" applyBorder="1" applyAlignment="1">
      <alignment horizontal="left"/>
    </xf>
    <xf numFmtId="0" fontId="2" fillId="0" borderId="65" xfId="6" applyFont="1" applyBorder="1"/>
    <xf numFmtId="0" fontId="2" fillId="0" borderId="67" xfId="6" applyFont="1" applyBorder="1"/>
    <xf numFmtId="0" fontId="13" fillId="3" borderId="16" xfId="6" applyFont="1" applyFill="1" applyBorder="1" applyAlignment="1">
      <alignment horizontal="left"/>
    </xf>
    <xf numFmtId="0" fontId="2" fillId="0" borderId="17" xfId="6" applyFont="1" applyBorder="1"/>
    <xf numFmtId="0" fontId="2" fillId="0" borderId="18" xfId="6" applyFont="1" applyBorder="1"/>
    <xf numFmtId="0" fontId="9" fillId="0" borderId="57" xfId="6" applyFont="1" applyBorder="1" applyAlignment="1">
      <alignment horizontal="center"/>
    </xf>
    <xf numFmtId="0" fontId="2" fillId="0" borderId="57" xfId="6" applyFont="1" applyBorder="1"/>
    <xf numFmtId="0" fontId="27" fillId="0" borderId="16" xfId="6" applyFont="1" applyBorder="1" applyAlignment="1">
      <alignment horizontal="center"/>
    </xf>
    <xf numFmtId="0" fontId="27" fillId="0" borderId="18" xfId="6" applyFont="1" applyBorder="1" applyAlignment="1">
      <alignment horizontal="center"/>
    </xf>
    <xf numFmtId="0" fontId="31" fillId="0" borderId="73" xfId="8" applyFont="1" applyBorder="1" applyAlignment="1">
      <alignment horizontal="center"/>
    </xf>
    <xf numFmtId="0" fontId="31" fillId="0" borderId="74" xfId="8" applyFont="1" applyBorder="1" applyAlignment="1">
      <alignment horizontal="center"/>
    </xf>
    <xf numFmtId="0" fontId="11" fillId="0" borderId="16" xfId="6" applyFont="1" applyBorder="1" applyAlignment="1">
      <alignment horizontal="center" wrapText="1"/>
    </xf>
    <xf numFmtId="0" fontId="8" fillId="0" borderId="17" xfId="6" applyBorder="1" applyAlignment="1">
      <alignment wrapText="1"/>
    </xf>
    <xf numFmtId="0" fontId="8" fillId="0" borderId="51" xfId="6" applyBorder="1" applyAlignment="1">
      <alignment wrapText="1"/>
    </xf>
    <xf numFmtId="0" fontId="2" fillId="0" borderId="52" xfId="6" applyFont="1" applyBorder="1" applyAlignment="1">
      <alignment wrapText="1"/>
    </xf>
    <xf numFmtId="0" fontId="12" fillId="0" borderId="53" xfId="6" applyFont="1" applyBorder="1" applyAlignment="1">
      <alignment horizontal="left"/>
    </xf>
    <xf numFmtId="0" fontId="2" fillId="0" borderId="54" xfId="6" applyFont="1" applyBorder="1"/>
    <xf numFmtId="0" fontId="2" fillId="0" borderId="55" xfId="6" applyFont="1" applyBorder="1"/>
    <xf numFmtId="0" fontId="16" fillId="0" borderId="58" xfId="6" applyFont="1" applyBorder="1" applyAlignment="1">
      <alignment horizontal="center"/>
    </xf>
    <xf numFmtId="0" fontId="2" fillId="0" borderId="59" xfId="6" applyFont="1" applyBorder="1"/>
    <xf numFmtId="0" fontId="2" fillId="0" borderId="60" xfId="6" applyFont="1" applyBorder="1"/>
    <xf numFmtId="0" fontId="16" fillId="0" borderId="64" xfId="6" applyFont="1" applyBorder="1" applyAlignment="1">
      <alignment horizontal="center"/>
    </xf>
    <xf numFmtId="0" fontId="2" fillId="0" borderId="66" xfId="6" applyFont="1" applyBorder="1"/>
    <xf numFmtId="0" fontId="11" fillId="0" borderId="25" xfId="6" applyFont="1" applyBorder="1" applyAlignment="1">
      <alignment horizontal="center"/>
    </xf>
    <xf numFmtId="0" fontId="8" fillId="0" borderId="0" xfId="6"/>
    <xf numFmtId="0" fontId="9" fillId="0" borderId="53" xfId="6" applyFont="1" applyBorder="1" applyAlignment="1">
      <alignment horizontal="center" vertical="center"/>
    </xf>
    <xf numFmtId="0" fontId="9" fillId="0" borderId="25" xfId="6" applyFont="1" applyBorder="1" applyAlignment="1">
      <alignment horizontal="center" vertical="center"/>
    </xf>
    <xf numFmtId="0" fontId="9" fillId="0" borderId="50" xfId="6" applyFont="1" applyBorder="1" applyAlignment="1">
      <alignment horizontal="center" vertical="center"/>
    </xf>
    <xf numFmtId="0" fontId="10" fillId="0" borderId="53" xfId="6" applyFont="1" applyBorder="1" applyAlignment="1">
      <alignment horizontal="center"/>
    </xf>
    <xf numFmtId="0" fontId="10" fillId="0" borderId="54" xfId="6" applyFont="1" applyBorder="1" applyAlignment="1">
      <alignment horizontal="center"/>
    </xf>
    <xf numFmtId="0" fontId="10" fillId="0" borderId="55" xfId="6" applyFont="1" applyBorder="1" applyAlignment="1">
      <alignment horizontal="center"/>
    </xf>
    <xf numFmtId="0" fontId="2" fillId="0" borderId="55" xfId="6" applyFont="1" applyBorder="1" applyAlignment="1">
      <alignment horizontal="center" vertical="center"/>
    </xf>
    <xf numFmtId="0" fontId="2" fillId="0" borderId="26" xfId="6" applyFont="1" applyBorder="1" applyAlignment="1">
      <alignment horizontal="center" vertical="center"/>
    </xf>
    <xf numFmtId="0" fontId="10" fillId="0" borderId="25" xfId="6" applyFont="1" applyBorder="1" applyAlignment="1">
      <alignment horizontal="center"/>
    </xf>
    <xf numFmtId="0" fontId="10" fillId="0" borderId="0" xfId="6" applyFont="1" applyAlignment="1">
      <alignment horizontal="center"/>
    </xf>
    <xf numFmtId="0" fontId="10" fillId="0" borderId="26" xfId="6" applyFont="1" applyBorder="1" applyAlignment="1">
      <alignment horizontal="center"/>
    </xf>
    <xf numFmtId="0" fontId="10" fillId="0" borderId="50" xfId="6" applyFont="1" applyBorder="1" applyAlignment="1">
      <alignment horizontal="center"/>
    </xf>
    <xf numFmtId="0" fontId="10" fillId="0" borderId="51" xfId="6" applyFont="1" applyBorder="1" applyAlignment="1">
      <alignment horizontal="center"/>
    </xf>
    <xf numFmtId="49" fontId="38" fillId="4" borderId="53" xfId="0" applyNumberFormat="1" applyFont="1" applyFill="1" applyBorder="1" applyAlignment="1">
      <alignment horizontal="center" vertical="center"/>
    </xf>
    <xf numFmtId="49" fontId="38" fillId="4" borderId="55" xfId="0" applyNumberFormat="1" applyFont="1" applyFill="1" applyBorder="1" applyAlignment="1">
      <alignment horizontal="center" vertical="center"/>
    </xf>
    <xf numFmtId="49" fontId="38" fillId="4" borderId="25" xfId="0" applyNumberFormat="1" applyFont="1" applyFill="1" applyBorder="1" applyAlignment="1">
      <alignment horizontal="center" vertical="center"/>
    </xf>
    <xf numFmtId="49" fontId="38" fillId="4" borderId="0" xfId="0" applyNumberFormat="1" applyFont="1" applyFill="1" applyAlignment="1">
      <alignment horizontal="center" vertical="center"/>
    </xf>
    <xf numFmtId="0" fontId="40" fillId="0" borderId="2" xfId="4" applyFont="1" applyBorder="1" applyAlignment="1">
      <alignment horizontal="left" vertical="center" wrapText="1"/>
    </xf>
    <xf numFmtId="0" fontId="41" fillId="0" borderId="4" xfId="4" applyFont="1" applyBorder="1" applyAlignment="1">
      <alignment horizontal="left" vertical="center" wrapText="1"/>
    </xf>
    <xf numFmtId="0" fontId="40" fillId="0" borderId="6" xfId="4" applyFont="1" applyBorder="1" applyAlignment="1">
      <alignment horizontal="left" vertical="center" wrapText="1"/>
    </xf>
    <xf numFmtId="0" fontId="41" fillId="0" borderId="8" xfId="4" applyFont="1" applyBorder="1" applyAlignment="1">
      <alignment horizontal="left" vertical="center" wrapText="1"/>
    </xf>
    <xf numFmtId="0" fontId="34" fillId="0" borderId="53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6" fillId="0" borderId="50" xfId="0" applyFont="1" applyBorder="1" applyAlignment="1">
      <alignment horizontal="center" vertical="center" wrapText="1"/>
    </xf>
    <xf numFmtId="0" fontId="36" fillId="0" borderId="51" xfId="0" applyFont="1" applyBorder="1" applyAlignment="1">
      <alignment horizontal="center" vertical="center" wrapText="1"/>
    </xf>
    <xf numFmtId="0" fontId="39" fillId="4" borderId="53" xfId="0" applyFont="1" applyFill="1" applyBorder="1" applyAlignment="1">
      <alignment horizontal="center" vertical="center"/>
    </xf>
    <xf numFmtId="0" fontId="39" fillId="4" borderId="54" xfId="0" applyFont="1" applyFill="1" applyBorder="1" applyAlignment="1">
      <alignment horizontal="center" vertical="center"/>
    </xf>
    <xf numFmtId="0" fontId="39" fillId="4" borderId="55" xfId="0" applyFont="1" applyFill="1" applyBorder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10" xfId="4" applyFont="1" applyBorder="1" applyAlignment="1">
      <alignment horizontal="left" vertical="center" wrapText="1"/>
    </xf>
    <xf numFmtId="0" fontId="41" fillId="0" borderId="12" xfId="4" applyFont="1" applyBorder="1" applyAlignment="1">
      <alignment horizontal="left" vertical="center" wrapText="1"/>
    </xf>
    <xf numFmtId="49" fontId="38" fillId="6" borderId="13" xfId="0" applyNumberFormat="1" applyFont="1" applyFill="1" applyBorder="1" applyAlignment="1">
      <alignment horizontal="center" vertical="center"/>
    </xf>
    <xf numFmtId="49" fontId="38" fillId="6" borderId="15" xfId="0" applyNumberFormat="1" applyFont="1" applyFill="1" applyBorder="1" applyAlignment="1">
      <alignment horizontal="center" vertical="center"/>
    </xf>
    <xf numFmtId="164" fontId="34" fillId="0" borderId="1" xfId="2" applyFont="1" applyBorder="1" applyAlignment="1">
      <alignment horizontal="center" vertical="center" wrapText="1"/>
    </xf>
    <xf numFmtId="164" fontId="34" fillId="0" borderId="5" xfId="2" applyFont="1" applyBorder="1" applyAlignment="1">
      <alignment horizontal="center" vertical="center" wrapText="1"/>
    </xf>
    <xf numFmtId="164" fontId="34" fillId="0" borderId="9" xfId="2" applyFont="1" applyBorder="1" applyAlignment="1">
      <alignment horizontal="center" vertical="center" wrapText="1"/>
    </xf>
    <xf numFmtId="0" fontId="56" fillId="0" borderId="13" xfId="3" applyFont="1" applyBorder="1" applyAlignment="1">
      <alignment horizontal="center" vertical="center" wrapText="1"/>
    </xf>
    <xf numFmtId="0" fontId="56" fillId="0" borderId="14" xfId="3" applyFont="1" applyBorder="1" applyAlignment="1">
      <alignment horizontal="center" vertical="center" wrapText="1"/>
    </xf>
    <xf numFmtId="0" fontId="56" fillId="0" borderId="15" xfId="3" applyFont="1" applyBorder="1" applyAlignment="1">
      <alignment horizontal="center" vertical="center" wrapText="1"/>
    </xf>
    <xf numFmtId="0" fontId="56" fillId="7" borderId="16" xfId="3" applyFont="1" applyFill="1" applyBorder="1" applyAlignment="1">
      <alignment horizontal="center" vertical="center" wrapText="1"/>
    </xf>
    <xf numFmtId="0" fontId="56" fillId="7" borderId="17" xfId="3" applyFont="1" applyFill="1" applyBorder="1" applyAlignment="1">
      <alignment horizontal="center" vertical="center" wrapText="1"/>
    </xf>
    <xf numFmtId="0" fontId="56" fillId="7" borderId="18" xfId="3" applyFont="1" applyFill="1" applyBorder="1" applyAlignment="1">
      <alignment horizontal="center" vertical="center" wrapText="1"/>
    </xf>
    <xf numFmtId="4" fontId="39" fillId="0" borderId="20" xfId="5" applyNumberFormat="1" applyFont="1" applyBorder="1" applyAlignment="1">
      <alignment horizontal="center" vertical="center" wrapText="1"/>
    </xf>
    <xf numFmtId="165" fontId="39" fillId="0" borderId="20" xfId="5" applyFont="1" applyBorder="1" applyAlignment="1">
      <alignment horizontal="center" vertical="center" wrapText="1"/>
    </xf>
    <xf numFmtId="164" fontId="39" fillId="0" borderId="20" xfId="5" applyNumberFormat="1" applyFont="1" applyBorder="1" applyAlignment="1">
      <alignment horizontal="center" vertical="center" wrapText="1"/>
    </xf>
    <xf numFmtId="164" fontId="39" fillId="0" borderId="21" xfId="5" applyNumberFormat="1" applyFont="1" applyBorder="1" applyAlignment="1">
      <alignment horizontal="center" vertical="center" wrapText="1"/>
    </xf>
    <xf numFmtId="165" fontId="35" fillId="0" borderId="26" xfId="5" applyFont="1" applyBorder="1" applyAlignment="1">
      <alignment horizontal="center" vertical="center"/>
    </xf>
    <xf numFmtId="9" fontId="35" fillId="13" borderId="101" xfId="1" applyFont="1" applyFill="1" applyBorder="1" applyAlignment="1">
      <alignment horizontal="center" vertical="center"/>
    </xf>
    <xf numFmtId="9" fontId="35" fillId="13" borderId="102" xfId="1" applyFont="1" applyFill="1" applyBorder="1" applyAlignment="1">
      <alignment horizontal="center" vertical="center"/>
    </xf>
    <xf numFmtId="164" fontId="3" fillId="7" borderId="101" xfId="0" applyNumberFormat="1" applyFont="1" applyFill="1" applyBorder="1" applyAlignment="1">
      <alignment horizontal="center"/>
    </xf>
    <xf numFmtId="164" fontId="3" fillId="7" borderId="102" xfId="0" applyNumberFormat="1" applyFont="1" applyFill="1" applyBorder="1" applyAlignment="1">
      <alignment horizontal="center"/>
    </xf>
    <xf numFmtId="9" fontId="35" fillId="13" borderId="103" xfId="1" applyFont="1" applyFill="1" applyBorder="1" applyAlignment="1">
      <alignment horizontal="center" vertical="center"/>
    </xf>
    <xf numFmtId="9" fontId="35" fillId="13" borderId="104" xfId="1" applyFont="1" applyFill="1" applyBorder="1" applyAlignment="1">
      <alignment horizontal="center" vertical="center"/>
    </xf>
    <xf numFmtId="49" fontId="44" fillId="7" borderId="101" xfId="0" applyNumberFormat="1" applyFont="1" applyFill="1" applyBorder="1" applyAlignment="1">
      <alignment horizontal="center" vertical="top"/>
    </xf>
    <xf numFmtId="49" fontId="44" fillId="7" borderId="105" xfId="0" applyNumberFormat="1" applyFont="1" applyFill="1" applyBorder="1" applyAlignment="1">
      <alignment horizontal="center" vertical="top"/>
    </xf>
    <xf numFmtId="49" fontId="44" fillId="7" borderId="106" xfId="0" applyNumberFormat="1" applyFont="1" applyFill="1" applyBorder="1" applyAlignment="1">
      <alignment horizontal="left" vertical="top" wrapText="1"/>
    </xf>
    <xf numFmtId="49" fontId="44" fillId="7" borderId="107" xfId="0" applyNumberFormat="1" applyFont="1" applyFill="1" applyBorder="1" applyAlignment="1">
      <alignment horizontal="left" vertical="top" wrapText="1"/>
    </xf>
    <xf numFmtId="49" fontId="44" fillId="7" borderId="105" xfId="0" applyNumberFormat="1" applyFont="1" applyFill="1" applyBorder="1" applyAlignment="1">
      <alignment horizontal="left" vertical="top" wrapText="1"/>
    </xf>
    <xf numFmtId="49" fontId="53" fillId="7" borderId="106" xfId="0" applyNumberFormat="1" applyFont="1" applyFill="1" applyBorder="1" applyAlignment="1">
      <alignment horizontal="left" vertical="top"/>
    </xf>
    <xf numFmtId="49" fontId="53" fillId="7" borderId="107" xfId="0" applyNumberFormat="1" applyFont="1" applyFill="1" applyBorder="1" applyAlignment="1">
      <alignment horizontal="left" vertical="top"/>
    </xf>
    <xf numFmtId="49" fontId="53" fillId="7" borderId="105" xfId="0" applyNumberFormat="1" applyFont="1" applyFill="1" applyBorder="1" applyAlignment="1">
      <alignment horizontal="left" vertical="top"/>
    </xf>
    <xf numFmtId="0" fontId="43" fillId="0" borderId="108" xfId="0" applyFont="1" applyBorder="1" applyAlignment="1">
      <alignment horizontal="center"/>
    </xf>
    <xf numFmtId="0" fontId="43" fillId="0" borderId="65" xfId="0" applyFont="1" applyBorder="1" applyAlignment="1">
      <alignment horizontal="center"/>
    </xf>
    <xf numFmtId="0" fontId="43" fillId="0" borderId="67" xfId="0" applyFont="1" applyBorder="1" applyAlignment="1">
      <alignment horizontal="center"/>
    </xf>
    <xf numFmtId="0" fontId="43" fillId="0" borderId="101" xfId="0" applyFont="1" applyBorder="1" applyAlignment="1">
      <alignment horizontal="center"/>
    </xf>
    <xf numFmtId="0" fontId="43" fillId="0" borderId="107" xfId="0" applyFont="1" applyBorder="1" applyAlignment="1">
      <alignment horizontal="center"/>
    </xf>
    <xf numFmtId="0" fontId="43" fillId="0" borderId="105" xfId="0" applyFont="1" applyBorder="1" applyAlignment="1">
      <alignment horizontal="center"/>
    </xf>
  </cellXfs>
  <cellStyles count="12">
    <cellStyle name="Moneda [0] 2" xfId="10" xr:uid="{A8AE75CE-FB5F-4E70-B90F-E28F2BCED0F2}"/>
    <cellStyle name="Moneda 13" xfId="5" xr:uid="{9D2695C3-A5B7-41CE-8232-EC83F17800DB}"/>
    <cellStyle name="Moneda 2" xfId="2" xr:uid="{BF563E82-CF35-4161-B62A-ABB8DBB479FD}"/>
    <cellStyle name="Moneda 98 2" xfId="9" xr:uid="{DEEBB094-04D8-4B1F-B0E1-819D5E18E2ED}"/>
    <cellStyle name="Normal" xfId="0" builtinId="0"/>
    <cellStyle name="Normal 10" xfId="8" xr:uid="{674142B9-0574-4AD7-9E91-EA3A688D04E3}"/>
    <cellStyle name="Normal 19 2" xfId="6" xr:uid="{87AE8A04-359F-4461-9581-EF7D7B6D1451}"/>
    <cellStyle name="Normal 2 2" xfId="11" xr:uid="{51C56629-3079-460F-BA8B-B472E19134ED}"/>
    <cellStyle name="Normal 2 3 2" xfId="3" xr:uid="{334256D4-67D2-48FF-8351-DAFF47B8008A}"/>
    <cellStyle name="Normal 2 3 2 2" xfId="7" xr:uid="{5F7E39FE-5DF2-4296-9880-3C2487EC68D3}"/>
    <cellStyle name="Normal_CANCHA INDEPENDENCIA" xfId="4" xr:uid="{1419AA3F-A932-4DEA-AD75-6B9E7879861F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microsoft.com/office/2022/10/relationships/richValueRel" Target="richData/richValueRel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eetMetadata" Target="metadata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37" Type="http://schemas.microsoft.com/office/2017/06/relationships/rdRichValueTypes" Target="richData/rdRichValueTyp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17/06/relationships/rdRichValueStructure" Target="richData/rdrichvaluestructure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microsoft.com/office/2017/06/relationships/rdRichValue" Target="richData/rdrichvalue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019A1D2E-8F45-45D7-BD58-80984C9DE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EDE8D82-14AE-43F9-83E1-4BA33E0BE29B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EAF9FA24-E32F-41F4-BB85-E47F32AAD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F9EAED-E967-41E3-A91F-EF7695C34CF8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8A28A360-9AC1-4CED-B3AA-6F0B5388B8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C4883D-FF10-4E97-9671-EC8A6A66852B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5586B45E-78C6-4F81-B189-938ECAD7C5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13C048-5852-4E6C-8BFF-2399E8912DDF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526D5AD2-E8B8-4166-9F83-C9D141415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F4EE856-8BA6-4451-9C7A-B79F8E0FFA4E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F40B7548-33EB-4315-8A11-6319C06360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ECA2C7-469C-495B-9E86-A883180749C8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88382441-D695-46C4-839F-204119E137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412AB85-3A09-4084-90D3-010D79CD4F0F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1A39AA78-E833-4B95-9552-2810B76FBA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6431DC5-6762-429E-B520-CAE3EE774E50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F06BB60C-1E6B-48FC-9008-85384648E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AE0CC22-BE48-4C73-BB12-87C45E943D86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984D24FA-FFF2-4A9B-8DC7-5AA29D6BA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C4ADE25-4374-425C-B492-FCC4FCD84441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88C8576A-7608-4FD8-B7A9-C0B9112DF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EF35986-B27D-4A10-B2E4-F03F407BEB8A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9D337E62-468E-4C13-AFA5-F9732A7720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E1D0FAA-00FA-4B53-95F5-EC87C463CCB8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0157E342-8D02-4A51-8C3E-CCA819632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66EDB7-A3E6-4621-945F-7EAA9BC8F179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D512F3DB-78E7-43BD-9D6D-3B9B87547D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9FA320-4597-41EA-9C2E-38AFD49ED9CB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0EEEAF17-813C-44D4-82B2-F48F01D99E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E70DE2-300B-40FA-8356-32C74226186A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27B3DB86-3F07-4AC0-866C-1A8DBDED6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A3F975-64BC-4195-B140-45EDE36C64AB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B53D3B1A-6AAD-4ACF-A563-8A524C9450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2048E7-4EBA-4845-AF55-3D7221E57D2A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9ED6130D-4CB5-4F8C-87AE-1E8B51399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D40370E-F3E3-4DFB-873F-7FC416A10606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6C9FC75F-686E-4039-91BB-B5F96491C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BDA6161-9096-4D98-B44D-F54376527C38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285437BF-C6E7-46B3-944D-5C7EF9F575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935D32-2FC5-41D9-BB04-9834240047B7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713B1853-F34D-43B1-A675-615700CEC9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75B600-3711-4BFF-8C68-3D00F3A3769E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D636A2EF-644A-4E2F-AA5D-656720022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A57478C-67B3-4466-B9CB-BADB62C3B14C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D3E9563E-ED2F-4C3F-96B8-7CC9C4B13E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1BE0BB-82EA-4ABE-A6BF-CF58D6F3F7F5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C646C6ED-B0C7-4D57-98A6-4CE281A684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9A2FF52-36BC-4323-A18A-8E5411424E16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4D2F2D9B-5D38-4B28-9C5A-8A640A91D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622DC1-59A5-477C-A013-9A18AE2234A6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F6AA1370-2EF4-4AB1-B787-1C640E0F4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884C25C-969F-48EB-B6D0-640932275CFC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185057</xdr:colOff>
      <xdr:row>0</xdr:row>
      <xdr:rowOff>101600</xdr:rowOff>
    </xdr:from>
    <xdr:to>
      <xdr:col>1</xdr:col>
      <xdr:colOff>756557</xdr:colOff>
      <xdr:row>3</xdr:row>
      <xdr:rowOff>127454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B7811B52-35CE-4849-B1EE-B99FA0AC1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917" y="101600"/>
          <a:ext cx="571500" cy="620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283029</xdr:colOff>
      <xdr:row>0</xdr:row>
      <xdr:rowOff>125186</xdr:rowOff>
    </xdr:from>
    <xdr:to>
      <xdr:col>9</xdr:col>
      <xdr:colOff>1054554</xdr:colOff>
      <xdr:row>3</xdr:row>
      <xdr:rowOff>103415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48AA1E-FC00-4280-B065-27703A378AF1}"/>
            </a:ext>
            <a:ext uri="{147F2762-F138-4A5C-976F-8EAC2B608ADB}">
              <a16:predDERef xmlns:a16="http://schemas.microsoft.com/office/drawing/2014/main" pred="{BF146FB3-08A2-4FE1-BF75-B9B775B77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64389" y="125186"/>
          <a:ext cx="771525" cy="572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169096</xdr:colOff>
      <xdr:row>0</xdr:row>
      <xdr:rowOff>85501</xdr:rowOff>
    </xdr:from>
    <xdr:to>
      <xdr:col>1</xdr:col>
      <xdr:colOff>731071</xdr:colOff>
      <xdr:row>3</xdr:row>
      <xdr:rowOff>142651</xdr:rowOff>
    </xdr:to>
    <xdr:pic>
      <xdr:nvPicPr>
        <xdr:cNvPr id="2" name="Imagen 4" descr="Escudo Pitalito">
          <a:extLst>
            <a:ext uri="{FF2B5EF4-FFF2-40B4-BE49-F238E27FC236}">
              <a16:creationId xmlns:a16="http://schemas.microsoft.com/office/drawing/2014/main" id="{397125B3-54BA-4EC7-A17B-680C1EFE78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956" y="85501"/>
          <a:ext cx="561975" cy="651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105335</xdr:colOff>
      <xdr:row>0</xdr:row>
      <xdr:rowOff>48747</xdr:rowOff>
    </xdr:from>
    <xdr:to>
      <xdr:col>10</xdr:col>
      <xdr:colOff>314775</xdr:colOff>
      <xdr:row>3</xdr:row>
      <xdr:rowOff>134472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5750D7E-36D4-4AA1-9217-2470C36830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48747"/>
          <a:ext cx="980404" cy="6773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AE88-8069-45BD-AE83-3C2E2D78503F}">
  <sheetPr>
    <tabColor rgb="FF92D050"/>
  </sheetPr>
  <dimension ref="A1:AC820"/>
  <sheetViews>
    <sheetView view="pageBreakPreview" zoomScale="60" zoomScaleNormal="70" workbookViewId="0">
      <selection activeCell="J331" sqref="J331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4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4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4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4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4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4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4" ht="31.95" customHeight="1" thickBot="1" x14ac:dyDescent="0.35">
      <c r="B7" s="480" t="s">
        <v>5</v>
      </c>
      <c r="C7" s="481"/>
      <c r="D7" s="481"/>
      <c r="E7" s="481"/>
      <c r="F7" s="481"/>
      <c r="G7" s="481"/>
      <c r="H7" s="481"/>
      <c r="I7" s="481"/>
      <c r="J7" s="482"/>
    </row>
    <row r="8" spans="2:14" ht="45.6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M8" s="142"/>
      <c r="N8" s="194"/>
    </row>
    <row r="9" spans="2:14" s="202" customFormat="1" ht="14.25" customHeight="1" x14ac:dyDescent="0.3">
      <c r="B9" s="195">
        <v>1</v>
      </c>
      <c r="C9" s="196" t="s">
        <v>15</v>
      </c>
      <c r="D9" s="197"/>
      <c r="E9" s="198"/>
      <c r="F9" s="199"/>
      <c r="G9" s="199"/>
      <c r="H9" s="200"/>
      <c r="I9" s="196"/>
      <c r="J9" s="201"/>
    </row>
    <row r="10" spans="2:14" ht="31.95" customHeight="1" x14ac:dyDescent="0.3">
      <c r="B10" s="203">
        <v>1.1000000000000001</v>
      </c>
      <c r="C10" s="204" t="s">
        <v>231</v>
      </c>
      <c r="D10" s="205" t="s">
        <v>40</v>
      </c>
      <c r="E10" s="206">
        <v>267.83999999999997</v>
      </c>
      <c r="F10" s="207">
        <v>10813</v>
      </c>
      <c r="G10" s="207">
        <f>+ROUND(E10*F10,0)</f>
        <v>2896154</v>
      </c>
      <c r="H10" s="208">
        <v>0.33</v>
      </c>
      <c r="I10" s="209">
        <f>(F10*(1+H10))</f>
        <v>14381.29</v>
      </c>
      <c r="J10" s="210">
        <f>ROUND(I10*E10,0)</f>
        <v>3851885</v>
      </c>
      <c r="L10" s="211"/>
      <c r="M10" s="212"/>
    </row>
    <row r="11" spans="2:14" ht="31.95" customHeight="1" x14ac:dyDescent="0.3">
      <c r="B11" s="203">
        <v>1.2</v>
      </c>
      <c r="C11" s="204" t="s">
        <v>232</v>
      </c>
      <c r="D11" s="205" t="s">
        <v>40</v>
      </c>
      <c r="E11" s="206">
        <v>60</v>
      </c>
      <c r="F11" s="207">
        <v>9810</v>
      </c>
      <c r="G11" s="207">
        <f t="shared" ref="G11:G29" si="0">+ROUND(E11*F11,0)</f>
        <v>588600</v>
      </c>
      <c r="H11" s="208">
        <v>0.33</v>
      </c>
      <c r="I11" s="209">
        <f t="shared" ref="I11:I29" si="1">(F11*(1+H11))</f>
        <v>13047.300000000001</v>
      </c>
      <c r="J11" s="210">
        <f>ROUND(I11*E11,0)</f>
        <v>782838</v>
      </c>
      <c r="L11" s="211"/>
      <c r="M11" s="212"/>
    </row>
    <row r="12" spans="2:14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>
        <v>9610</v>
      </c>
      <c r="G12" s="207">
        <f t="shared" si="0"/>
        <v>672700</v>
      </c>
      <c r="H12" s="208">
        <v>0.33</v>
      </c>
      <c r="I12" s="209">
        <f t="shared" si="1"/>
        <v>12781.300000000001</v>
      </c>
      <c r="J12" s="210">
        <f>ROUND(I12*E12,0)</f>
        <v>894691</v>
      </c>
      <c r="L12" s="211"/>
      <c r="M12" s="212"/>
    </row>
    <row r="13" spans="2:14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>
        <v>20883</v>
      </c>
      <c r="G13" s="207">
        <f t="shared" si="0"/>
        <v>1085916</v>
      </c>
      <c r="H13" s="208">
        <v>0.33</v>
      </c>
      <c r="I13" s="209">
        <f t="shared" si="1"/>
        <v>27774.390000000003</v>
      </c>
      <c r="J13" s="210">
        <f>ROUND(I13*E13,0)</f>
        <v>1444268</v>
      </c>
      <c r="L13" s="211"/>
      <c r="M13" s="212"/>
    </row>
    <row r="14" spans="2:14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24"/>
    </row>
    <row r="15" spans="2:14" ht="62.4" x14ac:dyDescent="0.3">
      <c r="B15" s="225">
        <v>2.1</v>
      </c>
      <c r="C15" s="204" t="s">
        <v>235</v>
      </c>
      <c r="D15" s="205" t="s">
        <v>40</v>
      </c>
      <c r="E15" s="206">
        <v>268</v>
      </c>
      <c r="F15" s="207">
        <v>76329</v>
      </c>
      <c r="G15" s="207">
        <f t="shared" si="0"/>
        <v>20456172</v>
      </c>
      <c r="H15" s="208">
        <v>0.33</v>
      </c>
      <c r="I15" s="209">
        <f t="shared" si="1"/>
        <v>101517.57</v>
      </c>
      <c r="J15" s="210">
        <f t="shared" ref="J15:J20" si="2">ROUND(I15*E15,0)</f>
        <v>27206709</v>
      </c>
      <c r="K15" s="121"/>
      <c r="L15" s="211"/>
      <c r="M15" s="212"/>
    </row>
    <row r="16" spans="2:14" ht="46.8" x14ac:dyDescent="0.3">
      <c r="B16" s="225">
        <v>2.2000000000000002</v>
      </c>
      <c r="C16" s="226" t="s">
        <v>236</v>
      </c>
      <c r="D16" s="205" t="s">
        <v>371</v>
      </c>
      <c r="E16" s="206">
        <v>23.5</v>
      </c>
      <c r="F16" s="207">
        <v>39523</v>
      </c>
      <c r="G16" s="207">
        <f t="shared" si="0"/>
        <v>928791</v>
      </c>
      <c r="H16" s="208">
        <v>0.33</v>
      </c>
      <c r="I16" s="209">
        <f t="shared" si="1"/>
        <v>52565.590000000004</v>
      </c>
      <c r="J16" s="210">
        <f t="shared" si="2"/>
        <v>1235291</v>
      </c>
      <c r="K16" s="121"/>
      <c r="L16" s="211"/>
      <c r="M16" s="212"/>
    </row>
    <row r="17" spans="2:13" ht="32.25" customHeight="1" x14ac:dyDescent="0.3">
      <c r="B17" s="225">
        <v>2.2999999999999998</v>
      </c>
      <c r="C17" s="204" t="s">
        <v>237</v>
      </c>
      <c r="D17" s="205" t="s">
        <v>371</v>
      </c>
      <c r="E17" s="206">
        <v>47</v>
      </c>
      <c r="F17" s="207">
        <v>129953</v>
      </c>
      <c r="G17" s="207">
        <f t="shared" si="0"/>
        <v>6107791</v>
      </c>
      <c r="H17" s="208">
        <v>0.33</v>
      </c>
      <c r="I17" s="209">
        <f t="shared" si="1"/>
        <v>172837.49000000002</v>
      </c>
      <c r="J17" s="210">
        <f t="shared" si="2"/>
        <v>8123362</v>
      </c>
      <c r="K17" s="121"/>
      <c r="L17" s="211"/>
      <c r="M17" s="212"/>
    </row>
    <row r="18" spans="2:13" ht="32.25" customHeight="1" x14ac:dyDescent="0.3">
      <c r="B18" s="225">
        <v>2.4</v>
      </c>
      <c r="C18" s="204" t="s">
        <v>238</v>
      </c>
      <c r="D18" s="205" t="s">
        <v>371</v>
      </c>
      <c r="E18" s="206">
        <v>15</v>
      </c>
      <c r="F18" s="207">
        <v>39486</v>
      </c>
      <c r="G18" s="207">
        <f t="shared" si="0"/>
        <v>592290</v>
      </c>
      <c r="H18" s="208">
        <v>0.33</v>
      </c>
      <c r="I18" s="209">
        <f t="shared" si="1"/>
        <v>52516.380000000005</v>
      </c>
      <c r="J18" s="210">
        <f t="shared" si="2"/>
        <v>787746</v>
      </c>
      <c r="K18" s="121"/>
      <c r="L18" s="211"/>
      <c r="M18" s="212"/>
    </row>
    <row r="19" spans="2:13" ht="32.25" customHeight="1" x14ac:dyDescent="0.3">
      <c r="B19" s="225">
        <v>2.5</v>
      </c>
      <c r="C19" s="204" t="s">
        <v>239</v>
      </c>
      <c r="D19" s="205" t="s">
        <v>40</v>
      </c>
      <c r="E19" s="206">
        <f>+E20*2</f>
        <v>31.92</v>
      </c>
      <c r="F19" s="207">
        <v>75728</v>
      </c>
      <c r="G19" s="207">
        <f t="shared" si="0"/>
        <v>2417238</v>
      </c>
      <c r="H19" s="208">
        <v>0.33</v>
      </c>
      <c r="I19" s="209">
        <f t="shared" si="1"/>
        <v>100718.24</v>
      </c>
      <c r="J19" s="210">
        <f t="shared" si="2"/>
        <v>3214926</v>
      </c>
      <c r="K19" s="121"/>
      <c r="L19" s="211"/>
      <c r="M19" s="212"/>
    </row>
    <row r="20" spans="2:13" ht="32.25" customHeight="1" x14ac:dyDescent="0.3">
      <c r="B20" s="225">
        <v>2.6</v>
      </c>
      <c r="C20" s="204" t="s">
        <v>240</v>
      </c>
      <c r="D20" s="205" t="s">
        <v>40</v>
      </c>
      <c r="E20" s="206">
        <f>10.64*1.5</f>
        <v>15.96</v>
      </c>
      <c r="F20" s="207">
        <v>58969</v>
      </c>
      <c r="G20" s="207">
        <f t="shared" si="0"/>
        <v>941145</v>
      </c>
      <c r="H20" s="208">
        <v>0.33</v>
      </c>
      <c r="I20" s="209">
        <f t="shared" si="1"/>
        <v>78428.77</v>
      </c>
      <c r="J20" s="210">
        <f t="shared" si="2"/>
        <v>1251723</v>
      </c>
      <c r="K20" s="121"/>
      <c r="L20" s="211"/>
      <c r="M20" s="212"/>
    </row>
    <row r="21" spans="2:13" ht="32.25" customHeight="1" x14ac:dyDescent="0.3">
      <c r="B21" s="225">
        <v>2.6</v>
      </c>
      <c r="C21" s="204" t="s">
        <v>241</v>
      </c>
      <c r="D21" s="205" t="s">
        <v>370</v>
      </c>
      <c r="E21" s="206">
        <v>226</v>
      </c>
      <c r="F21" s="207">
        <v>16921</v>
      </c>
      <c r="G21" s="207">
        <f t="shared" si="0"/>
        <v>3824146</v>
      </c>
      <c r="H21" s="208">
        <v>0.33</v>
      </c>
      <c r="I21" s="209">
        <f t="shared" si="1"/>
        <v>22504.93</v>
      </c>
      <c r="J21" s="210">
        <f>ROUND(I21*E21,0)</f>
        <v>5086114</v>
      </c>
      <c r="K21" s="121"/>
      <c r="L21" s="211"/>
      <c r="M21" s="212"/>
    </row>
    <row r="22" spans="2:13" s="202" customFormat="1" x14ac:dyDescent="0.3">
      <c r="B22" s="213">
        <v>3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24"/>
    </row>
    <row r="23" spans="2:13" ht="31.2" x14ac:dyDescent="0.3">
      <c r="B23" s="225">
        <v>3.1</v>
      </c>
      <c r="C23" s="227" t="s">
        <v>242</v>
      </c>
      <c r="D23" s="228" t="s">
        <v>19</v>
      </c>
      <c r="E23" s="206">
        <v>2</v>
      </c>
      <c r="F23" s="207">
        <v>134144</v>
      </c>
      <c r="G23" s="207">
        <f t="shared" si="0"/>
        <v>268288</v>
      </c>
      <c r="H23" s="208">
        <v>0.33</v>
      </c>
      <c r="I23" s="209">
        <f t="shared" si="1"/>
        <v>178411.52000000002</v>
      </c>
      <c r="J23" s="210">
        <f t="shared" ref="J23:J25" si="3">ROUND(I23*E23,0)</f>
        <v>356823</v>
      </c>
      <c r="K23" s="121"/>
      <c r="L23" s="211"/>
      <c r="M23" s="212"/>
    </row>
    <row r="24" spans="2:13" ht="75" customHeight="1" x14ac:dyDescent="0.3">
      <c r="B24" s="225">
        <v>3.2</v>
      </c>
      <c r="C24" s="227" t="s">
        <v>243</v>
      </c>
      <c r="D24" s="228" t="s">
        <v>19</v>
      </c>
      <c r="E24" s="206">
        <v>8</v>
      </c>
      <c r="F24" s="207">
        <v>217940</v>
      </c>
      <c r="G24" s="207">
        <f t="shared" si="0"/>
        <v>1743520</v>
      </c>
      <c r="H24" s="208">
        <v>0.33</v>
      </c>
      <c r="I24" s="209">
        <f t="shared" si="1"/>
        <v>289860.2</v>
      </c>
      <c r="J24" s="210">
        <f t="shared" si="3"/>
        <v>2318882</v>
      </c>
      <c r="K24" s="121"/>
      <c r="L24" s="211"/>
      <c r="M24" s="212"/>
    </row>
    <row r="25" spans="2:13" ht="31.2" x14ac:dyDescent="0.3">
      <c r="B25" s="225">
        <v>3.3</v>
      </c>
      <c r="C25" s="227" t="s">
        <v>244</v>
      </c>
      <c r="D25" s="228" t="s">
        <v>39</v>
      </c>
      <c r="E25" s="206">
        <f>15.5*2</f>
        <v>31</v>
      </c>
      <c r="F25" s="207">
        <v>43198</v>
      </c>
      <c r="G25" s="207">
        <f t="shared" si="0"/>
        <v>1339138</v>
      </c>
      <c r="H25" s="208">
        <v>0.33</v>
      </c>
      <c r="I25" s="209">
        <f t="shared" si="1"/>
        <v>57453.340000000004</v>
      </c>
      <c r="J25" s="210">
        <f t="shared" si="3"/>
        <v>1781054</v>
      </c>
      <c r="K25" s="121"/>
      <c r="L25" s="211"/>
      <c r="M25" s="212"/>
    </row>
    <row r="26" spans="2:13" s="202" customFormat="1" x14ac:dyDescent="0.3">
      <c r="B26" s="213">
        <v>4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24"/>
    </row>
    <row r="27" spans="2:13" x14ac:dyDescent="0.3">
      <c r="B27" s="225">
        <v>4.0999999999999996</v>
      </c>
      <c r="C27" s="226" t="s">
        <v>18</v>
      </c>
      <c r="D27" s="228" t="s">
        <v>19</v>
      </c>
      <c r="E27" s="206">
        <v>1</v>
      </c>
      <c r="F27" s="207">
        <v>150000</v>
      </c>
      <c r="G27" s="207">
        <f t="shared" si="0"/>
        <v>150000</v>
      </c>
      <c r="H27" s="208">
        <v>0.33</v>
      </c>
      <c r="I27" s="209">
        <f t="shared" si="1"/>
        <v>199500</v>
      </c>
      <c r="J27" s="210">
        <f t="shared" ref="J27:J29" si="4">ROUND(I27*E27,0)</f>
        <v>199500</v>
      </c>
      <c r="K27" s="121"/>
      <c r="L27" s="211"/>
      <c r="M27" s="212"/>
    </row>
    <row r="28" spans="2:13" x14ac:dyDescent="0.3">
      <c r="B28" s="225">
        <v>4.2</v>
      </c>
      <c r="C28" s="226" t="s">
        <v>20</v>
      </c>
      <c r="D28" s="228" t="s">
        <v>19</v>
      </c>
      <c r="E28" s="206">
        <v>1</v>
      </c>
      <c r="F28" s="207">
        <v>250000</v>
      </c>
      <c r="G28" s="207">
        <f t="shared" si="0"/>
        <v>250000</v>
      </c>
      <c r="H28" s="208">
        <v>0.33</v>
      </c>
      <c r="I28" s="209">
        <f t="shared" si="1"/>
        <v>332500</v>
      </c>
      <c r="J28" s="210">
        <f t="shared" si="4"/>
        <v>332500</v>
      </c>
      <c r="K28" s="121"/>
      <c r="L28" s="211"/>
      <c r="M28" s="212"/>
    </row>
    <row r="29" spans="2:13" ht="84.6" customHeight="1" thickBot="1" x14ac:dyDescent="0.35">
      <c r="B29" s="229">
        <v>4.3</v>
      </c>
      <c r="C29" s="230" t="s">
        <v>245</v>
      </c>
      <c r="D29" s="231" t="s">
        <v>65</v>
      </c>
      <c r="E29" s="232">
        <v>12</v>
      </c>
      <c r="F29" s="233">
        <v>49760</v>
      </c>
      <c r="G29" s="233">
        <f t="shared" si="0"/>
        <v>597120</v>
      </c>
      <c r="H29" s="234">
        <v>0.33</v>
      </c>
      <c r="I29" s="235">
        <f t="shared" si="1"/>
        <v>66180.800000000003</v>
      </c>
      <c r="J29" s="236">
        <f t="shared" si="4"/>
        <v>794170</v>
      </c>
      <c r="K29" s="121"/>
      <c r="L29" s="211"/>
      <c r="M29" s="212"/>
    </row>
    <row r="30" spans="2:13" x14ac:dyDescent="0.3">
      <c r="B30" s="121"/>
      <c r="C30" s="122"/>
      <c r="D30" s="237"/>
      <c r="E30" s="238"/>
      <c r="F30" s="239"/>
      <c r="G30" s="239"/>
      <c r="H30" s="240"/>
      <c r="I30" s="241"/>
      <c r="J30" s="241"/>
      <c r="K30" s="121"/>
      <c r="L30" s="211"/>
    </row>
    <row r="31" spans="2:13" x14ac:dyDescent="0.3">
      <c r="B31" s="121"/>
      <c r="C31" s="122"/>
      <c r="D31" s="237"/>
      <c r="E31" s="238"/>
      <c r="F31" s="239"/>
      <c r="G31" s="239"/>
      <c r="H31" s="240"/>
      <c r="I31" s="241"/>
      <c r="J31" s="241"/>
      <c r="K31" s="121"/>
      <c r="L31" s="211"/>
    </row>
    <row r="32" spans="2:13" x14ac:dyDescent="0.3">
      <c r="B32" s="242"/>
      <c r="C32" s="243"/>
      <c r="D32" s="536" t="s">
        <v>21</v>
      </c>
      <c r="E32" s="536"/>
      <c r="F32" s="536"/>
      <c r="G32" s="244">
        <f>SUM(G10:G29)</f>
        <v>44859009</v>
      </c>
      <c r="H32" s="245"/>
      <c r="I32" s="141"/>
      <c r="J32" s="246">
        <f>+SUM(J9:J29)</f>
        <v>59662482</v>
      </c>
      <c r="L32" s="133"/>
      <c r="M32" s="133"/>
    </row>
    <row r="33" spans="2:13" x14ac:dyDescent="0.3">
      <c r="B33" s="121"/>
      <c r="C33" s="122"/>
      <c r="D33" s="237"/>
      <c r="E33" s="238"/>
      <c r="F33" s="239"/>
      <c r="G33" s="239"/>
      <c r="H33" s="240"/>
      <c r="I33" s="241"/>
      <c r="J33" s="241"/>
      <c r="K33" s="121"/>
      <c r="L33" s="211"/>
    </row>
    <row r="34" spans="2:13" ht="16.2" thickBot="1" x14ac:dyDescent="0.35">
      <c r="B34" s="139"/>
      <c r="C34" s="243"/>
      <c r="D34" s="135"/>
      <c r="E34" s="247"/>
      <c r="F34" s="135"/>
      <c r="G34" s="141"/>
      <c r="H34" s="245"/>
      <c r="I34" s="141"/>
      <c r="J34" s="141"/>
      <c r="L34" s="211"/>
    </row>
    <row r="35" spans="2:13" ht="36" customHeight="1" thickBot="1" x14ac:dyDescent="0.35">
      <c r="B35" s="480" t="s">
        <v>22</v>
      </c>
      <c r="C35" s="481"/>
      <c r="D35" s="481"/>
      <c r="E35" s="481"/>
      <c r="F35" s="481"/>
      <c r="G35" s="481"/>
      <c r="H35" s="481"/>
      <c r="I35" s="481"/>
      <c r="J35" s="482"/>
      <c r="L35" s="211"/>
    </row>
    <row r="36" spans="2:13" s="119" customFormat="1" ht="46.95" customHeight="1" thickBot="1" x14ac:dyDescent="0.35">
      <c r="B36" s="187" t="s">
        <v>6</v>
      </c>
      <c r="C36" s="188" t="s">
        <v>7</v>
      </c>
      <c r="D36" s="189" t="s">
        <v>8</v>
      </c>
      <c r="E36" s="190" t="s">
        <v>9</v>
      </c>
      <c r="F36" s="191" t="s">
        <v>10</v>
      </c>
      <c r="G36" s="192" t="s">
        <v>11</v>
      </c>
      <c r="H36" s="192" t="s">
        <v>12</v>
      </c>
      <c r="I36" s="192" t="s">
        <v>13</v>
      </c>
      <c r="J36" s="193" t="s">
        <v>14</v>
      </c>
      <c r="L36" s="211"/>
      <c r="M36" s="117"/>
    </row>
    <row r="37" spans="2:13" s="202" customFormat="1" ht="14.25" customHeight="1" x14ac:dyDescent="0.3">
      <c r="B37" s="195">
        <v>1</v>
      </c>
      <c r="C37" s="248" t="s">
        <v>15</v>
      </c>
      <c r="D37" s="197"/>
      <c r="E37" s="198"/>
      <c r="F37" s="199"/>
      <c r="G37" s="199"/>
      <c r="H37" s="200"/>
      <c r="I37" s="196"/>
      <c r="J37" s="201"/>
      <c r="L37" s="223"/>
      <c r="M37" s="249"/>
    </row>
    <row r="38" spans="2:13" ht="31.95" customHeight="1" x14ac:dyDescent="0.3">
      <c r="B38" s="203">
        <v>1.1000000000000001</v>
      </c>
      <c r="C38" s="226" t="s">
        <v>231</v>
      </c>
      <c r="D38" s="205" t="s">
        <v>40</v>
      </c>
      <c r="E38" s="206">
        <v>120</v>
      </c>
      <c r="F38" s="207">
        <v>10813</v>
      </c>
      <c r="G38" s="207">
        <f>+ROUND(E38*F38,0)</f>
        <v>1297560</v>
      </c>
      <c r="H38" s="208">
        <v>0.33</v>
      </c>
      <c r="I38" s="209">
        <f>(F38*(1+H38))</f>
        <v>14381.29</v>
      </c>
      <c r="J38" s="210">
        <f>ROUND(I38*E38,0)</f>
        <v>1725755</v>
      </c>
      <c r="L38" s="211"/>
      <c r="M38" s="212"/>
    </row>
    <row r="39" spans="2:13" ht="31.95" customHeight="1" x14ac:dyDescent="0.3">
      <c r="B39" s="203">
        <v>1.2</v>
      </c>
      <c r="C39" s="204" t="s">
        <v>232</v>
      </c>
      <c r="D39" s="205" t="s">
        <v>40</v>
      </c>
      <c r="E39" s="206">
        <f>+E38</f>
        <v>120</v>
      </c>
      <c r="F39" s="207">
        <v>9810</v>
      </c>
      <c r="G39" s="207">
        <f t="shared" ref="G39:G57" si="5">+ROUND(E39*F39,0)</f>
        <v>1177200</v>
      </c>
      <c r="H39" s="208">
        <v>0.33</v>
      </c>
      <c r="I39" s="209">
        <f>(F39*(1+H39))</f>
        <v>13047.300000000001</v>
      </c>
      <c r="J39" s="210">
        <f t="shared" ref="J39:J57" si="6">ROUND(I39*E39,0)</f>
        <v>1565676</v>
      </c>
      <c r="L39" s="211"/>
      <c r="M39" s="212"/>
    </row>
    <row r="40" spans="2:13" ht="31.95" customHeight="1" x14ac:dyDescent="0.3">
      <c r="B40" s="203">
        <v>1.3</v>
      </c>
      <c r="C40" s="204" t="s">
        <v>233</v>
      </c>
      <c r="D40" s="205" t="s">
        <v>370</v>
      </c>
      <c r="E40" s="206">
        <f>9+8+8+10</f>
        <v>35</v>
      </c>
      <c r="F40" s="207">
        <v>9610</v>
      </c>
      <c r="G40" s="207">
        <f t="shared" si="5"/>
        <v>336350</v>
      </c>
      <c r="H40" s="208">
        <v>0.33</v>
      </c>
      <c r="I40" s="209">
        <f>(F40*(1+H40))</f>
        <v>12781.300000000001</v>
      </c>
      <c r="J40" s="210">
        <f t="shared" si="6"/>
        <v>447346</v>
      </c>
      <c r="L40" s="211"/>
      <c r="M40" s="212"/>
    </row>
    <row r="41" spans="2:13" ht="31.95" customHeight="1" x14ac:dyDescent="0.3">
      <c r="B41" s="203">
        <v>1.4</v>
      </c>
      <c r="C41" s="204" t="s">
        <v>234</v>
      </c>
      <c r="D41" s="205" t="s">
        <v>39</v>
      </c>
      <c r="E41" s="206">
        <f>9+9+8+8</f>
        <v>34</v>
      </c>
      <c r="F41" s="207">
        <v>20883</v>
      </c>
      <c r="G41" s="207">
        <f t="shared" si="5"/>
        <v>710022</v>
      </c>
      <c r="H41" s="208">
        <v>0.33</v>
      </c>
      <c r="I41" s="209">
        <f>(F41*(1+H41))</f>
        <v>27774.390000000003</v>
      </c>
      <c r="J41" s="210">
        <f t="shared" si="6"/>
        <v>944329</v>
      </c>
      <c r="L41" s="211"/>
      <c r="M41" s="212"/>
    </row>
    <row r="42" spans="2:13" s="202" customFormat="1" x14ac:dyDescent="0.3">
      <c r="B42" s="213">
        <v>2</v>
      </c>
      <c r="C42" s="214" t="s">
        <v>16</v>
      </c>
      <c r="D42" s="215"/>
      <c r="E42" s="216"/>
      <c r="F42" s="217"/>
      <c r="G42" s="218"/>
      <c r="H42" s="219"/>
      <c r="I42" s="220"/>
      <c r="J42" s="221"/>
      <c r="K42" s="222"/>
      <c r="L42" s="223"/>
      <c r="M42" s="224"/>
    </row>
    <row r="43" spans="2:13" ht="62.4" x14ac:dyDescent="0.3">
      <c r="B43" s="225">
        <v>2.1</v>
      </c>
      <c r="C43" s="226" t="s">
        <v>235</v>
      </c>
      <c r="D43" s="205" t="s">
        <v>40</v>
      </c>
      <c r="E43" s="206">
        <v>120</v>
      </c>
      <c r="F43" s="207">
        <v>76329</v>
      </c>
      <c r="G43" s="207">
        <f t="shared" si="5"/>
        <v>9159480</v>
      </c>
      <c r="H43" s="208">
        <v>0.33</v>
      </c>
      <c r="I43" s="209">
        <f>(F43*(1+H43))</f>
        <v>101517.57</v>
      </c>
      <c r="J43" s="210">
        <f t="shared" si="6"/>
        <v>12182108</v>
      </c>
      <c r="K43" s="121"/>
      <c r="L43" s="211"/>
      <c r="M43" s="212"/>
    </row>
    <row r="44" spans="2:13" ht="65.400000000000006" customHeight="1" x14ac:dyDescent="0.3">
      <c r="B44" s="225">
        <v>2.2000000000000002</v>
      </c>
      <c r="C44" s="226" t="s">
        <v>246</v>
      </c>
      <c r="D44" s="228" t="s">
        <v>39</v>
      </c>
      <c r="E44" s="206">
        <v>104</v>
      </c>
      <c r="F44" s="207">
        <v>66157</v>
      </c>
      <c r="G44" s="207">
        <f t="shared" si="5"/>
        <v>6880328</v>
      </c>
      <c r="H44" s="208">
        <v>0.33</v>
      </c>
      <c r="I44" s="209">
        <f t="shared" ref="I44:I57" si="7">(F44*(1+H44))</f>
        <v>87988.81</v>
      </c>
      <c r="J44" s="210">
        <f t="shared" si="6"/>
        <v>9150836</v>
      </c>
      <c r="K44" s="121"/>
      <c r="L44" s="211"/>
      <c r="M44" s="212"/>
    </row>
    <row r="45" spans="2:13" ht="46.8" x14ac:dyDescent="0.3">
      <c r="B45" s="225">
        <v>2.2999999999999998</v>
      </c>
      <c r="C45" s="226" t="s">
        <v>236</v>
      </c>
      <c r="D45" s="205" t="s">
        <v>371</v>
      </c>
      <c r="E45" s="206">
        <v>13</v>
      </c>
      <c r="F45" s="207">
        <v>39523</v>
      </c>
      <c r="G45" s="207">
        <f t="shared" si="5"/>
        <v>513799</v>
      </c>
      <c r="H45" s="208">
        <v>0.33</v>
      </c>
      <c r="I45" s="209">
        <f t="shared" si="7"/>
        <v>52565.590000000004</v>
      </c>
      <c r="J45" s="210">
        <f t="shared" si="6"/>
        <v>683353</v>
      </c>
      <c r="K45" s="121"/>
      <c r="L45" s="211"/>
      <c r="M45" s="212"/>
    </row>
    <row r="46" spans="2:13" ht="46.8" x14ac:dyDescent="0.3">
      <c r="B46" s="225">
        <v>2.5</v>
      </c>
      <c r="C46" s="226" t="s">
        <v>247</v>
      </c>
      <c r="D46" s="205" t="s">
        <v>39</v>
      </c>
      <c r="E46" s="206">
        <v>9.1</v>
      </c>
      <c r="F46" s="207">
        <v>270384</v>
      </c>
      <c r="G46" s="207">
        <f t="shared" si="5"/>
        <v>2460494</v>
      </c>
      <c r="H46" s="208">
        <v>0.33</v>
      </c>
      <c r="I46" s="209">
        <f t="shared" si="7"/>
        <v>359610.72000000003</v>
      </c>
      <c r="J46" s="210">
        <f t="shared" si="6"/>
        <v>3272458</v>
      </c>
      <c r="K46" s="121"/>
      <c r="L46" s="211"/>
      <c r="M46" s="212"/>
    </row>
    <row r="47" spans="2:13" s="249" customFormat="1" x14ac:dyDescent="0.3">
      <c r="B47" s="213">
        <v>3</v>
      </c>
      <c r="C47" s="214" t="s">
        <v>23</v>
      </c>
      <c r="D47" s="215"/>
      <c r="E47" s="216"/>
      <c r="F47" s="217"/>
      <c r="G47" s="218"/>
      <c r="H47" s="219"/>
      <c r="I47" s="220"/>
      <c r="J47" s="221"/>
      <c r="K47" s="250"/>
      <c r="L47" s="223"/>
      <c r="M47" s="224"/>
    </row>
    <row r="48" spans="2:13" ht="31.2" x14ac:dyDescent="0.3">
      <c r="B48" s="225">
        <v>3.1</v>
      </c>
      <c r="C48" s="226" t="s">
        <v>239</v>
      </c>
      <c r="D48" s="205" t="s">
        <v>40</v>
      </c>
      <c r="E48" s="206">
        <f>+E49*2</f>
        <v>21.28</v>
      </c>
      <c r="F48" s="207">
        <v>75728</v>
      </c>
      <c r="G48" s="207">
        <f t="shared" si="5"/>
        <v>1611492</v>
      </c>
      <c r="H48" s="208">
        <v>0.33</v>
      </c>
      <c r="I48" s="209">
        <f t="shared" si="7"/>
        <v>100718.24</v>
      </c>
      <c r="J48" s="210">
        <f t="shared" si="6"/>
        <v>2143284</v>
      </c>
      <c r="K48" s="121"/>
      <c r="L48" s="211"/>
      <c r="M48" s="212"/>
    </row>
    <row r="49" spans="2:16" ht="32.25" customHeight="1" x14ac:dyDescent="0.3">
      <c r="B49" s="225">
        <v>2.8</v>
      </c>
      <c r="C49" s="204" t="s">
        <v>240</v>
      </c>
      <c r="D49" s="205" t="s">
        <v>40</v>
      </c>
      <c r="E49" s="206">
        <v>10.64</v>
      </c>
      <c r="F49" s="207">
        <v>58969</v>
      </c>
      <c r="G49" s="207">
        <f t="shared" si="5"/>
        <v>627430</v>
      </c>
      <c r="H49" s="208">
        <v>0.33</v>
      </c>
      <c r="I49" s="209">
        <f t="shared" si="7"/>
        <v>78428.77</v>
      </c>
      <c r="J49" s="210">
        <f t="shared" si="6"/>
        <v>834482</v>
      </c>
      <c r="K49" s="121"/>
      <c r="L49" s="211"/>
      <c r="M49" s="212"/>
    </row>
    <row r="50" spans="2:16" s="202" customFormat="1" x14ac:dyDescent="0.3">
      <c r="B50" s="213">
        <v>4</v>
      </c>
      <c r="C50" s="214" t="s">
        <v>43</v>
      </c>
      <c r="D50" s="215"/>
      <c r="E50" s="216"/>
      <c r="F50" s="217"/>
      <c r="G50" s="218"/>
      <c r="H50" s="219"/>
      <c r="I50" s="220"/>
      <c r="J50" s="221"/>
      <c r="K50" s="222"/>
      <c r="L50" s="223"/>
      <c r="M50" s="224"/>
    </row>
    <row r="51" spans="2:16" ht="31.2" x14ac:dyDescent="0.3">
      <c r="B51" s="225">
        <v>4.0999999999999996</v>
      </c>
      <c r="C51" s="227" t="s">
        <v>242</v>
      </c>
      <c r="D51" s="228" t="s">
        <v>19</v>
      </c>
      <c r="E51" s="206">
        <v>1</v>
      </c>
      <c r="F51" s="207">
        <v>134144</v>
      </c>
      <c r="G51" s="207">
        <f t="shared" si="5"/>
        <v>134144</v>
      </c>
      <c r="H51" s="208">
        <v>0.33</v>
      </c>
      <c r="I51" s="209">
        <f t="shared" si="7"/>
        <v>178411.52000000002</v>
      </c>
      <c r="J51" s="210">
        <f t="shared" si="6"/>
        <v>178412</v>
      </c>
      <c r="K51" s="121"/>
      <c r="L51" s="211"/>
      <c r="M51" s="212"/>
    </row>
    <row r="52" spans="2:16" ht="75" customHeight="1" x14ac:dyDescent="0.3">
      <c r="B52" s="225">
        <v>4.2</v>
      </c>
      <c r="C52" s="227" t="s">
        <v>243</v>
      </c>
      <c r="D52" s="228" t="s">
        <v>19</v>
      </c>
      <c r="E52" s="206">
        <v>4</v>
      </c>
      <c r="F52" s="207">
        <v>217940</v>
      </c>
      <c r="G52" s="207">
        <f t="shared" si="5"/>
        <v>871760</v>
      </c>
      <c r="H52" s="208">
        <v>0.33</v>
      </c>
      <c r="I52" s="209">
        <f t="shared" si="7"/>
        <v>289860.2</v>
      </c>
      <c r="J52" s="210">
        <f t="shared" si="6"/>
        <v>1159441</v>
      </c>
      <c r="K52" s="121"/>
      <c r="L52" s="211"/>
      <c r="M52" s="212"/>
    </row>
    <row r="53" spans="2:16" ht="31.2" x14ac:dyDescent="0.3">
      <c r="B53" s="225">
        <v>4.3</v>
      </c>
      <c r="C53" s="227" t="s">
        <v>244</v>
      </c>
      <c r="D53" s="228" t="s">
        <v>39</v>
      </c>
      <c r="E53" s="206">
        <v>15.5</v>
      </c>
      <c r="F53" s="207">
        <v>43198</v>
      </c>
      <c r="G53" s="207">
        <f t="shared" si="5"/>
        <v>669569</v>
      </c>
      <c r="H53" s="208">
        <v>0.33</v>
      </c>
      <c r="I53" s="209">
        <f t="shared" si="7"/>
        <v>57453.340000000004</v>
      </c>
      <c r="J53" s="210">
        <f t="shared" si="6"/>
        <v>890527</v>
      </c>
      <c r="K53" s="121"/>
      <c r="L53" s="211"/>
      <c r="M53" s="212"/>
    </row>
    <row r="54" spans="2:16" s="202" customFormat="1" x14ac:dyDescent="0.3">
      <c r="B54" s="213">
        <v>5</v>
      </c>
      <c r="C54" s="214" t="s">
        <v>17</v>
      </c>
      <c r="D54" s="215"/>
      <c r="E54" s="216"/>
      <c r="F54" s="217"/>
      <c r="G54" s="218"/>
      <c r="H54" s="219"/>
      <c r="I54" s="220"/>
      <c r="J54" s="221"/>
      <c r="K54" s="222"/>
      <c r="L54" s="223"/>
      <c r="M54" s="224"/>
    </row>
    <row r="55" spans="2:16" x14ac:dyDescent="0.3">
      <c r="B55" s="225">
        <v>5.0999999999999996</v>
      </c>
      <c r="C55" s="226" t="s">
        <v>18</v>
      </c>
      <c r="D55" s="228" t="s">
        <v>19</v>
      </c>
      <c r="E55" s="206">
        <v>1</v>
      </c>
      <c r="F55" s="207">
        <v>150000</v>
      </c>
      <c r="G55" s="207">
        <f t="shared" si="5"/>
        <v>150000</v>
      </c>
      <c r="H55" s="208">
        <v>0.33</v>
      </c>
      <c r="I55" s="209">
        <f t="shared" si="7"/>
        <v>199500</v>
      </c>
      <c r="J55" s="210">
        <f t="shared" si="6"/>
        <v>199500</v>
      </c>
      <c r="K55" s="121"/>
      <c r="L55" s="211"/>
      <c r="M55" s="212"/>
    </row>
    <row r="56" spans="2:16" x14ac:dyDescent="0.3">
      <c r="B56" s="225">
        <v>5.2</v>
      </c>
      <c r="C56" s="226" t="s">
        <v>20</v>
      </c>
      <c r="D56" s="228" t="s">
        <v>19</v>
      </c>
      <c r="E56" s="206">
        <v>1</v>
      </c>
      <c r="F56" s="207">
        <v>250000</v>
      </c>
      <c r="G56" s="207">
        <f t="shared" si="5"/>
        <v>250000</v>
      </c>
      <c r="H56" s="208">
        <v>0.33</v>
      </c>
      <c r="I56" s="209">
        <f t="shared" si="7"/>
        <v>332500</v>
      </c>
      <c r="J56" s="210">
        <f t="shared" si="6"/>
        <v>332500</v>
      </c>
      <c r="K56" s="121"/>
      <c r="L56" s="211"/>
      <c r="M56" s="212"/>
    </row>
    <row r="57" spans="2:16" ht="78.599999999999994" customHeight="1" thickBot="1" x14ac:dyDescent="0.35">
      <c r="B57" s="229">
        <v>5.3</v>
      </c>
      <c r="C57" s="251" t="s">
        <v>245</v>
      </c>
      <c r="D57" s="231" t="s">
        <v>65</v>
      </c>
      <c r="E57" s="232">
        <v>12</v>
      </c>
      <c r="F57" s="233">
        <v>49760</v>
      </c>
      <c r="G57" s="233">
        <f t="shared" si="5"/>
        <v>597120</v>
      </c>
      <c r="H57" s="234">
        <v>0.33</v>
      </c>
      <c r="I57" s="235">
        <f t="shared" si="7"/>
        <v>66180.800000000003</v>
      </c>
      <c r="J57" s="236">
        <f t="shared" si="6"/>
        <v>794170</v>
      </c>
      <c r="K57" s="121"/>
      <c r="L57" s="211"/>
      <c r="M57" s="212"/>
    </row>
    <row r="58" spans="2:16" x14ac:dyDescent="0.3">
      <c r="B58" s="121"/>
      <c r="C58" s="122"/>
      <c r="D58" s="123"/>
      <c r="E58" s="238"/>
      <c r="F58" s="239"/>
      <c r="G58" s="239"/>
      <c r="H58" s="252"/>
      <c r="I58" s="133"/>
      <c r="J58" s="133"/>
      <c r="K58" s="121"/>
      <c r="L58" s="211"/>
    </row>
    <row r="59" spans="2:16" s="119" customFormat="1" ht="18" customHeight="1" x14ac:dyDescent="0.3">
      <c r="B59" s="253"/>
      <c r="C59" s="118"/>
      <c r="D59" s="121"/>
      <c r="E59" s="124"/>
      <c r="F59" s="125"/>
      <c r="G59" s="125"/>
      <c r="H59" s="125"/>
      <c r="I59" s="125"/>
      <c r="J59" s="254"/>
      <c r="L59" s="211"/>
      <c r="M59" s="117"/>
      <c r="N59" s="126"/>
      <c r="O59" s="126"/>
      <c r="P59" s="126"/>
    </row>
    <row r="60" spans="2:16" x14ac:dyDescent="0.3">
      <c r="B60" s="242"/>
      <c r="C60" s="243"/>
      <c r="D60" s="483" t="s">
        <v>212</v>
      </c>
      <c r="E60" s="483"/>
      <c r="F60" s="483"/>
      <c r="G60" s="255">
        <f>SUM(G38:G57)</f>
        <v>27446748</v>
      </c>
      <c r="H60" s="245"/>
      <c r="I60" s="141"/>
      <c r="J60" s="256">
        <f>SUM(J37:J57)</f>
        <v>36504177</v>
      </c>
      <c r="L60" s="133"/>
      <c r="M60" s="133"/>
    </row>
    <row r="61" spans="2:16" x14ac:dyDescent="0.3">
      <c r="B61" s="139"/>
      <c r="C61" s="243"/>
      <c r="D61" s="135"/>
      <c r="E61" s="247"/>
      <c r="F61" s="135"/>
      <c r="G61" s="141"/>
      <c r="H61" s="245"/>
      <c r="I61" s="141"/>
      <c r="J61" s="141"/>
      <c r="L61" s="211"/>
    </row>
    <row r="62" spans="2:16" ht="16.2" thickBot="1" x14ac:dyDescent="0.35">
      <c r="B62" s="139"/>
      <c r="C62" s="243"/>
      <c r="D62" s="135"/>
      <c r="E62" s="247"/>
      <c r="F62" s="135"/>
      <c r="G62" s="141"/>
      <c r="H62" s="245"/>
      <c r="I62" s="141"/>
      <c r="J62" s="141"/>
      <c r="L62" s="211"/>
    </row>
    <row r="63" spans="2:16" ht="36" customHeight="1" thickBot="1" x14ac:dyDescent="0.35">
      <c r="B63" s="480" t="s">
        <v>25</v>
      </c>
      <c r="C63" s="481"/>
      <c r="D63" s="481"/>
      <c r="E63" s="481"/>
      <c r="F63" s="481"/>
      <c r="G63" s="481"/>
      <c r="H63" s="481"/>
      <c r="I63" s="481"/>
      <c r="J63" s="482"/>
      <c r="L63" s="211"/>
    </row>
    <row r="64" spans="2:16" s="119" customFormat="1" ht="45" customHeight="1" thickBot="1" x14ac:dyDescent="0.35">
      <c r="B64" s="187" t="s">
        <v>6</v>
      </c>
      <c r="C64" s="188" t="s">
        <v>7</v>
      </c>
      <c r="D64" s="189" t="s">
        <v>8</v>
      </c>
      <c r="E64" s="190" t="s">
        <v>9</v>
      </c>
      <c r="F64" s="191" t="s">
        <v>10</v>
      </c>
      <c r="G64" s="192" t="s">
        <v>11</v>
      </c>
      <c r="H64" s="192" t="s">
        <v>12</v>
      </c>
      <c r="I64" s="192" t="s">
        <v>13</v>
      </c>
      <c r="J64" s="193" t="s">
        <v>14</v>
      </c>
      <c r="L64" s="211"/>
      <c r="M64" s="117"/>
    </row>
    <row r="65" spans="2:16" s="261" customFormat="1" ht="18.75" customHeight="1" x14ac:dyDescent="0.3">
      <c r="B65" s="257">
        <v>1</v>
      </c>
      <c r="C65" s="258" t="s">
        <v>15</v>
      </c>
      <c r="D65" s="197"/>
      <c r="E65" s="198"/>
      <c r="F65" s="199"/>
      <c r="G65" s="199"/>
      <c r="H65" s="197"/>
      <c r="I65" s="259"/>
      <c r="J65" s="260"/>
      <c r="L65" s="223"/>
      <c r="M65" s="249"/>
    </row>
    <row r="66" spans="2:16" ht="30" customHeight="1" x14ac:dyDescent="0.3">
      <c r="B66" s="203">
        <v>1.1000000000000001</v>
      </c>
      <c r="C66" s="226" t="s">
        <v>248</v>
      </c>
      <c r="D66" s="205" t="s">
        <v>19</v>
      </c>
      <c r="E66" s="206">
        <v>1</v>
      </c>
      <c r="F66" s="207">
        <v>121071</v>
      </c>
      <c r="G66" s="207">
        <f>+ROUND(E66*F66,0)</f>
        <v>121071</v>
      </c>
      <c r="H66" s="208">
        <v>0.33</v>
      </c>
      <c r="I66" s="209">
        <f>(F66*(1+H66))</f>
        <v>161024.43000000002</v>
      </c>
      <c r="J66" s="210">
        <f>ROUND(I66*E66,0)</f>
        <v>161024</v>
      </c>
      <c r="L66" s="211"/>
      <c r="M66" s="212"/>
    </row>
    <row r="67" spans="2:16" s="202" customFormat="1" ht="14.25" customHeight="1" x14ac:dyDescent="0.3">
      <c r="B67" s="262">
        <v>2</v>
      </c>
      <c r="C67" s="214" t="s">
        <v>26</v>
      </c>
      <c r="D67" s="215"/>
      <c r="E67" s="216"/>
      <c r="F67" s="217"/>
      <c r="G67" s="218"/>
      <c r="H67" s="219"/>
      <c r="I67" s="220"/>
      <c r="J67" s="221"/>
      <c r="L67" s="223"/>
      <c r="M67" s="224"/>
    </row>
    <row r="68" spans="2:16" ht="63" customHeight="1" x14ac:dyDescent="0.3">
      <c r="B68" s="203">
        <v>2.1</v>
      </c>
      <c r="C68" s="226" t="s">
        <v>249</v>
      </c>
      <c r="D68" s="205" t="s">
        <v>19</v>
      </c>
      <c r="E68" s="206">
        <v>1</v>
      </c>
      <c r="F68" s="207">
        <v>703119</v>
      </c>
      <c r="G68" s="207">
        <f t="shared" ref="G68:G69" si="8">+ROUND(E68*F68,0)</f>
        <v>703119</v>
      </c>
      <c r="H68" s="208">
        <v>0.33</v>
      </c>
      <c r="I68" s="209">
        <f t="shared" ref="I68:I69" si="9">(F68*(1+H68))</f>
        <v>935148.27</v>
      </c>
      <c r="J68" s="210">
        <f t="shared" ref="J68:J69" si="10">ROUND(I68*E68,0)</f>
        <v>935148</v>
      </c>
      <c r="L68" s="211"/>
      <c r="M68" s="212"/>
    </row>
    <row r="69" spans="2:16" ht="37.5" customHeight="1" x14ac:dyDescent="0.3">
      <c r="B69" s="203">
        <v>2.2000000000000002</v>
      </c>
      <c r="C69" s="226" t="s">
        <v>250</v>
      </c>
      <c r="D69" s="205" t="s">
        <v>39</v>
      </c>
      <c r="E69" s="206">
        <v>15</v>
      </c>
      <c r="F69" s="207">
        <v>18706</v>
      </c>
      <c r="G69" s="207">
        <f t="shared" si="8"/>
        <v>280590</v>
      </c>
      <c r="H69" s="208">
        <v>0.33</v>
      </c>
      <c r="I69" s="209">
        <f t="shared" si="9"/>
        <v>24878.98</v>
      </c>
      <c r="J69" s="210">
        <f t="shared" si="10"/>
        <v>373185</v>
      </c>
      <c r="L69" s="211"/>
      <c r="M69" s="212"/>
    </row>
    <row r="70" spans="2:16" s="249" customFormat="1" x14ac:dyDescent="0.3">
      <c r="B70" s="213">
        <v>3</v>
      </c>
      <c r="C70" s="214" t="s">
        <v>27</v>
      </c>
      <c r="D70" s="215"/>
      <c r="E70" s="216"/>
      <c r="F70" s="217"/>
      <c r="G70" s="218"/>
      <c r="H70" s="219"/>
      <c r="I70" s="220"/>
      <c r="J70" s="221"/>
      <c r="L70" s="223"/>
      <c r="M70" s="224"/>
    </row>
    <row r="71" spans="2:16" ht="51" customHeight="1" x14ac:dyDescent="0.3">
      <c r="B71" s="225">
        <v>3.1</v>
      </c>
      <c r="C71" s="226" t="s">
        <v>251</v>
      </c>
      <c r="D71" s="205" t="s">
        <v>40</v>
      </c>
      <c r="E71" s="206">
        <v>30</v>
      </c>
      <c r="F71" s="207">
        <v>53508</v>
      </c>
      <c r="G71" s="207">
        <f t="shared" ref="G71:G77" si="11">+ROUND(E71*F71,0)</f>
        <v>1605240</v>
      </c>
      <c r="H71" s="208">
        <v>0.33</v>
      </c>
      <c r="I71" s="209">
        <f t="shared" ref="I71:I77" si="12">(F71*(1+H71))</f>
        <v>71165.64</v>
      </c>
      <c r="J71" s="210">
        <f t="shared" ref="J71:J77" si="13">ROUND(I71*E71,0)</f>
        <v>2134969</v>
      </c>
      <c r="L71" s="211"/>
      <c r="M71" s="212"/>
    </row>
    <row r="72" spans="2:16" s="249" customFormat="1" x14ac:dyDescent="0.3">
      <c r="B72" s="213">
        <v>4</v>
      </c>
      <c r="C72" s="214" t="s">
        <v>28</v>
      </c>
      <c r="D72" s="215"/>
      <c r="E72" s="216"/>
      <c r="F72" s="217"/>
      <c r="G72" s="218"/>
      <c r="H72" s="219"/>
      <c r="I72" s="220"/>
      <c r="J72" s="221"/>
      <c r="L72" s="223"/>
      <c r="M72" s="224"/>
    </row>
    <row r="73" spans="2:16" ht="37.5" customHeight="1" x14ac:dyDescent="0.3">
      <c r="B73" s="225">
        <v>4.0999999999999996</v>
      </c>
      <c r="C73" s="226" t="s">
        <v>239</v>
      </c>
      <c r="D73" s="205" t="s">
        <v>40</v>
      </c>
      <c r="E73" s="206">
        <v>50</v>
      </c>
      <c r="F73" s="207">
        <v>75728</v>
      </c>
      <c r="G73" s="207">
        <f t="shared" si="11"/>
        <v>3786400</v>
      </c>
      <c r="H73" s="208">
        <v>0.33</v>
      </c>
      <c r="I73" s="209">
        <f t="shared" si="12"/>
        <v>100718.24</v>
      </c>
      <c r="J73" s="210">
        <f t="shared" si="13"/>
        <v>5035912</v>
      </c>
      <c r="L73" s="211"/>
      <c r="M73" s="212"/>
    </row>
    <row r="74" spans="2:16" s="202" customFormat="1" x14ac:dyDescent="0.3">
      <c r="B74" s="213">
        <v>5</v>
      </c>
      <c r="C74" s="214" t="s">
        <v>17</v>
      </c>
      <c r="D74" s="215"/>
      <c r="E74" s="216"/>
      <c r="F74" s="217"/>
      <c r="G74" s="218"/>
      <c r="H74" s="219"/>
      <c r="I74" s="220"/>
      <c r="J74" s="221"/>
      <c r="L74" s="223"/>
      <c r="M74" s="224"/>
    </row>
    <row r="75" spans="2:16" x14ac:dyDescent="0.3">
      <c r="B75" s="225">
        <v>5.0999999999999996</v>
      </c>
      <c r="C75" s="226" t="s">
        <v>18</v>
      </c>
      <c r="D75" s="228" t="s">
        <v>19</v>
      </c>
      <c r="E75" s="206">
        <v>1</v>
      </c>
      <c r="F75" s="207">
        <v>150000</v>
      </c>
      <c r="G75" s="207">
        <f t="shared" si="11"/>
        <v>150000</v>
      </c>
      <c r="H75" s="208">
        <v>0.33</v>
      </c>
      <c r="I75" s="209">
        <f t="shared" si="12"/>
        <v>199500</v>
      </c>
      <c r="J75" s="210">
        <f t="shared" si="13"/>
        <v>199500</v>
      </c>
      <c r="L75" s="211"/>
      <c r="M75" s="212"/>
    </row>
    <row r="76" spans="2:16" x14ac:dyDescent="0.3">
      <c r="B76" s="225">
        <v>5.2</v>
      </c>
      <c r="C76" s="226" t="s">
        <v>20</v>
      </c>
      <c r="D76" s="228" t="s">
        <v>19</v>
      </c>
      <c r="E76" s="206">
        <v>1</v>
      </c>
      <c r="F76" s="207">
        <v>250000</v>
      </c>
      <c r="G76" s="207">
        <f t="shared" si="11"/>
        <v>250000</v>
      </c>
      <c r="H76" s="208">
        <v>0.33</v>
      </c>
      <c r="I76" s="209">
        <f t="shared" si="12"/>
        <v>332500</v>
      </c>
      <c r="J76" s="210">
        <f t="shared" si="13"/>
        <v>332500</v>
      </c>
      <c r="L76" s="211"/>
      <c r="M76" s="212"/>
    </row>
    <row r="77" spans="2:16" ht="82.2" customHeight="1" thickBot="1" x14ac:dyDescent="0.35">
      <c r="B77" s="229">
        <v>5.3</v>
      </c>
      <c r="C77" s="251" t="s">
        <v>245</v>
      </c>
      <c r="D77" s="231" t="s">
        <v>65</v>
      </c>
      <c r="E77" s="232">
        <v>6</v>
      </c>
      <c r="F77" s="233">
        <v>49760</v>
      </c>
      <c r="G77" s="233">
        <f t="shared" si="11"/>
        <v>298560</v>
      </c>
      <c r="H77" s="234">
        <v>0.33</v>
      </c>
      <c r="I77" s="235">
        <f t="shared" si="12"/>
        <v>66180.800000000003</v>
      </c>
      <c r="J77" s="236">
        <f t="shared" si="13"/>
        <v>397085</v>
      </c>
      <c r="L77" s="211"/>
      <c r="M77" s="212"/>
    </row>
    <row r="78" spans="2:16" x14ac:dyDescent="0.3">
      <c r="B78" s="121"/>
      <c r="C78" s="122"/>
      <c r="D78" s="123"/>
      <c r="E78" s="238"/>
      <c r="F78" s="239"/>
      <c r="G78" s="239"/>
      <c r="H78" s="252"/>
      <c r="I78" s="133"/>
      <c r="J78" s="133"/>
      <c r="K78" s="121"/>
      <c r="L78" s="211"/>
    </row>
    <row r="79" spans="2:16" s="119" customFormat="1" ht="18" customHeight="1" x14ac:dyDescent="0.3">
      <c r="B79" s="253"/>
      <c r="C79" s="118"/>
      <c r="D79" s="121"/>
      <c r="E79" s="124"/>
      <c r="F79" s="125"/>
      <c r="G79" s="125"/>
      <c r="H79" s="125"/>
      <c r="I79" s="125"/>
      <c r="J79" s="254"/>
      <c r="L79" s="211"/>
      <c r="M79" s="117"/>
      <c r="N79" s="126"/>
      <c r="O79" s="126"/>
      <c r="P79" s="126"/>
    </row>
    <row r="80" spans="2:16" x14ac:dyDescent="0.3">
      <c r="B80" s="242"/>
      <c r="C80" s="243"/>
      <c r="D80" s="483" t="s">
        <v>24</v>
      </c>
      <c r="E80" s="483"/>
      <c r="F80" s="483"/>
      <c r="G80" s="255">
        <f>SUM(G65:G77)</f>
        <v>7194980</v>
      </c>
      <c r="H80" s="245"/>
      <c r="I80" s="141"/>
      <c r="J80" s="256">
        <f>SUM(J66:J77)</f>
        <v>9569323</v>
      </c>
      <c r="L80" s="133"/>
      <c r="M80" s="133"/>
    </row>
    <row r="81" spans="2:16" x14ac:dyDescent="0.3">
      <c r="B81" s="139"/>
      <c r="C81" s="243"/>
      <c r="D81" s="135"/>
      <c r="E81" s="247"/>
      <c r="F81" s="135"/>
      <c r="G81" s="141"/>
      <c r="H81" s="245"/>
      <c r="I81" s="141"/>
      <c r="J81" s="141"/>
      <c r="L81" s="211"/>
    </row>
    <row r="82" spans="2:16" ht="16.2" thickBot="1" x14ac:dyDescent="0.35">
      <c r="B82" s="139"/>
      <c r="C82" s="243"/>
      <c r="D82" s="135"/>
      <c r="E82" s="247"/>
      <c r="F82" s="135"/>
      <c r="G82" s="141"/>
      <c r="H82" s="245"/>
      <c r="I82" s="141"/>
      <c r="J82" s="141"/>
      <c r="L82" s="211"/>
    </row>
    <row r="83" spans="2:16" ht="36" customHeight="1" thickBot="1" x14ac:dyDescent="0.35">
      <c r="B83" s="480" t="s">
        <v>30</v>
      </c>
      <c r="C83" s="481"/>
      <c r="D83" s="481"/>
      <c r="E83" s="481"/>
      <c r="F83" s="481"/>
      <c r="G83" s="481"/>
      <c r="H83" s="481"/>
      <c r="I83" s="481"/>
      <c r="J83" s="482"/>
      <c r="L83" s="211"/>
    </row>
    <row r="84" spans="2:16" s="119" customFormat="1" ht="45" customHeight="1" thickBot="1" x14ac:dyDescent="0.35">
      <c r="B84" s="187" t="s">
        <v>6</v>
      </c>
      <c r="C84" s="188" t="s">
        <v>7</v>
      </c>
      <c r="D84" s="189" t="s">
        <v>8</v>
      </c>
      <c r="E84" s="190" t="s">
        <v>9</v>
      </c>
      <c r="F84" s="191" t="s">
        <v>10</v>
      </c>
      <c r="G84" s="192" t="s">
        <v>11</v>
      </c>
      <c r="H84" s="192" t="s">
        <v>12</v>
      </c>
      <c r="I84" s="192" t="s">
        <v>13</v>
      </c>
      <c r="J84" s="193" t="s">
        <v>14</v>
      </c>
      <c r="L84" s="211"/>
      <c r="M84" s="117"/>
    </row>
    <row r="85" spans="2:16" s="202" customFormat="1" ht="14.25" customHeight="1" x14ac:dyDescent="0.3">
      <c r="B85" s="195">
        <v>1</v>
      </c>
      <c r="C85" s="248" t="s">
        <v>26</v>
      </c>
      <c r="D85" s="197"/>
      <c r="E85" s="198"/>
      <c r="F85" s="199"/>
      <c r="G85" s="199"/>
      <c r="H85" s="200"/>
      <c r="I85" s="196"/>
      <c r="J85" s="201"/>
      <c r="L85" s="223"/>
      <c r="M85" s="249"/>
    </row>
    <row r="86" spans="2:16" ht="46.95" customHeight="1" x14ac:dyDescent="0.3">
      <c r="B86" s="203">
        <v>1.1000000000000001</v>
      </c>
      <c r="C86" s="226" t="s">
        <v>252</v>
      </c>
      <c r="D86" s="205" t="s">
        <v>371</v>
      </c>
      <c r="E86" s="206">
        <v>6</v>
      </c>
      <c r="F86" s="207">
        <v>33864</v>
      </c>
      <c r="G86" s="207">
        <f>+ROUND(E86*F86,0)</f>
        <v>203184</v>
      </c>
      <c r="H86" s="208">
        <v>0.33</v>
      </c>
      <c r="I86" s="209">
        <f>(F86*(1+H86))</f>
        <v>45039.12</v>
      </c>
      <c r="J86" s="210">
        <f>ROUND(I86*E86,0)</f>
        <v>270235</v>
      </c>
      <c r="L86" s="211"/>
      <c r="M86" s="212"/>
    </row>
    <row r="87" spans="2:16" s="249" customFormat="1" x14ac:dyDescent="0.3">
      <c r="B87" s="213">
        <v>2</v>
      </c>
      <c r="C87" s="214" t="s">
        <v>27</v>
      </c>
      <c r="D87" s="215"/>
      <c r="E87" s="216"/>
      <c r="F87" s="217"/>
      <c r="G87" s="218"/>
      <c r="H87" s="219"/>
      <c r="I87" s="220"/>
      <c r="J87" s="221"/>
      <c r="L87" s="223"/>
      <c r="M87" s="224"/>
    </row>
    <row r="88" spans="2:16" ht="49.2" customHeight="1" x14ac:dyDescent="0.3">
      <c r="B88" s="225">
        <v>2.1</v>
      </c>
      <c r="C88" s="226" t="s">
        <v>251</v>
      </c>
      <c r="D88" s="205" t="s">
        <v>40</v>
      </c>
      <c r="E88" s="206">
        <v>15</v>
      </c>
      <c r="F88" s="207">
        <v>53508</v>
      </c>
      <c r="G88" s="207">
        <f t="shared" ref="G88:G89" si="14">+ROUND(E88*F88,0)</f>
        <v>802620</v>
      </c>
      <c r="H88" s="208">
        <v>0.33</v>
      </c>
      <c r="I88" s="209">
        <f t="shared" ref="I88:I89" si="15">(F88*(1+H88))</f>
        <v>71165.64</v>
      </c>
      <c r="J88" s="210">
        <f t="shared" ref="J88:J89" si="16">ROUND(I88*E88,0)</f>
        <v>1067485</v>
      </c>
      <c r="L88" s="211"/>
      <c r="M88" s="212"/>
    </row>
    <row r="89" spans="2:16" ht="34.200000000000003" customHeight="1" x14ac:dyDescent="0.3">
      <c r="B89" s="225">
        <v>2.2000000000000002</v>
      </c>
      <c r="C89" s="226" t="s">
        <v>253</v>
      </c>
      <c r="D89" s="205" t="s">
        <v>40</v>
      </c>
      <c r="E89" s="206">
        <v>15</v>
      </c>
      <c r="F89" s="207">
        <v>42550</v>
      </c>
      <c r="G89" s="207">
        <f t="shared" si="14"/>
        <v>638250</v>
      </c>
      <c r="H89" s="208">
        <v>0.33</v>
      </c>
      <c r="I89" s="209">
        <f t="shared" si="15"/>
        <v>56591.5</v>
      </c>
      <c r="J89" s="210">
        <f t="shared" si="16"/>
        <v>848873</v>
      </c>
      <c r="L89" s="211"/>
      <c r="M89" s="212"/>
    </row>
    <row r="90" spans="2:16" s="249" customFormat="1" x14ac:dyDescent="0.3">
      <c r="B90" s="213">
        <v>3</v>
      </c>
      <c r="C90" s="214" t="s">
        <v>28</v>
      </c>
      <c r="D90" s="215"/>
      <c r="E90" s="216"/>
      <c r="F90" s="217"/>
      <c r="G90" s="218"/>
      <c r="H90" s="219"/>
      <c r="I90" s="220"/>
      <c r="J90" s="221"/>
      <c r="L90" s="223"/>
      <c r="M90" s="224"/>
    </row>
    <row r="91" spans="2:16" ht="37.5" customHeight="1" x14ac:dyDescent="0.3">
      <c r="B91" s="225">
        <v>3.1</v>
      </c>
      <c r="C91" s="226" t="s">
        <v>239</v>
      </c>
      <c r="D91" s="205" t="s">
        <v>40</v>
      </c>
      <c r="E91" s="206">
        <v>30</v>
      </c>
      <c r="F91" s="207">
        <v>75728</v>
      </c>
      <c r="G91" s="207">
        <f t="shared" ref="G91:G94" si="17">+ROUND(E91*F91,0)</f>
        <v>2271840</v>
      </c>
      <c r="H91" s="208">
        <v>0.33</v>
      </c>
      <c r="I91" s="209">
        <f t="shared" ref="I91:I94" si="18">(F91*(1+H91))</f>
        <v>100718.24</v>
      </c>
      <c r="J91" s="210">
        <f t="shared" ref="J91:J94" si="19">ROUND(I91*E91,0)</f>
        <v>3021547</v>
      </c>
      <c r="L91" s="211"/>
      <c r="M91" s="212"/>
    </row>
    <row r="92" spans="2:16" s="202" customFormat="1" x14ac:dyDescent="0.3">
      <c r="B92" s="213">
        <v>4</v>
      </c>
      <c r="C92" s="214" t="s">
        <v>17</v>
      </c>
      <c r="D92" s="215"/>
      <c r="E92" s="216"/>
      <c r="F92" s="217"/>
      <c r="G92" s="218"/>
      <c r="H92" s="219"/>
      <c r="I92" s="220"/>
      <c r="J92" s="221"/>
      <c r="L92" s="223"/>
      <c r="M92" s="224"/>
    </row>
    <row r="93" spans="2:16" x14ac:dyDescent="0.3">
      <c r="B93" s="225">
        <v>4.0999999999999996</v>
      </c>
      <c r="C93" s="226" t="s">
        <v>18</v>
      </c>
      <c r="D93" s="228" t="s">
        <v>19</v>
      </c>
      <c r="E93" s="206">
        <v>1</v>
      </c>
      <c r="F93" s="207">
        <v>150000</v>
      </c>
      <c r="G93" s="207">
        <f t="shared" si="17"/>
        <v>150000</v>
      </c>
      <c r="H93" s="208">
        <v>0.33</v>
      </c>
      <c r="I93" s="209">
        <f t="shared" si="18"/>
        <v>199500</v>
      </c>
      <c r="J93" s="210">
        <f t="shared" si="19"/>
        <v>199500</v>
      </c>
      <c r="L93" s="211"/>
      <c r="M93" s="212"/>
    </row>
    <row r="94" spans="2:16" ht="16.2" thickBot="1" x14ac:dyDescent="0.35">
      <c r="B94" s="229">
        <v>4.2</v>
      </c>
      <c r="C94" s="251" t="s">
        <v>20</v>
      </c>
      <c r="D94" s="263" t="s">
        <v>19</v>
      </c>
      <c r="E94" s="232">
        <v>1</v>
      </c>
      <c r="F94" s="233">
        <v>250000</v>
      </c>
      <c r="G94" s="233">
        <f t="shared" si="17"/>
        <v>250000</v>
      </c>
      <c r="H94" s="234">
        <v>0.33</v>
      </c>
      <c r="I94" s="235">
        <f t="shared" si="18"/>
        <v>332500</v>
      </c>
      <c r="J94" s="236">
        <f t="shared" si="19"/>
        <v>332500</v>
      </c>
      <c r="L94" s="211"/>
      <c r="M94" s="212"/>
    </row>
    <row r="95" spans="2:16" x14ac:dyDescent="0.3">
      <c r="B95" s="121"/>
      <c r="C95" s="122"/>
      <c r="D95" s="123"/>
      <c r="E95" s="238"/>
      <c r="F95" s="239"/>
      <c r="G95" s="239"/>
      <c r="H95" s="252"/>
      <c r="I95" s="133"/>
      <c r="J95" s="133"/>
      <c r="K95" s="121"/>
      <c r="L95" s="211"/>
    </row>
    <row r="96" spans="2:16" s="119" customFormat="1" ht="18" customHeight="1" x14ac:dyDescent="0.3">
      <c r="B96" s="253"/>
      <c r="C96" s="118"/>
      <c r="D96" s="121"/>
      <c r="E96" s="124"/>
      <c r="F96" s="125"/>
      <c r="G96" s="125"/>
      <c r="H96" s="125"/>
      <c r="I96" s="125"/>
      <c r="J96" s="254"/>
      <c r="L96" s="211"/>
      <c r="M96" s="117"/>
      <c r="N96" s="126"/>
      <c r="O96" s="126"/>
      <c r="P96" s="126"/>
    </row>
    <row r="97" spans="2:16" x14ac:dyDescent="0.3">
      <c r="B97" s="242"/>
      <c r="C97" s="243"/>
      <c r="D97" s="483" t="s">
        <v>213</v>
      </c>
      <c r="E97" s="483"/>
      <c r="F97" s="483"/>
      <c r="G97" s="255">
        <f>SUM(G85:G94)</f>
        <v>4315894</v>
      </c>
      <c r="H97" s="245"/>
      <c r="I97" s="141"/>
      <c r="J97" s="256">
        <f>SUM(J86:J94)</f>
        <v>5740140</v>
      </c>
      <c r="L97" s="133"/>
      <c r="M97" s="133"/>
    </row>
    <row r="98" spans="2:16" x14ac:dyDescent="0.3">
      <c r="B98" s="139"/>
      <c r="C98" s="243"/>
      <c r="D98" s="135"/>
      <c r="E98" s="247"/>
      <c r="F98" s="135"/>
      <c r="G98" s="141"/>
      <c r="H98" s="245"/>
      <c r="I98" s="141"/>
      <c r="J98" s="141"/>
      <c r="L98" s="211"/>
    </row>
    <row r="99" spans="2:16" ht="16.2" thickBot="1" x14ac:dyDescent="0.35">
      <c r="B99" s="139"/>
      <c r="C99" s="243"/>
      <c r="D99" s="135"/>
      <c r="E99" s="247"/>
      <c r="F99" s="135"/>
      <c r="G99" s="141"/>
      <c r="H99" s="245"/>
      <c r="I99" s="141"/>
      <c r="J99" s="141"/>
      <c r="L99" s="211"/>
    </row>
    <row r="100" spans="2:16" ht="36" customHeight="1" thickBot="1" x14ac:dyDescent="0.35">
      <c r="B100" s="480" t="s">
        <v>32</v>
      </c>
      <c r="C100" s="481"/>
      <c r="D100" s="481"/>
      <c r="E100" s="481"/>
      <c r="F100" s="481"/>
      <c r="G100" s="481"/>
      <c r="H100" s="481"/>
      <c r="I100" s="481"/>
      <c r="J100" s="482"/>
      <c r="L100" s="211"/>
    </row>
    <row r="101" spans="2:16" s="119" customFormat="1" ht="43.2" customHeight="1" thickBot="1" x14ac:dyDescent="0.35">
      <c r="B101" s="187" t="s">
        <v>6</v>
      </c>
      <c r="C101" s="188" t="s">
        <v>7</v>
      </c>
      <c r="D101" s="189" t="s">
        <v>8</v>
      </c>
      <c r="E101" s="190" t="s">
        <v>9</v>
      </c>
      <c r="F101" s="191" t="s">
        <v>10</v>
      </c>
      <c r="G101" s="192" t="s">
        <v>11</v>
      </c>
      <c r="H101" s="192" t="s">
        <v>12</v>
      </c>
      <c r="I101" s="192" t="s">
        <v>13</v>
      </c>
      <c r="J101" s="193" t="s">
        <v>14</v>
      </c>
      <c r="L101" s="211"/>
      <c r="M101" s="117"/>
    </row>
    <row r="102" spans="2:16" s="202" customFormat="1" ht="14.25" customHeight="1" x14ac:dyDescent="0.3">
      <c r="B102" s="195">
        <v>1</v>
      </c>
      <c r="C102" s="248" t="s">
        <v>33</v>
      </c>
      <c r="D102" s="197"/>
      <c r="E102" s="198"/>
      <c r="F102" s="199"/>
      <c r="G102" s="199"/>
      <c r="H102" s="200"/>
      <c r="I102" s="196"/>
      <c r="J102" s="201"/>
      <c r="L102" s="223"/>
      <c r="M102" s="249"/>
    </row>
    <row r="103" spans="2:16" ht="31.2" x14ac:dyDescent="0.3">
      <c r="B103" s="203">
        <v>1.1000000000000001</v>
      </c>
      <c r="C103" s="226" t="s">
        <v>254</v>
      </c>
      <c r="D103" s="205" t="s">
        <v>40</v>
      </c>
      <c r="E103" s="206">
        <v>60</v>
      </c>
      <c r="F103" s="207">
        <v>7972</v>
      </c>
      <c r="G103" s="207">
        <f>+ROUND(E103*F103,0)</f>
        <v>478320</v>
      </c>
      <c r="H103" s="208">
        <v>0.33</v>
      </c>
      <c r="I103" s="209">
        <f>(F103*(1+H103))</f>
        <v>10602.76</v>
      </c>
      <c r="J103" s="210">
        <f t="shared" ref="J103:J108" si="20">ROUND(I103*E103,0)</f>
        <v>636166</v>
      </c>
      <c r="L103" s="211"/>
      <c r="M103" s="212"/>
    </row>
    <row r="104" spans="2:16" ht="31.2" x14ac:dyDescent="0.3">
      <c r="B104" s="203">
        <v>1.2</v>
      </c>
      <c r="C104" s="226" t="s">
        <v>255</v>
      </c>
      <c r="D104" s="205" t="s">
        <v>19</v>
      </c>
      <c r="E104" s="206">
        <v>1</v>
      </c>
      <c r="F104" s="207">
        <v>26568</v>
      </c>
      <c r="G104" s="207">
        <f t="shared" ref="G104:G105" si="21">+ROUND(E104*F104,0)</f>
        <v>26568</v>
      </c>
      <c r="H104" s="208">
        <v>0.33</v>
      </c>
      <c r="I104" s="209">
        <f t="shared" ref="I104:I105" si="22">(F104*(1+H104))</f>
        <v>35335.440000000002</v>
      </c>
      <c r="J104" s="210">
        <f t="shared" si="20"/>
        <v>35335</v>
      </c>
      <c r="L104" s="211"/>
      <c r="M104" s="212"/>
    </row>
    <row r="105" spans="2:16" ht="31.2" x14ac:dyDescent="0.3">
      <c r="B105" s="203">
        <v>1.3</v>
      </c>
      <c r="C105" s="226" t="s">
        <v>256</v>
      </c>
      <c r="D105" s="205" t="s">
        <v>19</v>
      </c>
      <c r="E105" s="206">
        <v>3</v>
      </c>
      <c r="F105" s="207">
        <v>32261</v>
      </c>
      <c r="G105" s="207">
        <f t="shared" si="21"/>
        <v>96783</v>
      </c>
      <c r="H105" s="208">
        <v>0.33</v>
      </c>
      <c r="I105" s="209">
        <f t="shared" si="22"/>
        <v>42907.130000000005</v>
      </c>
      <c r="J105" s="210">
        <f t="shared" si="20"/>
        <v>128721</v>
      </c>
      <c r="L105" s="211"/>
      <c r="M105" s="212"/>
    </row>
    <row r="106" spans="2:16" x14ac:dyDescent="0.3">
      <c r="B106" s="203">
        <v>1.4</v>
      </c>
      <c r="C106" s="226" t="s">
        <v>18</v>
      </c>
      <c r="D106" s="228" t="s">
        <v>19</v>
      </c>
      <c r="E106" s="206">
        <v>1</v>
      </c>
      <c r="F106" s="207">
        <v>150000</v>
      </c>
      <c r="G106" s="207">
        <f>+ROUND(E106*F106,0)</f>
        <v>150000</v>
      </c>
      <c r="H106" s="208">
        <v>0.33</v>
      </c>
      <c r="I106" s="209">
        <f>(F106*(1+H106))</f>
        <v>199500</v>
      </c>
      <c r="J106" s="210">
        <f t="shared" si="20"/>
        <v>199500</v>
      </c>
      <c r="K106" s="121"/>
      <c r="L106" s="211"/>
      <c r="M106" s="212"/>
    </row>
    <row r="107" spans="2:16" x14ac:dyDescent="0.3">
      <c r="B107" s="203">
        <v>1.5</v>
      </c>
      <c r="C107" s="226" t="s">
        <v>20</v>
      </c>
      <c r="D107" s="228" t="s">
        <v>19</v>
      </c>
      <c r="E107" s="206">
        <v>1</v>
      </c>
      <c r="F107" s="207">
        <v>250000</v>
      </c>
      <c r="G107" s="207">
        <f t="shared" ref="G107:G108" si="23">+ROUND(E107*F107,0)</f>
        <v>250000</v>
      </c>
      <c r="H107" s="208">
        <v>0.33</v>
      </c>
      <c r="I107" s="209">
        <f t="shared" ref="I107:I108" si="24">(F107*(1+H107))</f>
        <v>332500</v>
      </c>
      <c r="J107" s="210">
        <f t="shared" si="20"/>
        <v>332500</v>
      </c>
      <c r="K107" s="121"/>
      <c r="L107" s="211"/>
      <c r="M107" s="212"/>
    </row>
    <row r="108" spans="2:16" ht="79.95" customHeight="1" thickBot="1" x14ac:dyDescent="0.35">
      <c r="B108" s="264">
        <v>1.6</v>
      </c>
      <c r="C108" s="251" t="s">
        <v>245</v>
      </c>
      <c r="D108" s="231" t="s">
        <v>65</v>
      </c>
      <c r="E108" s="232">
        <v>6</v>
      </c>
      <c r="F108" s="233">
        <v>49760</v>
      </c>
      <c r="G108" s="233">
        <f t="shared" si="23"/>
        <v>298560</v>
      </c>
      <c r="H108" s="234">
        <v>0.33</v>
      </c>
      <c r="I108" s="235">
        <f t="shared" si="24"/>
        <v>66180.800000000003</v>
      </c>
      <c r="J108" s="236">
        <f t="shared" si="20"/>
        <v>397085</v>
      </c>
      <c r="K108" s="121"/>
      <c r="L108" s="211"/>
      <c r="M108" s="212"/>
    </row>
    <row r="109" spans="2:16" x14ac:dyDescent="0.3">
      <c r="B109" s="121"/>
      <c r="C109" s="122"/>
      <c r="D109" s="123"/>
      <c r="E109" s="238"/>
      <c r="F109" s="239"/>
      <c r="G109" s="239"/>
      <c r="H109" s="252"/>
      <c r="I109" s="133"/>
      <c r="J109" s="133"/>
      <c r="K109" s="121"/>
      <c r="L109" s="211"/>
    </row>
    <row r="110" spans="2:16" s="119" customFormat="1" ht="18" customHeight="1" x14ac:dyDescent="0.3">
      <c r="B110" s="253"/>
      <c r="C110" s="118"/>
      <c r="D110" s="121"/>
      <c r="E110" s="124"/>
      <c r="F110" s="125"/>
      <c r="G110" s="125"/>
      <c r="H110" s="125"/>
      <c r="I110" s="125"/>
      <c r="J110" s="254"/>
      <c r="L110" s="211"/>
      <c r="M110" s="117"/>
      <c r="N110" s="126"/>
      <c r="O110" s="126"/>
      <c r="P110" s="126"/>
    </row>
    <row r="111" spans="2:16" x14ac:dyDescent="0.3">
      <c r="B111" s="242"/>
      <c r="C111" s="243"/>
      <c r="D111" s="483" t="s">
        <v>29</v>
      </c>
      <c r="E111" s="483"/>
      <c r="F111" s="483"/>
      <c r="G111" s="255">
        <f>SUM(G101:G109)</f>
        <v>1300231</v>
      </c>
      <c r="H111" s="245"/>
      <c r="I111" s="141"/>
      <c r="J111" s="256">
        <f>SUM(J103:J108)</f>
        <v>1729307</v>
      </c>
      <c r="L111" s="265"/>
      <c r="M111" s="142"/>
    </row>
    <row r="112" spans="2:16" x14ac:dyDescent="0.3">
      <c r="B112" s="139"/>
      <c r="C112" s="243"/>
      <c r="D112" s="135"/>
      <c r="E112" s="247"/>
      <c r="F112" s="135"/>
      <c r="G112" s="141"/>
      <c r="H112" s="245"/>
      <c r="I112" s="141"/>
      <c r="J112" s="141"/>
      <c r="L112" s="211"/>
    </row>
    <row r="113" spans="2:13" ht="16.2" thickBot="1" x14ac:dyDescent="0.35">
      <c r="B113" s="139"/>
      <c r="C113" s="243"/>
      <c r="D113" s="135"/>
      <c r="E113" s="247"/>
      <c r="F113" s="135"/>
      <c r="G113" s="141"/>
      <c r="H113" s="245"/>
      <c r="I113" s="141"/>
      <c r="J113" s="141"/>
      <c r="L113" s="211"/>
    </row>
    <row r="114" spans="2:13" ht="36" customHeight="1" thickBot="1" x14ac:dyDescent="0.35">
      <c r="B114" s="480" t="s">
        <v>35</v>
      </c>
      <c r="C114" s="481"/>
      <c r="D114" s="481"/>
      <c r="E114" s="481"/>
      <c r="F114" s="481"/>
      <c r="G114" s="481"/>
      <c r="H114" s="481"/>
      <c r="I114" s="481"/>
      <c r="J114" s="482"/>
      <c r="L114" s="211"/>
    </row>
    <row r="115" spans="2:13" s="119" customFormat="1" ht="43.2" customHeight="1" thickBot="1" x14ac:dyDescent="0.35">
      <c r="B115" s="187" t="s">
        <v>6</v>
      </c>
      <c r="C115" s="188" t="s">
        <v>7</v>
      </c>
      <c r="D115" s="189" t="s">
        <v>8</v>
      </c>
      <c r="E115" s="190" t="s">
        <v>9</v>
      </c>
      <c r="F115" s="191" t="s">
        <v>10</v>
      </c>
      <c r="G115" s="192" t="s">
        <v>11</v>
      </c>
      <c r="H115" s="192" t="s">
        <v>12</v>
      </c>
      <c r="I115" s="192" t="s">
        <v>13</v>
      </c>
      <c r="J115" s="193" t="s">
        <v>14</v>
      </c>
      <c r="L115" s="211"/>
      <c r="M115" s="117"/>
    </row>
    <row r="116" spans="2:13" s="202" customFormat="1" ht="14.25" customHeight="1" x14ac:dyDescent="0.3">
      <c r="B116" s="195">
        <v>1</v>
      </c>
      <c r="C116" s="248" t="s">
        <v>15</v>
      </c>
      <c r="D116" s="197"/>
      <c r="E116" s="198"/>
      <c r="F116" s="199"/>
      <c r="G116" s="199"/>
      <c r="H116" s="200"/>
      <c r="I116" s="196"/>
      <c r="J116" s="201"/>
      <c r="L116" s="223"/>
      <c r="M116" s="249"/>
    </row>
    <row r="117" spans="2:13" ht="31.2" customHeight="1" x14ac:dyDescent="0.3">
      <c r="B117" s="203">
        <v>1.1000000000000001</v>
      </c>
      <c r="C117" s="226" t="s">
        <v>231</v>
      </c>
      <c r="D117" s="205" t="s">
        <v>40</v>
      </c>
      <c r="E117" s="206">
        <v>255.21</v>
      </c>
      <c r="F117" s="207">
        <v>10813</v>
      </c>
      <c r="G117" s="207">
        <f>(E117*F117)</f>
        <v>2759585.73</v>
      </c>
      <c r="H117" s="208">
        <v>0.33</v>
      </c>
      <c r="I117" s="209">
        <f>(F117*(1+H117))</f>
        <v>14381.29</v>
      </c>
      <c r="J117" s="210">
        <f t="shared" ref="J117:J136" si="25">ROUND(I117*E117,0)</f>
        <v>3670249</v>
      </c>
      <c r="L117" s="211"/>
      <c r="M117" s="212"/>
    </row>
    <row r="118" spans="2:13" ht="31.95" customHeight="1" x14ac:dyDescent="0.3">
      <c r="B118" s="203">
        <v>1.2</v>
      </c>
      <c r="C118" s="204" t="s">
        <v>232</v>
      </c>
      <c r="D118" s="205" t="s">
        <v>40</v>
      </c>
      <c r="E118" s="206">
        <f>+E117</f>
        <v>255.21</v>
      </c>
      <c r="F118" s="207">
        <v>9810</v>
      </c>
      <c r="G118" s="207">
        <f t="shared" ref="G118:G136" si="26">+ROUND(E118*F118,0)</f>
        <v>2503610</v>
      </c>
      <c r="H118" s="208">
        <v>0.33</v>
      </c>
      <c r="I118" s="209">
        <f t="shared" ref="I118:I136" si="27">(F118*(1+H118))</f>
        <v>13047.300000000001</v>
      </c>
      <c r="J118" s="210">
        <f t="shared" si="25"/>
        <v>3329801</v>
      </c>
      <c r="L118" s="211"/>
      <c r="M118" s="212"/>
    </row>
    <row r="119" spans="2:13" ht="31.95" customHeight="1" x14ac:dyDescent="0.3">
      <c r="B119" s="203">
        <v>1.3</v>
      </c>
      <c r="C119" s="204" t="s">
        <v>233</v>
      </c>
      <c r="D119" s="205" t="s">
        <v>370</v>
      </c>
      <c r="E119" s="206">
        <f>(9+8+8+10)*2</f>
        <v>70</v>
      </c>
      <c r="F119" s="207">
        <v>9610</v>
      </c>
      <c r="G119" s="207">
        <f t="shared" si="26"/>
        <v>672700</v>
      </c>
      <c r="H119" s="208">
        <v>0.33</v>
      </c>
      <c r="I119" s="209">
        <f t="shared" si="27"/>
        <v>12781.300000000001</v>
      </c>
      <c r="J119" s="210">
        <f t="shared" si="25"/>
        <v>894691</v>
      </c>
      <c r="L119" s="211"/>
      <c r="M119" s="212"/>
    </row>
    <row r="120" spans="2:13" ht="31.95" customHeight="1" x14ac:dyDescent="0.3">
      <c r="B120" s="203">
        <v>1.4</v>
      </c>
      <c r="C120" s="204" t="s">
        <v>234</v>
      </c>
      <c r="D120" s="205" t="s">
        <v>39</v>
      </c>
      <c r="E120" s="206">
        <f>9+9+9+9+8+8</f>
        <v>52</v>
      </c>
      <c r="F120" s="207">
        <v>20883</v>
      </c>
      <c r="G120" s="207">
        <f t="shared" si="26"/>
        <v>1085916</v>
      </c>
      <c r="H120" s="208">
        <v>0.33</v>
      </c>
      <c r="I120" s="209">
        <f t="shared" si="27"/>
        <v>27774.390000000003</v>
      </c>
      <c r="J120" s="210">
        <f t="shared" si="25"/>
        <v>1444268</v>
      </c>
      <c r="L120" s="211"/>
      <c r="M120" s="212"/>
    </row>
    <row r="121" spans="2:13" s="202" customFormat="1" x14ac:dyDescent="0.3">
      <c r="B121" s="213">
        <v>2</v>
      </c>
      <c r="C121" s="214" t="s">
        <v>16</v>
      </c>
      <c r="D121" s="215"/>
      <c r="E121" s="216"/>
      <c r="F121" s="217"/>
      <c r="G121" s="218"/>
      <c r="H121" s="219"/>
      <c r="I121" s="220"/>
      <c r="J121" s="221"/>
      <c r="K121" s="222"/>
      <c r="L121" s="223"/>
      <c r="M121" s="224"/>
    </row>
    <row r="122" spans="2:13" ht="62.4" x14ac:dyDescent="0.3">
      <c r="B122" s="225">
        <v>2.1</v>
      </c>
      <c r="C122" s="226" t="s">
        <v>235</v>
      </c>
      <c r="D122" s="205" t="s">
        <v>40</v>
      </c>
      <c r="E122" s="206">
        <v>255.21</v>
      </c>
      <c r="F122" s="207">
        <v>76329</v>
      </c>
      <c r="G122" s="207">
        <f t="shared" si="26"/>
        <v>19479924</v>
      </c>
      <c r="H122" s="208">
        <v>0.33</v>
      </c>
      <c r="I122" s="209">
        <f t="shared" si="27"/>
        <v>101517.57</v>
      </c>
      <c r="J122" s="210">
        <f t="shared" si="25"/>
        <v>25908299</v>
      </c>
      <c r="K122" s="121"/>
      <c r="L122" s="211"/>
      <c r="M122" s="212"/>
    </row>
    <row r="123" spans="2:13" ht="46.8" x14ac:dyDescent="0.3">
      <c r="B123" s="225">
        <v>2.2000000000000002</v>
      </c>
      <c r="C123" s="226" t="s">
        <v>236</v>
      </c>
      <c r="D123" s="205" t="s">
        <v>371</v>
      </c>
      <c r="E123" s="206">
        <v>23.5</v>
      </c>
      <c r="F123" s="207">
        <v>39523</v>
      </c>
      <c r="G123" s="207">
        <f t="shared" si="26"/>
        <v>928791</v>
      </c>
      <c r="H123" s="208">
        <v>0.33</v>
      </c>
      <c r="I123" s="209">
        <f t="shared" si="27"/>
        <v>52565.590000000004</v>
      </c>
      <c r="J123" s="210">
        <f t="shared" si="25"/>
        <v>1235291</v>
      </c>
      <c r="K123" s="121"/>
      <c r="L123" s="211"/>
      <c r="M123" s="212"/>
    </row>
    <row r="124" spans="2:13" ht="69.599999999999994" customHeight="1" x14ac:dyDescent="0.3">
      <c r="B124" s="225">
        <v>2.2999999999999998</v>
      </c>
      <c r="C124" s="226" t="s">
        <v>246</v>
      </c>
      <c r="D124" s="228" t="s">
        <v>39</v>
      </c>
      <c r="E124" s="206">
        <v>188</v>
      </c>
      <c r="F124" s="207">
        <v>66157</v>
      </c>
      <c r="G124" s="207">
        <f t="shared" si="26"/>
        <v>12437516</v>
      </c>
      <c r="H124" s="208">
        <v>0.33</v>
      </c>
      <c r="I124" s="209">
        <f t="shared" si="27"/>
        <v>87988.81</v>
      </c>
      <c r="J124" s="210">
        <f t="shared" si="25"/>
        <v>16541896</v>
      </c>
      <c r="K124" s="121"/>
      <c r="L124" s="211"/>
      <c r="M124" s="212"/>
    </row>
    <row r="125" spans="2:13" ht="46.8" x14ac:dyDescent="0.3">
      <c r="B125" s="225">
        <v>2.5</v>
      </c>
      <c r="C125" s="226" t="s">
        <v>247</v>
      </c>
      <c r="D125" s="205" t="s">
        <v>39</v>
      </c>
      <c r="E125" s="266">
        <f>11.5*2</f>
        <v>23</v>
      </c>
      <c r="F125" s="207">
        <v>270384</v>
      </c>
      <c r="G125" s="207">
        <f t="shared" si="26"/>
        <v>6218832</v>
      </c>
      <c r="H125" s="208">
        <v>0.33</v>
      </c>
      <c r="I125" s="209">
        <f t="shared" si="27"/>
        <v>359610.72000000003</v>
      </c>
      <c r="J125" s="210">
        <f t="shared" si="25"/>
        <v>8271047</v>
      </c>
      <c r="K125" s="121"/>
      <c r="L125" s="211"/>
      <c r="M125" s="212"/>
    </row>
    <row r="126" spans="2:13" s="249" customFormat="1" x14ac:dyDescent="0.3">
      <c r="B126" s="213">
        <v>3</v>
      </c>
      <c r="C126" s="214" t="s">
        <v>28</v>
      </c>
      <c r="D126" s="215"/>
      <c r="E126" s="216"/>
      <c r="F126" s="217"/>
      <c r="G126" s="218"/>
      <c r="H126" s="219"/>
      <c r="I126" s="220"/>
      <c r="J126" s="221"/>
      <c r="K126" s="250"/>
      <c r="L126" s="223"/>
      <c r="M126" s="224"/>
    </row>
    <row r="127" spans="2:13" ht="31.2" x14ac:dyDescent="0.3">
      <c r="B127" s="225">
        <v>3.1</v>
      </c>
      <c r="C127" s="226" t="s">
        <v>239</v>
      </c>
      <c r="D127" s="205" t="s">
        <v>40</v>
      </c>
      <c r="E127" s="206">
        <f>+E128*2</f>
        <v>31.92</v>
      </c>
      <c r="F127" s="207">
        <v>75728</v>
      </c>
      <c r="G127" s="207">
        <f t="shared" si="26"/>
        <v>2417238</v>
      </c>
      <c r="H127" s="208">
        <v>0.33</v>
      </c>
      <c r="I127" s="209">
        <f t="shared" si="27"/>
        <v>100718.24</v>
      </c>
      <c r="J127" s="210">
        <f t="shared" si="25"/>
        <v>3214926</v>
      </c>
      <c r="K127" s="121"/>
      <c r="L127" s="211"/>
      <c r="M127" s="212"/>
    </row>
    <row r="128" spans="2:13" ht="32.25" customHeight="1" x14ac:dyDescent="0.3">
      <c r="B128" s="225">
        <v>3.2</v>
      </c>
      <c r="C128" s="204" t="s">
        <v>240</v>
      </c>
      <c r="D128" s="205" t="s">
        <v>40</v>
      </c>
      <c r="E128" s="206">
        <f>10.64*1.5</f>
        <v>15.96</v>
      </c>
      <c r="F128" s="207">
        <v>58969</v>
      </c>
      <c r="G128" s="207">
        <f t="shared" si="26"/>
        <v>941145</v>
      </c>
      <c r="H128" s="208">
        <v>0.33</v>
      </c>
      <c r="I128" s="209">
        <f t="shared" si="27"/>
        <v>78428.77</v>
      </c>
      <c r="J128" s="210">
        <f t="shared" si="25"/>
        <v>1251723</v>
      </c>
      <c r="K128" s="121"/>
      <c r="L128" s="211"/>
      <c r="M128" s="212"/>
    </row>
    <row r="129" spans="2:16" s="202" customFormat="1" x14ac:dyDescent="0.3">
      <c r="B129" s="213">
        <v>4</v>
      </c>
      <c r="C129" s="214" t="s">
        <v>43</v>
      </c>
      <c r="D129" s="215"/>
      <c r="E129" s="216"/>
      <c r="F129" s="217"/>
      <c r="G129" s="218"/>
      <c r="H129" s="219"/>
      <c r="I129" s="220"/>
      <c r="J129" s="221"/>
      <c r="K129" s="222"/>
      <c r="L129" s="223"/>
      <c r="M129" s="224"/>
    </row>
    <row r="130" spans="2:16" ht="31.2" x14ac:dyDescent="0.3">
      <c r="B130" s="225">
        <v>4.0999999999999996</v>
      </c>
      <c r="C130" s="227" t="s">
        <v>242</v>
      </c>
      <c r="D130" s="228" t="s">
        <v>19</v>
      </c>
      <c r="E130" s="206">
        <v>2</v>
      </c>
      <c r="F130" s="207">
        <v>134144</v>
      </c>
      <c r="G130" s="207">
        <f t="shared" si="26"/>
        <v>268288</v>
      </c>
      <c r="H130" s="208">
        <v>0.33</v>
      </c>
      <c r="I130" s="209">
        <f t="shared" si="27"/>
        <v>178411.52000000002</v>
      </c>
      <c r="J130" s="210">
        <f t="shared" si="25"/>
        <v>356823</v>
      </c>
      <c r="K130" s="121"/>
      <c r="L130" s="211"/>
      <c r="M130" s="212"/>
    </row>
    <row r="131" spans="2:16" ht="75" customHeight="1" x14ac:dyDescent="0.3">
      <c r="B131" s="225">
        <v>4.2</v>
      </c>
      <c r="C131" s="227" t="s">
        <v>243</v>
      </c>
      <c r="D131" s="228" t="s">
        <v>19</v>
      </c>
      <c r="E131" s="206">
        <v>8</v>
      </c>
      <c r="F131" s="207">
        <v>217940</v>
      </c>
      <c r="G131" s="207">
        <f t="shared" si="26"/>
        <v>1743520</v>
      </c>
      <c r="H131" s="208">
        <v>0.33</v>
      </c>
      <c r="I131" s="209">
        <f t="shared" si="27"/>
        <v>289860.2</v>
      </c>
      <c r="J131" s="210">
        <f t="shared" si="25"/>
        <v>2318882</v>
      </c>
      <c r="K131" s="121"/>
      <c r="L131" s="211"/>
      <c r="M131" s="212"/>
    </row>
    <row r="132" spans="2:16" ht="31.2" x14ac:dyDescent="0.3">
      <c r="B132" s="225">
        <v>4.3</v>
      </c>
      <c r="C132" s="227" t="s">
        <v>244</v>
      </c>
      <c r="D132" s="228" t="s">
        <v>39</v>
      </c>
      <c r="E132" s="206">
        <f>15.5*2</f>
        <v>31</v>
      </c>
      <c r="F132" s="207">
        <v>43198</v>
      </c>
      <c r="G132" s="207">
        <f t="shared" si="26"/>
        <v>1339138</v>
      </c>
      <c r="H132" s="208">
        <v>0.33</v>
      </c>
      <c r="I132" s="209">
        <f t="shared" si="27"/>
        <v>57453.340000000004</v>
      </c>
      <c r="J132" s="210">
        <f t="shared" si="25"/>
        <v>1781054</v>
      </c>
      <c r="K132" s="121"/>
      <c r="L132" s="211"/>
      <c r="M132" s="212"/>
    </row>
    <row r="133" spans="2:16" s="202" customFormat="1" x14ac:dyDescent="0.3">
      <c r="B133" s="213">
        <v>5</v>
      </c>
      <c r="C133" s="214" t="s">
        <v>17</v>
      </c>
      <c r="D133" s="215"/>
      <c r="E133" s="216"/>
      <c r="F133" s="217"/>
      <c r="G133" s="218"/>
      <c r="H133" s="219"/>
      <c r="I133" s="220"/>
      <c r="J133" s="221"/>
      <c r="K133" s="222"/>
      <c r="L133" s="223"/>
      <c r="M133" s="224"/>
    </row>
    <row r="134" spans="2:16" x14ac:dyDescent="0.3">
      <c r="B134" s="225">
        <v>5.0999999999999996</v>
      </c>
      <c r="C134" s="226" t="s">
        <v>18</v>
      </c>
      <c r="D134" s="228" t="s">
        <v>19</v>
      </c>
      <c r="E134" s="206">
        <v>1</v>
      </c>
      <c r="F134" s="207">
        <v>150000</v>
      </c>
      <c r="G134" s="207">
        <f t="shared" si="26"/>
        <v>150000</v>
      </c>
      <c r="H134" s="208">
        <v>0.33</v>
      </c>
      <c r="I134" s="209">
        <f t="shared" si="27"/>
        <v>199500</v>
      </c>
      <c r="J134" s="210">
        <f t="shared" si="25"/>
        <v>199500</v>
      </c>
      <c r="K134" s="121"/>
      <c r="L134" s="211"/>
      <c r="M134" s="212"/>
    </row>
    <row r="135" spans="2:16" x14ac:dyDescent="0.3">
      <c r="B135" s="225">
        <v>5.2</v>
      </c>
      <c r="C135" s="226" t="s">
        <v>20</v>
      </c>
      <c r="D135" s="228" t="s">
        <v>19</v>
      </c>
      <c r="E135" s="206">
        <v>1</v>
      </c>
      <c r="F135" s="207">
        <v>250000</v>
      </c>
      <c r="G135" s="207">
        <f t="shared" si="26"/>
        <v>250000</v>
      </c>
      <c r="H135" s="208">
        <v>0.33</v>
      </c>
      <c r="I135" s="209">
        <f t="shared" si="27"/>
        <v>332500</v>
      </c>
      <c r="J135" s="210">
        <f t="shared" si="25"/>
        <v>332500</v>
      </c>
      <c r="K135" s="121"/>
      <c r="L135" s="211"/>
      <c r="M135" s="212"/>
    </row>
    <row r="136" spans="2:16" ht="80.400000000000006" customHeight="1" thickBot="1" x14ac:dyDescent="0.35">
      <c r="B136" s="229">
        <v>5.3</v>
      </c>
      <c r="C136" s="251" t="s">
        <v>245</v>
      </c>
      <c r="D136" s="231" t="s">
        <v>65</v>
      </c>
      <c r="E136" s="232">
        <v>6</v>
      </c>
      <c r="F136" s="233">
        <v>49760</v>
      </c>
      <c r="G136" s="233">
        <f t="shared" si="26"/>
        <v>298560</v>
      </c>
      <c r="H136" s="234">
        <v>0.33</v>
      </c>
      <c r="I136" s="235">
        <f t="shared" si="27"/>
        <v>66180.800000000003</v>
      </c>
      <c r="J136" s="236">
        <f t="shared" si="25"/>
        <v>397085</v>
      </c>
      <c r="K136" s="121"/>
      <c r="L136" s="211"/>
      <c r="M136" s="212"/>
    </row>
    <row r="137" spans="2:16" x14ac:dyDescent="0.3">
      <c r="B137" s="121"/>
      <c r="C137" s="122"/>
      <c r="D137" s="123"/>
      <c r="E137" s="238"/>
      <c r="F137" s="239"/>
      <c r="G137" s="239"/>
      <c r="H137" s="252"/>
      <c r="I137" s="133"/>
      <c r="J137" s="133"/>
      <c r="K137" s="121"/>
      <c r="L137" s="211"/>
    </row>
    <row r="138" spans="2:16" s="119" customFormat="1" ht="18" customHeight="1" x14ac:dyDescent="0.3">
      <c r="B138" s="253"/>
      <c r="C138" s="118"/>
      <c r="D138" s="121"/>
      <c r="E138" s="124"/>
      <c r="F138" s="125"/>
      <c r="G138" s="125"/>
      <c r="H138" s="125"/>
      <c r="I138" s="125"/>
      <c r="J138" s="254"/>
      <c r="L138" s="211"/>
      <c r="M138" s="117"/>
      <c r="N138" s="126"/>
      <c r="O138" s="126"/>
      <c r="P138" s="126"/>
    </row>
    <row r="139" spans="2:16" x14ac:dyDescent="0.3">
      <c r="B139" s="242"/>
      <c r="C139" s="243"/>
      <c r="D139" s="483" t="s">
        <v>31</v>
      </c>
      <c r="E139" s="483"/>
      <c r="F139" s="483"/>
      <c r="G139" s="255">
        <f>SUM(G115:G137)</f>
        <v>53494763.730000004</v>
      </c>
      <c r="H139" s="245"/>
      <c r="I139" s="141"/>
      <c r="J139" s="256">
        <f>SUM(J116:J136)</f>
        <v>71148035</v>
      </c>
      <c r="L139" s="133"/>
      <c r="M139" s="133"/>
    </row>
    <row r="140" spans="2:16" x14ac:dyDescent="0.3">
      <c r="B140" s="139"/>
      <c r="C140" s="243"/>
      <c r="D140" s="135"/>
      <c r="E140" s="247"/>
      <c r="F140" s="135"/>
      <c r="G140" s="141"/>
      <c r="H140" s="245"/>
      <c r="I140" s="141"/>
      <c r="J140" s="141"/>
      <c r="L140" s="211"/>
    </row>
    <row r="141" spans="2:16" ht="16.2" thickBot="1" x14ac:dyDescent="0.35">
      <c r="B141" s="139"/>
      <c r="C141" s="243"/>
      <c r="D141" s="135"/>
      <c r="E141" s="247"/>
      <c r="F141" s="135"/>
      <c r="G141" s="141"/>
      <c r="H141" s="245"/>
      <c r="I141" s="141"/>
      <c r="J141" s="141"/>
      <c r="L141" s="211"/>
    </row>
    <row r="142" spans="2:16" ht="36" customHeight="1" thickBot="1" x14ac:dyDescent="0.35">
      <c r="B142" s="480" t="s">
        <v>37</v>
      </c>
      <c r="C142" s="481"/>
      <c r="D142" s="481"/>
      <c r="E142" s="481"/>
      <c r="F142" s="481"/>
      <c r="G142" s="481"/>
      <c r="H142" s="481"/>
      <c r="I142" s="481"/>
      <c r="J142" s="482"/>
      <c r="L142" s="211"/>
    </row>
    <row r="143" spans="2:16" ht="23.25" customHeight="1" thickBot="1" x14ac:dyDescent="0.35">
      <c r="B143" s="530" t="s">
        <v>38</v>
      </c>
      <c r="C143" s="531"/>
      <c r="D143" s="531"/>
      <c r="E143" s="531"/>
      <c r="F143" s="531"/>
      <c r="G143" s="531"/>
      <c r="H143" s="531"/>
      <c r="I143" s="531"/>
      <c r="J143" s="532"/>
      <c r="K143" s="121"/>
      <c r="L143" s="211"/>
    </row>
    <row r="144" spans="2:16" s="119" customFormat="1" ht="45" customHeight="1" thickBot="1" x14ac:dyDescent="0.35">
      <c r="B144" s="267" t="s">
        <v>6</v>
      </c>
      <c r="C144" s="268" t="s">
        <v>7</v>
      </c>
      <c r="D144" s="269" t="s">
        <v>8</v>
      </c>
      <c r="E144" s="270" t="s">
        <v>9</v>
      </c>
      <c r="F144" s="271" t="s">
        <v>10</v>
      </c>
      <c r="G144" s="272" t="s">
        <v>11</v>
      </c>
      <c r="H144" s="272" t="s">
        <v>12</v>
      </c>
      <c r="I144" s="272" t="s">
        <v>13</v>
      </c>
      <c r="J144" s="273" t="s">
        <v>14</v>
      </c>
      <c r="L144" s="211"/>
      <c r="M144" s="117"/>
    </row>
    <row r="145" spans="1:15" s="202" customFormat="1" ht="14.25" customHeight="1" x14ac:dyDescent="0.3">
      <c r="B145" s="195">
        <v>1</v>
      </c>
      <c r="C145" s="248" t="s">
        <v>15</v>
      </c>
      <c r="D145" s="197"/>
      <c r="E145" s="198"/>
      <c r="F145" s="199"/>
      <c r="G145" s="199"/>
      <c r="H145" s="200"/>
      <c r="I145" s="196"/>
      <c r="J145" s="201"/>
      <c r="K145" s="222"/>
      <c r="L145" s="223"/>
      <c r="M145" s="249"/>
    </row>
    <row r="146" spans="1:15" ht="34.5" customHeight="1" x14ac:dyDescent="0.3">
      <c r="B146" s="203">
        <v>1.1000000000000001</v>
      </c>
      <c r="C146" s="274" t="s">
        <v>234</v>
      </c>
      <c r="D146" s="205" t="s">
        <v>39</v>
      </c>
      <c r="E146" s="206">
        <v>16.899999999999999</v>
      </c>
      <c r="F146" s="207">
        <v>20883</v>
      </c>
      <c r="G146" s="207">
        <f>+ROUND(E146*F146,0)</f>
        <v>352923</v>
      </c>
      <c r="H146" s="208">
        <v>0.33</v>
      </c>
      <c r="I146" s="209">
        <f>(F146*(1+H146))</f>
        <v>27774.390000000003</v>
      </c>
      <c r="J146" s="210">
        <f>ROUND(I146*E146,0)</f>
        <v>469387</v>
      </c>
      <c r="K146" s="121"/>
      <c r="L146" s="211"/>
      <c r="M146" s="142"/>
    </row>
    <row r="147" spans="1:15" ht="25.5" customHeight="1" x14ac:dyDescent="0.3">
      <c r="B147" s="203">
        <v>1.2</v>
      </c>
      <c r="C147" s="274" t="s">
        <v>257</v>
      </c>
      <c r="D147" s="205" t="s">
        <v>40</v>
      </c>
      <c r="E147" s="206">
        <v>36.840000000000003</v>
      </c>
      <c r="F147" s="207">
        <v>14495</v>
      </c>
      <c r="G147" s="207">
        <f t="shared" ref="G147:G178" si="28">+ROUND(E147*F147,0)</f>
        <v>533996</v>
      </c>
      <c r="H147" s="208">
        <v>0.33</v>
      </c>
      <c r="I147" s="209">
        <f t="shared" ref="I147:I178" si="29">(F147*(1+H147))</f>
        <v>19278.350000000002</v>
      </c>
      <c r="J147" s="210">
        <f t="shared" ref="J147:J178" si="30">ROUND(I147*E147,0)</f>
        <v>710214</v>
      </c>
      <c r="K147" s="121"/>
      <c r="L147" s="211"/>
      <c r="M147" s="142"/>
    </row>
    <row r="148" spans="1:15" ht="23.25" customHeight="1" x14ac:dyDescent="0.3">
      <c r="B148" s="203">
        <v>1.3</v>
      </c>
      <c r="C148" s="274" t="s">
        <v>258</v>
      </c>
      <c r="D148" s="205" t="s">
        <v>40</v>
      </c>
      <c r="E148" s="206">
        <v>5.75</v>
      </c>
      <c r="F148" s="207">
        <v>14495</v>
      </c>
      <c r="G148" s="207">
        <f t="shared" si="28"/>
        <v>83346</v>
      </c>
      <c r="H148" s="208">
        <v>0.33</v>
      </c>
      <c r="I148" s="209">
        <f t="shared" si="29"/>
        <v>19278.350000000002</v>
      </c>
      <c r="J148" s="210">
        <f t="shared" si="30"/>
        <v>110851</v>
      </c>
      <c r="K148" s="121"/>
      <c r="L148" s="211"/>
      <c r="M148" s="142"/>
    </row>
    <row r="149" spans="1:15" ht="34.950000000000003" customHeight="1" x14ac:dyDescent="0.3">
      <c r="B149" s="203">
        <v>1.4</v>
      </c>
      <c r="C149" s="274" t="s">
        <v>259</v>
      </c>
      <c r="D149" s="205" t="s">
        <v>19</v>
      </c>
      <c r="E149" s="206">
        <v>4</v>
      </c>
      <c r="F149" s="207">
        <v>29492</v>
      </c>
      <c r="G149" s="207">
        <f t="shared" si="28"/>
        <v>117968</v>
      </c>
      <c r="H149" s="208">
        <v>0.33</v>
      </c>
      <c r="I149" s="209">
        <f t="shared" si="29"/>
        <v>39224.36</v>
      </c>
      <c r="J149" s="210">
        <f t="shared" si="30"/>
        <v>156897</v>
      </c>
      <c r="K149" s="121"/>
      <c r="L149" s="211"/>
      <c r="M149" s="142"/>
    </row>
    <row r="150" spans="1:15" ht="36.6" customHeight="1" x14ac:dyDescent="0.3">
      <c r="B150" s="203">
        <v>1.5</v>
      </c>
      <c r="C150" s="274" t="s">
        <v>231</v>
      </c>
      <c r="D150" s="205" t="s">
        <v>40</v>
      </c>
      <c r="E150" s="206">
        <v>26.700000000000003</v>
      </c>
      <c r="F150" s="207">
        <v>10813</v>
      </c>
      <c r="G150" s="207">
        <f t="shared" si="28"/>
        <v>288707</v>
      </c>
      <c r="H150" s="208">
        <v>0.33</v>
      </c>
      <c r="I150" s="209">
        <f t="shared" si="29"/>
        <v>14381.29</v>
      </c>
      <c r="J150" s="210">
        <f t="shared" si="30"/>
        <v>383980</v>
      </c>
      <c r="K150" s="121"/>
      <c r="L150" s="211"/>
      <c r="M150" s="142"/>
    </row>
    <row r="151" spans="1:15" s="202" customFormat="1" x14ac:dyDescent="0.3">
      <c r="B151" s="213">
        <v>2</v>
      </c>
      <c r="C151" s="214" t="s">
        <v>41</v>
      </c>
      <c r="D151" s="215"/>
      <c r="E151" s="216"/>
      <c r="F151" s="217"/>
      <c r="G151" s="218"/>
      <c r="H151" s="219"/>
      <c r="I151" s="220"/>
      <c r="J151" s="221"/>
      <c r="K151" s="222"/>
      <c r="L151" s="223"/>
      <c r="M151" s="275"/>
    </row>
    <row r="152" spans="1:15" s="119" customFormat="1" ht="34.5" customHeight="1" x14ac:dyDescent="0.3">
      <c r="B152" s="225">
        <v>2.1</v>
      </c>
      <c r="C152" s="226" t="s">
        <v>260</v>
      </c>
      <c r="D152" s="228" t="s">
        <v>19</v>
      </c>
      <c r="E152" s="206">
        <v>2</v>
      </c>
      <c r="F152" s="207">
        <v>53305</v>
      </c>
      <c r="G152" s="207">
        <f t="shared" si="28"/>
        <v>106610</v>
      </c>
      <c r="H152" s="208">
        <v>0.33</v>
      </c>
      <c r="I152" s="209">
        <f t="shared" si="29"/>
        <v>70895.650000000009</v>
      </c>
      <c r="J152" s="210">
        <f t="shared" si="30"/>
        <v>141791</v>
      </c>
      <c r="K152" s="126"/>
      <c r="L152" s="211"/>
      <c r="M152" s="142"/>
    </row>
    <row r="153" spans="1:15" s="119" customFormat="1" ht="34.5" customHeight="1" x14ac:dyDescent="0.3">
      <c r="B153" s="225">
        <v>2.2000000000000002</v>
      </c>
      <c r="C153" s="226" t="s">
        <v>261</v>
      </c>
      <c r="D153" s="228" t="s">
        <v>19</v>
      </c>
      <c r="E153" s="206">
        <v>2</v>
      </c>
      <c r="F153" s="207">
        <v>31662</v>
      </c>
      <c r="G153" s="207">
        <f t="shared" si="28"/>
        <v>63324</v>
      </c>
      <c r="H153" s="208">
        <v>0.33</v>
      </c>
      <c r="I153" s="209">
        <f t="shared" si="29"/>
        <v>42110.46</v>
      </c>
      <c r="J153" s="210">
        <f t="shared" si="30"/>
        <v>84221</v>
      </c>
      <c r="K153" s="126"/>
      <c r="L153" s="211"/>
      <c r="M153" s="142"/>
    </row>
    <row r="154" spans="1:15" s="119" customFormat="1" ht="34.5" customHeight="1" x14ac:dyDescent="0.3">
      <c r="B154" s="225">
        <v>2.2999999999999998</v>
      </c>
      <c r="C154" s="226" t="s">
        <v>262</v>
      </c>
      <c r="D154" s="228" t="s">
        <v>19</v>
      </c>
      <c r="E154" s="206">
        <v>3</v>
      </c>
      <c r="F154" s="207">
        <v>32796</v>
      </c>
      <c r="G154" s="207">
        <f t="shared" si="28"/>
        <v>98388</v>
      </c>
      <c r="H154" s="208">
        <v>0.33</v>
      </c>
      <c r="I154" s="209">
        <f t="shared" si="29"/>
        <v>43618.68</v>
      </c>
      <c r="J154" s="210">
        <f t="shared" si="30"/>
        <v>130856</v>
      </c>
      <c r="K154" s="126"/>
      <c r="L154" s="211"/>
      <c r="M154" s="142"/>
    </row>
    <row r="155" spans="1:15" s="119" customFormat="1" ht="34.5" customHeight="1" x14ac:dyDescent="0.3">
      <c r="B155" s="225">
        <v>2.4</v>
      </c>
      <c r="C155" s="226" t="s">
        <v>263</v>
      </c>
      <c r="D155" s="228" t="s">
        <v>39</v>
      </c>
      <c r="E155" s="206">
        <v>3</v>
      </c>
      <c r="F155" s="207">
        <v>32675</v>
      </c>
      <c r="G155" s="207">
        <f t="shared" si="28"/>
        <v>98025</v>
      </c>
      <c r="H155" s="208">
        <v>0.33</v>
      </c>
      <c r="I155" s="209">
        <f t="shared" si="29"/>
        <v>43457.75</v>
      </c>
      <c r="J155" s="210">
        <f t="shared" si="30"/>
        <v>130373</v>
      </c>
      <c r="K155" s="126"/>
      <c r="L155" s="211"/>
      <c r="M155" s="142"/>
    </row>
    <row r="156" spans="1:15" s="119" customFormat="1" ht="34.5" customHeight="1" x14ac:dyDescent="0.3">
      <c r="B156" s="225">
        <v>2.5</v>
      </c>
      <c r="C156" s="226" t="s">
        <v>264</v>
      </c>
      <c r="D156" s="228" t="s">
        <v>39</v>
      </c>
      <c r="E156" s="206">
        <v>8</v>
      </c>
      <c r="F156" s="207">
        <v>9134</v>
      </c>
      <c r="G156" s="207">
        <f t="shared" si="28"/>
        <v>73072</v>
      </c>
      <c r="H156" s="208">
        <v>0.33</v>
      </c>
      <c r="I156" s="209">
        <f t="shared" si="29"/>
        <v>12148.220000000001</v>
      </c>
      <c r="J156" s="210">
        <f t="shared" si="30"/>
        <v>97186</v>
      </c>
      <c r="K156" s="126"/>
      <c r="L156" s="211"/>
      <c r="M156" s="142"/>
    </row>
    <row r="157" spans="1:15" s="261" customFormat="1" ht="18" customHeight="1" x14ac:dyDescent="0.3">
      <c r="B157" s="213">
        <v>3</v>
      </c>
      <c r="C157" s="276" t="s">
        <v>42</v>
      </c>
      <c r="D157" s="215"/>
      <c r="E157" s="216"/>
      <c r="F157" s="217"/>
      <c r="G157" s="218"/>
      <c r="H157" s="219"/>
      <c r="I157" s="220"/>
      <c r="J157" s="221"/>
      <c r="K157" s="222"/>
      <c r="L157" s="223"/>
      <c r="M157" s="275"/>
    </row>
    <row r="158" spans="1:15" s="119" customFormat="1" ht="48.6" customHeight="1" x14ac:dyDescent="0.3">
      <c r="A158" s="117"/>
      <c r="B158" s="225">
        <v>3.1</v>
      </c>
      <c r="C158" s="226" t="s">
        <v>265</v>
      </c>
      <c r="D158" s="228" t="s">
        <v>19</v>
      </c>
      <c r="E158" s="206">
        <v>4</v>
      </c>
      <c r="F158" s="207">
        <v>390729</v>
      </c>
      <c r="G158" s="207">
        <f t="shared" si="28"/>
        <v>1562916</v>
      </c>
      <c r="H158" s="208">
        <v>0.33</v>
      </c>
      <c r="I158" s="209">
        <f t="shared" si="29"/>
        <v>519669.57</v>
      </c>
      <c r="J158" s="210">
        <f t="shared" si="30"/>
        <v>2078678</v>
      </c>
      <c r="K158" s="121"/>
      <c r="L158" s="211"/>
      <c r="M158" s="142"/>
      <c r="N158" s="117"/>
      <c r="O158" s="117"/>
    </row>
    <row r="159" spans="1:15" s="202" customFormat="1" x14ac:dyDescent="0.3">
      <c r="B159" s="213">
        <v>4</v>
      </c>
      <c r="C159" s="214" t="s">
        <v>43</v>
      </c>
      <c r="D159" s="215"/>
      <c r="E159" s="216"/>
      <c r="F159" s="217"/>
      <c r="G159" s="218"/>
      <c r="H159" s="219"/>
      <c r="I159" s="220"/>
      <c r="J159" s="221"/>
      <c r="K159" s="222"/>
      <c r="L159" s="223"/>
      <c r="M159" s="275"/>
    </row>
    <row r="160" spans="1:15" s="119" customFormat="1" ht="48.6" customHeight="1" x14ac:dyDescent="0.3">
      <c r="B160" s="225">
        <v>4.0999999999999996</v>
      </c>
      <c r="C160" s="226" t="s">
        <v>266</v>
      </c>
      <c r="D160" s="228" t="s">
        <v>19</v>
      </c>
      <c r="E160" s="206">
        <v>8</v>
      </c>
      <c r="F160" s="207">
        <v>129920</v>
      </c>
      <c r="G160" s="207">
        <f t="shared" si="28"/>
        <v>1039360</v>
      </c>
      <c r="H160" s="208">
        <v>0.33</v>
      </c>
      <c r="I160" s="209">
        <f t="shared" si="29"/>
        <v>172793.60000000001</v>
      </c>
      <c r="J160" s="210">
        <f t="shared" si="30"/>
        <v>1382349</v>
      </c>
      <c r="K160" s="126"/>
      <c r="L160" s="211"/>
      <c r="M160" s="142"/>
    </row>
    <row r="161" spans="1:15" ht="51.6" customHeight="1" x14ac:dyDescent="0.3">
      <c r="B161" s="225">
        <v>4.2</v>
      </c>
      <c r="C161" s="226" t="s">
        <v>267</v>
      </c>
      <c r="D161" s="228" t="s">
        <v>19</v>
      </c>
      <c r="E161" s="206">
        <v>6</v>
      </c>
      <c r="F161" s="207">
        <v>111722</v>
      </c>
      <c r="G161" s="207">
        <f t="shared" si="28"/>
        <v>670332</v>
      </c>
      <c r="H161" s="208">
        <v>0.33</v>
      </c>
      <c r="I161" s="209">
        <f t="shared" si="29"/>
        <v>148590.26</v>
      </c>
      <c r="J161" s="210">
        <f t="shared" si="30"/>
        <v>891542</v>
      </c>
      <c r="K161" s="121"/>
      <c r="L161" s="211"/>
      <c r="M161" s="142"/>
    </row>
    <row r="162" spans="1:15" s="202" customFormat="1" x14ac:dyDescent="0.3">
      <c r="B162" s="213">
        <v>5</v>
      </c>
      <c r="C162" s="214" t="s">
        <v>44</v>
      </c>
      <c r="D162" s="215"/>
      <c r="E162" s="216"/>
      <c r="F162" s="217"/>
      <c r="G162" s="218"/>
      <c r="H162" s="219"/>
      <c r="I162" s="220"/>
      <c r="J162" s="221"/>
      <c r="K162" s="222"/>
      <c r="L162" s="223"/>
      <c r="M162" s="275"/>
    </row>
    <row r="163" spans="1:15" ht="31.95" customHeight="1" x14ac:dyDescent="0.3">
      <c r="B163" s="225">
        <v>5.0999999999999996</v>
      </c>
      <c r="C163" s="226" t="s">
        <v>253</v>
      </c>
      <c r="D163" s="228" t="s">
        <v>40</v>
      </c>
      <c r="E163" s="206">
        <v>23.799999999999997</v>
      </c>
      <c r="F163" s="207">
        <v>42550</v>
      </c>
      <c r="G163" s="207">
        <f t="shared" si="28"/>
        <v>1012690</v>
      </c>
      <c r="H163" s="208">
        <v>0.33</v>
      </c>
      <c r="I163" s="209">
        <f t="shared" si="29"/>
        <v>56591.5</v>
      </c>
      <c r="J163" s="210">
        <f t="shared" si="30"/>
        <v>1346878</v>
      </c>
      <c r="K163" s="121"/>
      <c r="L163" s="211"/>
      <c r="M163" s="142"/>
    </row>
    <row r="164" spans="1:15" ht="50.4" customHeight="1" x14ac:dyDescent="0.3">
      <c r="B164" s="225">
        <v>5.2</v>
      </c>
      <c r="C164" s="226" t="s">
        <v>268</v>
      </c>
      <c r="D164" s="228" t="s">
        <v>40</v>
      </c>
      <c r="E164" s="206">
        <v>36.840000000000003</v>
      </c>
      <c r="F164" s="207">
        <v>89553</v>
      </c>
      <c r="G164" s="207">
        <f t="shared" si="28"/>
        <v>3299133</v>
      </c>
      <c r="H164" s="208">
        <v>0.33</v>
      </c>
      <c r="I164" s="209">
        <f t="shared" si="29"/>
        <v>119105.49</v>
      </c>
      <c r="J164" s="210">
        <f t="shared" si="30"/>
        <v>4387846</v>
      </c>
      <c r="K164" s="121"/>
      <c r="L164" s="211"/>
      <c r="M164" s="142"/>
    </row>
    <row r="165" spans="1:15" ht="45" customHeight="1" x14ac:dyDescent="0.3">
      <c r="B165" s="225">
        <v>5.3</v>
      </c>
      <c r="C165" s="226" t="s">
        <v>269</v>
      </c>
      <c r="D165" s="228" t="s">
        <v>40</v>
      </c>
      <c r="E165" s="206">
        <v>23.799999999999997</v>
      </c>
      <c r="F165" s="207">
        <v>87143</v>
      </c>
      <c r="G165" s="207">
        <f t="shared" si="28"/>
        <v>2074003</v>
      </c>
      <c r="H165" s="208">
        <v>0.33</v>
      </c>
      <c r="I165" s="209">
        <f t="shared" si="29"/>
        <v>115900.19</v>
      </c>
      <c r="J165" s="210">
        <f t="shared" si="30"/>
        <v>2758425</v>
      </c>
      <c r="K165" s="121"/>
      <c r="L165" s="211"/>
      <c r="M165" s="142"/>
    </row>
    <row r="166" spans="1:15" s="202" customFormat="1" x14ac:dyDescent="0.3">
      <c r="B166" s="213">
        <v>6</v>
      </c>
      <c r="C166" s="214" t="s">
        <v>45</v>
      </c>
      <c r="D166" s="215"/>
      <c r="E166" s="216"/>
      <c r="F166" s="217"/>
      <c r="G166" s="218"/>
      <c r="H166" s="219"/>
      <c r="I166" s="220"/>
      <c r="J166" s="221"/>
      <c r="K166" s="222"/>
      <c r="L166" s="223"/>
      <c r="M166" s="275"/>
    </row>
    <row r="167" spans="1:15" ht="81" customHeight="1" x14ac:dyDescent="0.3">
      <c r="B167" s="225">
        <v>6.1</v>
      </c>
      <c r="C167" s="226" t="s">
        <v>270</v>
      </c>
      <c r="D167" s="228" t="s">
        <v>19</v>
      </c>
      <c r="E167" s="206">
        <v>4</v>
      </c>
      <c r="F167" s="277">
        <v>179267</v>
      </c>
      <c r="G167" s="207">
        <f t="shared" si="28"/>
        <v>717068</v>
      </c>
      <c r="H167" s="208">
        <v>0.33</v>
      </c>
      <c r="I167" s="209">
        <f t="shared" si="29"/>
        <v>238425.11000000002</v>
      </c>
      <c r="J167" s="210">
        <f t="shared" si="30"/>
        <v>953700</v>
      </c>
      <c r="K167" s="121"/>
      <c r="L167" s="211"/>
      <c r="M167" s="142"/>
    </row>
    <row r="168" spans="1:15" s="278" customFormat="1" ht="21" customHeight="1" x14ac:dyDescent="0.3">
      <c r="A168" s="261"/>
      <c r="B168" s="213">
        <v>7</v>
      </c>
      <c r="C168" s="276" t="s">
        <v>46</v>
      </c>
      <c r="D168" s="215"/>
      <c r="E168" s="216"/>
      <c r="F168" s="217"/>
      <c r="G168" s="218"/>
      <c r="H168" s="219"/>
      <c r="I168" s="220"/>
      <c r="J168" s="221"/>
      <c r="K168" s="222"/>
      <c r="L168" s="223"/>
      <c r="M168" s="275"/>
      <c r="N168" s="261"/>
      <c r="O168" s="261"/>
    </row>
    <row r="169" spans="1:15" ht="66.75" customHeight="1" x14ac:dyDescent="0.3">
      <c r="B169" s="225">
        <v>7.1</v>
      </c>
      <c r="C169" s="226" t="s">
        <v>235</v>
      </c>
      <c r="D169" s="228" t="s">
        <v>40</v>
      </c>
      <c r="E169" s="206">
        <f>E150</f>
        <v>26.700000000000003</v>
      </c>
      <c r="F169" s="207">
        <v>76329</v>
      </c>
      <c r="G169" s="207">
        <f t="shared" si="28"/>
        <v>2037984</v>
      </c>
      <c r="H169" s="208">
        <v>0.33</v>
      </c>
      <c r="I169" s="209">
        <f t="shared" si="29"/>
        <v>101517.57</v>
      </c>
      <c r="J169" s="210">
        <f t="shared" si="30"/>
        <v>2710519</v>
      </c>
      <c r="K169" s="121"/>
      <c r="L169" s="211"/>
      <c r="M169" s="142"/>
    </row>
    <row r="170" spans="1:15" s="249" customFormat="1" ht="22.5" customHeight="1" x14ac:dyDescent="0.3">
      <c r="A170" s="261"/>
      <c r="B170" s="213">
        <v>8</v>
      </c>
      <c r="C170" s="276" t="s">
        <v>47</v>
      </c>
      <c r="D170" s="215"/>
      <c r="E170" s="216"/>
      <c r="F170" s="217"/>
      <c r="G170" s="218"/>
      <c r="H170" s="219"/>
      <c r="I170" s="220"/>
      <c r="J170" s="221"/>
      <c r="K170" s="222"/>
      <c r="L170" s="223"/>
      <c r="M170" s="275"/>
      <c r="N170" s="261"/>
      <c r="O170" s="261"/>
    </row>
    <row r="171" spans="1:15" ht="31.2" x14ac:dyDescent="0.3">
      <c r="B171" s="225">
        <v>8.1</v>
      </c>
      <c r="C171" s="226" t="s">
        <v>271</v>
      </c>
      <c r="D171" s="228" t="s">
        <v>40</v>
      </c>
      <c r="E171" s="206">
        <f>2.5*2.5</f>
        <v>6.25</v>
      </c>
      <c r="F171" s="207">
        <v>43188</v>
      </c>
      <c r="G171" s="207">
        <f t="shared" si="28"/>
        <v>269925</v>
      </c>
      <c r="H171" s="208">
        <v>0.33</v>
      </c>
      <c r="I171" s="209">
        <f t="shared" si="29"/>
        <v>57440.04</v>
      </c>
      <c r="J171" s="210">
        <f t="shared" si="30"/>
        <v>359000</v>
      </c>
      <c r="K171" s="121"/>
      <c r="L171" s="211"/>
      <c r="M171" s="142"/>
    </row>
    <row r="172" spans="1:15" s="202" customFormat="1" x14ac:dyDescent="0.3">
      <c r="B172" s="213">
        <v>9</v>
      </c>
      <c r="C172" s="214" t="s">
        <v>48</v>
      </c>
      <c r="D172" s="215"/>
      <c r="E172" s="216"/>
      <c r="F172" s="217"/>
      <c r="G172" s="218"/>
      <c r="H172" s="219"/>
      <c r="I172" s="220"/>
      <c r="J172" s="221"/>
      <c r="K172" s="222"/>
      <c r="L172" s="223"/>
      <c r="M172" s="275"/>
    </row>
    <row r="173" spans="1:15" ht="31.2" x14ac:dyDescent="0.3">
      <c r="B173" s="225">
        <v>9.1</v>
      </c>
      <c r="C173" s="226" t="s">
        <v>272</v>
      </c>
      <c r="D173" s="228" t="s">
        <v>40</v>
      </c>
      <c r="E173" s="206">
        <v>44.6</v>
      </c>
      <c r="F173" s="207">
        <v>31341</v>
      </c>
      <c r="G173" s="207">
        <f t="shared" si="28"/>
        <v>1397809</v>
      </c>
      <c r="H173" s="208">
        <v>0.33</v>
      </c>
      <c r="I173" s="209">
        <f t="shared" si="29"/>
        <v>41683.53</v>
      </c>
      <c r="J173" s="210">
        <f t="shared" si="30"/>
        <v>1859085</v>
      </c>
      <c r="K173" s="121"/>
      <c r="L173" s="211"/>
      <c r="M173" s="142"/>
    </row>
    <row r="174" spans="1:15" ht="21" customHeight="1" x14ac:dyDescent="0.3">
      <c r="B174" s="225">
        <v>9.1999999999999993</v>
      </c>
      <c r="C174" s="226" t="s">
        <v>273</v>
      </c>
      <c r="D174" s="228" t="s">
        <v>40</v>
      </c>
      <c r="E174" s="206">
        <v>8.98</v>
      </c>
      <c r="F174" s="207">
        <v>27454</v>
      </c>
      <c r="G174" s="207">
        <f t="shared" si="28"/>
        <v>246537</v>
      </c>
      <c r="H174" s="208">
        <v>0.33</v>
      </c>
      <c r="I174" s="209">
        <f t="shared" si="29"/>
        <v>36513.82</v>
      </c>
      <c r="J174" s="210">
        <f t="shared" si="30"/>
        <v>327894</v>
      </c>
      <c r="K174" s="121"/>
      <c r="L174" s="211"/>
      <c r="M174" s="142"/>
    </row>
    <row r="175" spans="1:15" s="202" customFormat="1" x14ac:dyDescent="0.3">
      <c r="B175" s="213">
        <v>10</v>
      </c>
      <c r="C175" s="214" t="s">
        <v>17</v>
      </c>
      <c r="D175" s="215"/>
      <c r="E175" s="216"/>
      <c r="F175" s="217"/>
      <c r="G175" s="218"/>
      <c r="H175" s="219"/>
      <c r="I175" s="220"/>
      <c r="J175" s="221"/>
      <c r="K175" s="222"/>
      <c r="L175" s="223"/>
      <c r="M175" s="275"/>
    </row>
    <row r="176" spans="1:15" x14ac:dyDescent="0.3">
      <c r="B176" s="225">
        <v>10.1</v>
      </c>
      <c r="C176" s="226" t="s">
        <v>18</v>
      </c>
      <c r="D176" s="228" t="s">
        <v>19</v>
      </c>
      <c r="E176" s="206">
        <v>1</v>
      </c>
      <c r="F176" s="207">
        <v>150000</v>
      </c>
      <c r="G176" s="207">
        <f t="shared" si="28"/>
        <v>150000</v>
      </c>
      <c r="H176" s="208">
        <v>0.33</v>
      </c>
      <c r="I176" s="209">
        <f t="shared" si="29"/>
        <v>199500</v>
      </c>
      <c r="J176" s="210">
        <f t="shared" si="30"/>
        <v>199500</v>
      </c>
      <c r="K176" s="121"/>
      <c r="L176" s="211"/>
      <c r="M176" s="142"/>
    </row>
    <row r="177" spans="1:15" x14ac:dyDescent="0.3">
      <c r="B177" s="225">
        <v>10.199999999999999</v>
      </c>
      <c r="C177" s="226" t="s">
        <v>20</v>
      </c>
      <c r="D177" s="228" t="s">
        <v>19</v>
      </c>
      <c r="E177" s="206">
        <v>1</v>
      </c>
      <c r="F177" s="207">
        <v>250000</v>
      </c>
      <c r="G177" s="207">
        <f t="shared" si="28"/>
        <v>250000</v>
      </c>
      <c r="H177" s="208">
        <v>0.33</v>
      </c>
      <c r="I177" s="209">
        <f t="shared" si="29"/>
        <v>332500</v>
      </c>
      <c r="J177" s="210">
        <f t="shared" si="30"/>
        <v>332500</v>
      </c>
      <c r="K177" s="121"/>
      <c r="L177" s="211"/>
      <c r="M177" s="142"/>
    </row>
    <row r="178" spans="1:15" ht="80.400000000000006" customHeight="1" thickBot="1" x14ac:dyDescent="0.35">
      <c r="B178" s="229">
        <v>10.3</v>
      </c>
      <c r="C178" s="251" t="s">
        <v>245</v>
      </c>
      <c r="D178" s="231" t="s">
        <v>65</v>
      </c>
      <c r="E178" s="232">
        <v>12</v>
      </c>
      <c r="F178" s="233">
        <v>49760</v>
      </c>
      <c r="G178" s="233">
        <f t="shared" si="28"/>
        <v>597120</v>
      </c>
      <c r="H178" s="234">
        <v>0.33</v>
      </c>
      <c r="I178" s="235">
        <f t="shared" si="29"/>
        <v>66180.800000000003</v>
      </c>
      <c r="J178" s="236">
        <f t="shared" si="30"/>
        <v>794170</v>
      </c>
      <c r="K178" s="121"/>
      <c r="L178" s="211"/>
      <c r="M178" s="142"/>
    </row>
    <row r="179" spans="1:15" ht="16.2" thickBot="1" x14ac:dyDescent="0.35">
      <c r="B179" s="279"/>
      <c r="C179" s="122"/>
      <c r="D179" s="121"/>
      <c r="E179" s="238"/>
      <c r="F179" s="239"/>
      <c r="G179" s="280"/>
      <c r="H179" s="252"/>
      <c r="I179" s="133"/>
      <c r="J179" s="133"/>
      <c r="K179" s="121"/>
      <c r="L179" s="211"/>
    </row>
    <row r="180" spans="1:15" ht="32.4" customHeight="1" thickBot="1" x14ac:dyDescent="0.35">
      <c r="A180" s="119"/>
      <c r="B180" s="281"/>
      <c r="C180" s="243"/>
      <c r="D180" s="533" t="s">
        <v>49</v>
      </c>
      <c r="E180" s="534"/>
      <c r="F180" s="535"/>
      <c r="G180" s="282">
        <f>SUM(G146:G178)</f>
        <v>17141236</v>
      </c>
      <c r="H180" s="283"/>
      <c r="I180" s="136"/>
      <c r="J180" s="282">
        <f>SUM(J146:J178)</f>
        <v>22797842</v>
      </c>
      <c r="K180" s="119"/>
      <c r="L180" s="133"/>
      <c r="M180" s="133"/>
      <c r="N180" s="119"/>
      <c r="O180" s="119"/>
    </row>
    <row r="181" spans="1:15" ht="16.2" thickBot="1" x14ac:dyDescent="0.35">
      <c r="A181" s="119"/>
      <c r="B181" s="281"/>
      <c r="C181" s="243"/>
      <c r="D181" s="135"/>
      <c r="E181" s="247"/>
      <c r="F181" s="135"/>
      <c r="G181" s="284"/>
      <c r="H181" s="283"/>
      <c r="I181" s="136"/>
      <c r="J181" s="119"/>
      <c r="K181" s="119"/>
      <c r="L181" s="211"/>
      <c r="N181" s="119"/>
      <c r="O181" s="119"/>
    </row>
    <row r="182" spans="1:15" ht="23.25" customHeight="1" thickBot="1" x14ac:dyDescent="0.35">
      <c r="B182" s="530" t="s">
        <v>50</v>
      </c>
      <c r="C182" s="531"/>
      <c r="D182" s="531"/>
      <c r="E182" s="531"/>
      <c r="F182" s="531"/>
      <c r="G182" s="531"/>
      <c r="H182" s="531"/>
      <c r="I182" s="531"/>
      <c r="J182" s="532"/>
      <c r="K182" s="121"/>
      <c r="L182" s="211"/>
    </row>
    <row r="183" spans="1:15" s="119" customFormat="1" ht="46.2" customHeight="1" thickBot="1" x14ac:dyDescent="0.35">
      <c r="B183" s="267" t="s">
        <v>6</v>
      </c>
      <c r="C183" s="268" t="s">
        <v>7</v>
      </c>
      <c r="D183" s="269" t="s">
        <v>8</v>
      </c>
      <c r="E183" s="270" t="s">
        <v>9</v>
      </c>
      <c r="F183" s="271" t="s">
        <v>10</v>
      </c>
      <c r="G183" s="272" t="s">
        <v>11</v>
      </c>
      <c r="H183" s="272" t="s">
        <v>12</v>
      </c>
      <c r="I183" s="272" t="s">
        <v>13</v>
      </c>
      <c r="J183" s="273" t="s">
        <v>14</v>
      </c>
      <c r="L183" s="211"/>
      <c r="M183" s="117"/>
    </row>
    <row r="184" spans="1:15" s="249" customFormat="1" x14ac:dyDescent="0.3">
      <c r="A184" s="202"/>
      <c r="B184" s="195">
        <v>1</v>
      </c>
      <c r="C184" s="248" t="s">
        <v>15</v>
      </c>
      <c r="D184" s="197"/>
      <c r="E184" s="198"/>
      <c r="F184" s="199"/>
      <c r="G184" s="199"/>
      <c r="H184" s="200"/>
      <c r="I184" s="196"/>
      <c r="J184" s="201"/>
      <c r="K184" s="222"/>
      <c r="L184" s="223"/>
      <c r="N184" s="202"/>
      <c r="O184" s="202"/>
    </row>
    <row r="185" spans="1:15" ht="33.75" customHeight="1" x14ac:dyDescent="0.3">
      <c r="B185" s="203">
        <v>1.1000000000000001</v>
      </c>
      <c r="C185" s="274" t="s">
        <v>234</v>
      </c>
      <c r="D185" s="205" t="s">
        <v>39</v>
      </c>
      <c r="E185" s="206">
        <v>17.899999999999999</v>
      </c>
      <c r="F185" s="207">
        <v>20883</v>
      </c>
      <c r="G185" s="207">
        <f>+ROUND(E185*F185,0)</f>
        <v>373806</v>
      </c>
      <c r="H185" s="208">
        <v>0.33</v>
      </c>
      <c r="I185" s="209">
        <f>(F185*(1+H185))</f>
        <v>27774.390000000003</v>
      </c>
      <c r="J185" s="210">
        <f t="shared" ref="J185:J188" si="31">ROUND(I185*E185,0)</f>
        <v>497162</v>
      </c>
      <c r="K185" s="121"/>
      <c r="L185" s="211"/>
      <c r="M185" s="212"/>
    </row>
    <row r="186" spans="1:15" x14ac:dyDescent="0.3">
      <c r="B186" s="203">
        <v>1.2</v>
      </c>
      <c r="C186" s="274" t="s">
        <v>257</v>
      </c>
      <c r="D186" s="205" t="s">
        <v>40</v>
      </c>
      <c r="E186" s="206">
        <v>6.59</v>
      </c>
      <c r="F186" s="207">
        <v>14495</v>
      </c>
      <c r="G186" s="207">
        <f t="shared" ref="G186:G188" si="32">+ROUND(E186*F186,0)</f>
        <v>95522</v>
      </c>
      <c r="H186" s="208">
        <v>0.33</v>
      </c>
      <c r="I186" s="209">
        <f t="shared" ref="I186:I188" si="33">(F186*(1+H186))</f>
        <v>19278.350000000002</v>
      </c>
      <c r="J186" s="210">
        <f t="shared" si="31"/>
        <v>127044</v>
      </c>
      <c r="K186" s="121"/>
      <c r="L186" s="211"/>
      <c r="M186" s="212"/>
    </row>
    <row r="187" spans="1:15" ht="20.25" customHeight="1" x14ac:dyDescent="0.3">
      <c r="B187" s="203">
        <v>1.3</v>
      </c>
      <c r="C187" s="274" t="s">
        <v>258</v>
      </c>
      <c r="D187" s="205" t="s">
        <v>40</v>
      </c>
      <c r="E187" s="206">
        <v>33.28</v>
      </c>
      <c r="F187" s="207">
        <v>14495</v>
      </c>
      <c r="G187" s="207">
        <f t="shared" si="32"/>
        <v>482394</v>
      </c>
      <c r="H187" s="208">
        <v>0.33</v>
      </c>
      <c r="I187" s="209">
        <f t="shared" si="33"/>
        <v>19278.350000000002</v>
      </c>
      <c r="J187" s="210">
        <f t="shared" si="31"/>
        <v>641583</v>
      </c>
      <c r="K187" s="121"/>
      <c r="L187" s="211"/>
      <c r="M187" s="212"/>
    </row>
    <row r="188" spans="1:15" ht="33.6" customHeight="1" x14ac:dyDescent="0.3">
      <c r="B188" s="203">
        <v>1.4</v>
      </c>
      <c r="C188" s="274" t="s">
        <v>259</v>
      </c>
      <c r="D188" s="205" t="s">
        <v>19</v>
      </c>
      <c r="E188" s="206">
        <v>8</v>
      </c>
      <c r="F188" s="207">
        <v>29492</v>
      </c>
      <c r="G188" s="207">
        <f t="shared" si="32"/>
        <v>235936</v>
      </c>
      <c r="H188" s="208">
        <v>0.33</v>
      </c>
      <c r="I188" s="209">
        <f t="shared" si="33"/>
        <v>39224.36</v>
      </c>
      <c r="J188" s="210">
        <f t="shared" si="31"/>
        <v>313795</v>
      </c>
      <c r="K188" s="121"/>
      <c r="L188" s="211"/>
      <c r="M188" s="212"/>
    </row>
    <row r="189" spans="1:15" s="278" customFormat="1" ht="21" customHeight="1" x14ac:dyDescent="0.3">
      <c r="A189" s="261"/>
      <c r="B189" s="213">
        <v>2</v>
      </c>
      <c r="C189" s="276" t="s">
        <v>41</v>
      </c>
      <c r="D189" s="215"/>
      <c r="E189" s="216"/>
      <c r="F189" s="217"/>
      <c r="G189" s="218"/>
      <c r="H189" s="219"/>
      <c r="I189" s="220"/>
      <c r="J189" s="221"/>
      <c r="K189" s="222"/>
      <c r="L189" s="223"/>
      <c r="M189" s="224"/>
      <c r="N189" s="261"/>
      <c r="O189" s="261"/>
    </row>
    <row r="190" spans="1:15" ht="31.5" customHeight="1" x14ac:dyDescent="0.3">
      <c r="A190" s="119"/>
      <c r="B190" s="225">
        <v>2.1</v>
      </c>
      <c r="C190" s="226" t="s">
        <v>260</v>
      </c>
      <c r="D190" s="228" t="s">
        <v>19</v>
      </c>
      <c r="E190" s="206">
        <v>4</v>
      </c>
      <c r="F190" s="207">
        <v>53305</v>
      </c>
      <c r="G190" s="207">
        <f t="shared" ref="G190:G216" si="34">+ROUND(E190*F190,0)</f>
        <v>213220</v>
      </c>
      <c r="H190" s="208">
        <v>0.33</v>
      </c>
      <c r="I190" s="209">
        <f t="shared" ref="I190:I216" si="35">(F190*(1+H190))</f>
        <v>70895.650000000009</v>
      </c>
      <c r="J190" s="210">
        <f t="shared" ref="J190:J216" si="36">ROUND(I190*E190,0)</f>
        <v>283583</v>
      </c>
      <c r="K190" s="126"/>
      <c r="L190" s="211"/>
      <c r="M190" s="212"/>
      <c r="N190" s="119"/>
      <c r="O190" s="119"/>
    </row>
    <row r="191" spans="1:15" ht="31.5" customHeight="1" x14ac:dyDescent="0.3">
      <c r="A191" s="119"/>
      <c r="B191" s="225">
        <v>2.2000000000000002</v>
      </c>
      <c r="C191" s="226" t="s">
        <v>262</v>
      </c>
      <c r="D191" s="228" t="s">
        <v>19</v>
      </c>
      <c r="E191" s="206">
        <v>2</v>
      </c>
      <c r="F191" s="207">
        <v>32796</v>
      </c>
      <c r="G191" s="207">
        <f t="shared" si="34"/>
        <v>65592</v>
      </c>
      <c r="H191" s="208">
        <v>0.33</v>
      </c>
      <c r="I191" s="209">
        <f t="shared" si="35"/>
        <v>43618.68</v>
      </c>
      <c r="J191" s="210">
        <f t="shared" si="36"/>
        <v>87237</v>
      </c>
      <c r="K191" s="126"/>
      <c r="L191" s="211"/>
      <c r="M191" s="212"/>
      <c r="N191" s="119"/>
      <c r="O191" s="119"/>
    </row>
    <row r="192" spans="1:15" ht="46.95" customHeight="1" x14ac:dyDescent="0.3">
      <c r="A192" s="119"/>
      <c r="B192" s="225">
        <v>2.2999999999999998</v>
      </c>
      <c r="C192" s="226" t="s">
        <v>263</v>
      </c>
      <c r="D192" s="228" t="s">
        <v>39</v>
      </c>
      <c r="E192" s="206">
        <v>6</v>
      </c>
      <c r="F192" s="207">
        <v>32675</v>
      </c>
      <c r="G192" s="207">
        <f t="shared" si="34"/>
        <v>196050</v>
      </c>
      <c r="H192" s="208">
        <v>0.33</v>
      </c>
      <c r="I192" s="209">
        <f t="shared" si="35"/>
        <v>43457.75</v>
      </c>
      <c r="J192" s="210">
        <f t="shared" si="36"/>
        <v>260747</v>
      </c>
      <c r="K192" s="126"/>
      <c r="L192" s="211"/>
      <c r="M192" s="212"/>
      <c r="N192" s="119"/>
      <c r="O192" s="119"/>
    </row>
    <row r="193" spans="1:15" ht="37.5" customHeight="1" x14ac:dyDescent="0.3">
      <c r="A193" s="119"/>
      <c r="B193" s="225">
        <v>2.4</v>
      </c>
      <c r="C193" s="226" t="s">
        <v>264</v>
      </c>
      <c r="D193" s="228" t="s">
        <v>39</v>
      </c>
      <c r="E193" s="206">
        <v>6</v>
      </c>
      <c r="F193" s="207">
        <v>9134</v>
      </c>
      <c r="G193" s="207">
        <f t="shared" si="34"/>
        <v>54804</v>
      </c>
      <c r="H193" s="208">
        <v>0.33</v>
      </c>
      <c r="I193" s="209">
        <f t="shared" si="35"/>
        <v>12148.220000000001</v>
      </c>
      <c r="J193" s="210">
        <f t="shared" si="36"/>
        <v>72889</v>
      </c>
      <c r="K193" s="126"/>
      <c r="L193" s="211"/>
      <c r="M193" s="212"/>
      <c r="N193" s="119"/>
      <c r="O193" s="119"/>
    </row>
    <row r="194" spans="1:15" s="249" customFormat="1" ht="16.5" customHeight="1" x14ac:dyDescent="0.3">
      <c r="A194" s="261"/>
      <c r="B194" s="213">
        <v>3</v>
      </c>
      <c r="C194" s="276" t="s">
        <v>42</v>
      </c>
      <c r="D194" s="215"/>
      <c r="E194" s="216"/>
      <c r="F194" s="217"/>
      <c r="G194" s="218"/>
      <c r="H194" s="219"/>
      <c r="I194" s="220"/>
      <c r="J194" s="221"/>
      <c r="K194" s="222"/>
      <c r="L194" s="223"/>
      <c r="M194" s="224"/>
      <c r="N194" s="261"/>
      <c r="O194" s="261"/>
    </row>
    <row r="195" spans="1:15" ht="48" customHeight="1" x14ac:dyDescent="0.3">
      <c r="B195" s="225">
        <v>3.1</v>
      </c>
      <c r="C195" s="226" t="s">
        <v>265</v>
      </c>
      <c r="D195" s="228" t="s">
        <v>19</v>
      </c>
      <c r="E195" s="206">
        <v>8</v>
      </c>
      <c r="F195" s="207">
        <v>390729</v>
      </c>
      <c r="G195" s="207">
        <f t="shared" si="34"/>
        <v>3125832</v>
      </c>
      <c r="H195" s="208">
        <v>0.33</v>
      </c>
      <c r="I195" s="209">
        <f t="shared" si="35"/>
        <v>519669.57</v>
      </c>
      <c r="J195" s="210">
        <f t="shared" si="36"/>
        <v>4157357</v>
      </c>
      <c r="K195" s="121"/>
      <c r="L195" s="211"/>
      <c r="M195" s="212"/>
    </row>
    <row r="196" spans="1:15" s="249" customFormat="1" ht="16.5" customHeight="1" x14ac:dyDescent="0.3">
      <c r="A196" s="202"/>
      <c r="B196" s="213">
        <v>4</v>
      </c>
      <c r="C196" s="214" t="s">
        <v>43</v>
      </c>
      <c r="D196" s="215"/>
      <c r="E196" s="216"/>
      <c r="F196" s="217"/>
      <c r="G196" s="218"/>
      <c r="H196" s="219"/>
      <c r="I196" s="220"/>
      <c r="J196" s="221"/>
      <c r="K196" s="222"/>
      <c r="L196" s="223"/>
      <c r="M196" s="224"/>
      <c r="N196" s="202"/>
      <c r="O196" s="202"/>
    </row>
    <row r="197" spans="1:15" ht="50.4" customHeight="1" x14ac:dyDescent="0.3">
      <c r="A197" s="119"/>
      <c r="B197" s="225">
        <v>4.0999999999999996</v>
      </c>
      <c r="C197" s="226" t="s">
        <v>266</v>
      </c>
      <c r="D197" s="228" t="s">
        <v>19</v>
      </c>
      <c r="E197" s="206">
        <v>8</v>
      </c>
      <c r="F197" s="207">
        <v>129920</v>
      </c>
      <c r="G197" s="207">
        <f t="shared" si="34"/>
        <v>1039360</v>
      </c>
      <c r="H197" s="208">
        <v>0.33</v>
      </c>
      <c r="I197" s="209">
        <f t="shared" si="35"/>
        <v>172793.60000000001</v>
      </c>
      <c r="J197" s="210">
        <f t="shared" si="36"/>
        <v>1382349</v>
      </c>
      <c r="K197" s="126"/>
      <c r="L197" s="211"/>
      <c r="M197" s="212"/>
      <c r="N197" s="119"/>
      <c r="O197" s="119"/>
    </row>
    <row r="198" spans="1:15" ht="48.6" customHeight="1" x14ac:dyDescent="0.3">
      <c r="B198" s="225">
        <v>4.2</v>
      </c>
      <c r="C198" s="226" t="s">
        <v>267</v>
      </c>
      <c r="D198" s="228" t="s">
        <v>19</v>
      </c>
      <c r="E198" s="206">
        <v>6</v>
      </c>
      <c r="F198" s="207">
        <v>111722</v>
      </c>
      <c r="G198" s="207">
        <f t="shared" si="34"/>
        <v>670332</v>
      </c>
      <c r="H198" s="208">
        <v>0.33</v>
      </c>
      <c r="I198" s="209">
        <f t="shared" si="35"/>
        <v>148590.26</v>
      </c>
      <c r="J198" s="210">
        <f t="shared" si="36"/>
        <v>891542</v>
      </c>
      <c r="K198" s="121"/>
      <c r="L198" s="211"/>
      <c r="M198" s="212"/>
    </row>
    <row r="199" spans="1:15" ht="49.95" customHeight="1" x14ac:dyDescent="0.3">
      <c r="B199" s="225">
        <v>4.3</v>
      </c>
      <c r="C199" s="226" t="s">
        <v>242</v>
      </c>
      <c r="D199" s="228" t="s">
        <v>19</v>
      </c>
      <c r="E199" s="206">
        <v>1</v>
      </c>
      <c r="F199" s="207">
        <v>134144</v>
      </c>
      <c r="G199" s="207">
        <f t="shared" si="34"/>
        <v>134144</v>
      </c>
      <c r="H199" s="208">
        <v>0.33</v>
      </c>
      <c r="I199" s="209">
        <f t="shared" si="35"/>
        <v>178411.52000000002</v>
      </c>
      <c r="J199" s="210">
        <f t="shared" si="36"/>
        <v>178412</v>
      </c>
      <c r="K199" s="121"/>
      <c r="L199" s="211"/>
      <c r="M199" s="212"/>
    </row>
    <row r="200" spans="1:15" ht="34.5" customHeight="1" x14ac:dyDescent="0.3">
      <c r="B200" s="225">
        <v>4.4000000000000004</v>
      </c>
      <c r="C200" s="226" t="s">
        <v>51</v>
      </c>
      <c r="D200" s="228" t="s">
        <v>19</v>
      </c>
      <c r="E200" s="206">
        <v>2</v>
      </c>
      <c r="F200" s="277">
        <v>96504</v>
      </c>
      <c r="G200" s="207">
        <f t="shared" si="34"/>
        <v>193008</v>
      </c>
      <c r="H200" s="208">
        <v>0.33</v>
      </c>
      <c r="I200" s="209">
        <f t="shared" si="35"/>
        <v>128350.32</v>
      </c>
      <c r="J200" s="210">
        <f t="shared" si="36"/>
        <v>256701</v>
      </c>
      <c r="K200" s="121"/>
      <c r="L200" s="211"/>
      <c r="M200" s="212"/>
    </row>
    <row r="201" spans="1:15" s="249" customFormat="1" ht="16.5" customHeight="1" x14ac:dyDescent="0.3">
      <c r="A201" s="202"/>
      <c r="B201" s="213">
        <v>5</v>
      </c>
      <c r="C201" s="214" t="s">
        <v>44</v>
      </c>
      <c r="D201" s="215"/>
      <c r="E201" s="216"/>
      <c r="F201" s="217"/>
      <c r="G201" s="218"/>
      <c r="H201" s="219"/>
      <c r="I201" s="220"/>
      <c r="J201" s="221"/>
      <c r="K201" s="222"/>
      <c r="L201" s="223"/>
      <c r="M201" s="224"/>
      <c r="N201" s="202"/>
      <c r="O201" s="202"/>
    </row>
    <row r="202" spans="1:15" ht="31.2" customHeight="1" x14ac:dyDescent="0.3">
      <c r="B202" s="225">
        <v>5.0999999999999996</v>
      </c>
      <c r="C202" s="226" t="s">
        <v>253</v>
      </c>
      <c r="D202" s="228" t="s">
        <v>40</v>
      </c>
      <c r="E202" s="206">
        <v>33.28</v>
      </c>
      <c r="F202" s="207">
        <v>42550</v>
      </c>
      <c r="G202" s="207">
        <f t="shared" si="34"/>
        <v>1416064</v>
      </c>
      <c r="H202" s="208">
        <v>0.33</v>
      </c>
      <c r="I202" s="209">
        <f t="shared" si="35"/>
        <v>56591.5</v>
      </c>
      <c r="J202" s="210">
        <f t="shared" si="36"/>
        <v>1883365</v>
      </c>
      <c r="K202" s="121"/>
      <c r="L202" s="211"/>
      <c r="M202" s="212"/>
    </row>
    <row r="203" spans="1:15" ht="49.95" customHeight="1" x14ac:dyDescent="0.3">
      <c r="B203" s="225">
        <v>5.2</v>
      </c>
      <c r="C203" s="226" t="s">
        <v>268</v>
      </c>
      <c r="D203" s="228" t="s">
        <v>40</v>
      </c>
      <c r="E203" s="266">
        <v>64.670000000000016</v>
      </c>
      <c r="F203" s="207">
        <v>89553</v>
      </c>
      <c r="G203" s="207">
        <f t="shared" si="34"/>
        <v>5791393</v>
      </c>
      <c r="H203" s="208">
        <v>0.33</v>
      </c>
      <c r="I203" s="209">
        <f t="shared" si="35"/>
        <v>119105.49</v>
      </c>
      <c r="J203" s="210">
        <f t="shared" si="36"/>
        <v>7702552</v>
      </c>
      <c r="K203" s="121"/>
      <c r="L203" s="211"/>
      <c r="M203" s="212"/>
    </row>
    <row r="204" spans="1:15" ht="48" customHeight="1" x14ac:dyDescent="0.3">
      <c r="B204" s="225">
        <v>5.3</v>
      </c>
      <c r="C204" s="226" t="s">
        <v>269</v>
      </c>
      <c r="D204" s="228" t="s">
        <v>40</v>
      </c>
      <c r="E204" s="206">
        <v>33.28</v>
      </c>
      <c r="F204" s="207">
        <v>87143</v>
      </c>
      <c r="G204" s="207">
        <f t="shared" si="34"/>
        <v>2900119</v>
      </c>
      <c r="H204" s="208">
        <v>0.33</v>
      </c>
      <c r="I204" s="209">
        <f t="shared" si="35"/>
        <v>115900.19</v>
      </c>
      <c r="J204" s="210">
        <f t="shared" si="36"/>
        <v>3857158</v>
      </c>
      <c r="K204" s="121"/>
      <c r="L204" s="211"/>
      <c r="M204" s="212"/>
    </row>
    <row r="205" spans="1:15" s="249" customFormat="1" ht="16.5" customHeight="1" x14ac:dyDescent="0.3">
      <c r="A205" s="202"/>
      <c r="B205" s="213">
        <v>6</v>
      </c>
      <c r="C205" s="214" t="s">
        <v>45</v>
      </c>
      <c r="D205" s="215"/>
      <c r="E205" s="216"/>
      <c r="F205" s="217"/>
      <c r="G205" s="218"/>
      <c r="H205" s="219"/>
      <c r="I205" s="220"/>
      <c r="J205" s="221"/>
      <c r="K205" s="222"/>
      <c r="L205" s="223"/>
      <c r="M205" s="224"/>
      <c r="N205" s="202"/>
      <c r="O205" s="202"/>
    </row>
    <row r="206" spans="1:15" ht="79.95" customHeight="1" x14ac:dyDescent="0.3">
      <c r="B206" s="225">
        <v>6.1</v>
      </c>
      <c r="C206" s="226" t="s">
        <v>270</v>
      </c>
      <c r="D206" s="228" t="s">
        <v>19</v>
      </c>
      <c r="E206" s="206">
        <v>8</v>
      </c>
      <c r="F206" s="277">
        <v>179267</v>
      </c>
      <c r="G206" s="207">
        <f t="shared" si="34"/>
        <v>1434136</v>
      </c>
      <c r="H206" s="208">
        <v>0.33</v>
      </c>
      <c r="I206" s="209">
        <f t="shared" si="35"/>
        <v>238425.11000000002</v>
      </c>
      <c r="J206" s="210">
        <f t="shared" si="36"/>
        <v>1907401</v>
      </c>
      <c r="K206" s="121"/>
      <c r="L206" s="211"/>
      <c r="M206" s="212"/>
    </row>
    <row r="207" spans="1:15" s="249" customFormat="1" ht="16.5" customHeight="1" x14ac:dyDescent="0.3">
      <c r="A207" s="261"/>
      <c r="B207" s="213">
        <v>7</v>
      </c>
      <c r="C207" s="276" t="s">
        <v>47</v>
      </c>
      <c r="D207" s="215"/>
      <c r="E207" s="216"/>
      <c r="F207" s="217"/>
      <c r="G207" s="218"/>
      <c r="H207" s="219"/>
      <c r="I207" s="220"/>
      <c r="J207" s="221"/>
      <c r="K207" s="222"/>
      <c r="L207" s="223"/>
      <c r="M207" s="224"/>
      <c r="N207" s="261"/>
      <c r="O207" s="261"/>
    </row>
    <row r="208" spans="1:15" ht="31.2" x14ac:dyDescent="0.3">
      <c r="B208" s="225">
        <v>7.1</v>
      </c>
      <c r="C208" s="226" t="s">
        <v>271</v>
      </c>
      <c r="D208" s="228" t="s">
        <v>40</v>
      </c>
      <c r="E208" s="266">
        <v>123.67</v>
      </c>
      <c r="F208" s="207">
        <v>43188</v>
      </c>
      <c r="G208" s="207">
        <f t="shared" si="34"/>
        <v>5341060</v>
      </c>
      <c r="H208" s="208">
        <v>0.33</v>
      </c>
      <c r="I208" s="209">
        <f t="shared" si="35"/>
        <v>57440.04</v>
      </c>
      <c r="J208" s="210">
        <f t="shared" si="36"/>
        <v>7103610</v>
      </c>
      <c r="K208" s="121"/>
      <c r="L208" s="211"/>
      <c r="M208" s="212"/>
    </row>
    <row r="209" spans="1:16" s="249" customFormat="1" ht="16.5" customHeight="1" x14ac:dyDescent="0.3">
      <c r="A209" s="202"/>
      <c r="B209" s="213">
        <v>8</v>
      </c>
      <c r="C209" s="214" t="s">
        <v>48</v>
      </c>
      <c r="D209" s="215"/>
      <c r="E209" s="216"/>
      <c r="F209" s="217"/>
      <c r="G209" s="218"/>
      <c r="H209" s="219"/>
      <c r="I209" s="220"/>
      <c r="J209" s="221"/>
      <c r="K209" s="222"/>
      <c r="L209" s="223"/>
      <c r="M209" s="224"/>
      <c r="N209" s="202"/>
      <c r="O209" s="202"/>
    </row>
    <row r="210" spans="1:16" ht="54" customHeight="1" x14ac:dyDescent="0.3">
      <c r="B210" s="225">
        <v>8.1</v>
      </c>
      <c r="C210" s="226" t="s">
        <v>272</v>
      </c>
      <c r="D210" s="228" t="s">
        <v>40</v>
      </c>
      <c r="E210" s="266">
        <v>81.099999999999994</v>
      </c>
      <c r="F210" s="207">
        <v>31341</v>
      </c>
      <c r="G210" s="207">
        <f t="shared" si="34"/>
        <v>2541755</v>
      </c>
      <c r="H210" s="208">
        <v>0.33</v>
      </c>
      <c r="I210" s="209">
        <f t="shared" si="35"/>
        <v>41683.53</v>
      </c>
      <c r="J210" s="210">
        <f t="shared" si="36"/>
        <v>3380534</v>
      </c>
      <c r="K210" s="121"/>
      <c r="L210" s="211"/>
      <c r="M210" s="212"/>
    </row>
    <row r="211" spans="1:16" ht="16.5" customHeight="1" x14ac:dyDescent="0.3">
      <c r="B211" s="225">
        <v>8.1999999999999993</v>
      </c>
      <c r="C211" s="226" t="s">
        <v>273</v>
      </c>
      <c r="D211" s="228" t="s">
        <v>40</v>
      </c>
      <c r="E211" s="206">
        <v>18.239999999999998</v>
      </c>
      <c r="F211" s="207">
        <v>27454</v>
      </c>
      <c r="G211" s="207">
        <f t="shared" si="34"/>
        <v>500761</v>
      </c>
      <c r="H211" s="208">
        <v>0.33</v>
      </c>
      <c r="I211" s="209">
        <f t="shared" si="35"/>
        <v>36513.82</v>
      </c>
      <c r="J211" s="210">
        <f t="shared" si="36"/>
        <v>666012</v>
      </c>
      <c r="K211" s="121"/>
      <c r="L211" s="211"/>
      <c r="M211" s="212"/>
    </row>
    <row r="212" spans="1:16" ht="36" customHeight="1" x14ac:dyDescent="0.3">
      <c r="B212" s="225">
        <v>8.3000000000000007</v>
      </c>
      <c r="C212" s="226" t="s">
        <v>274</v>
      </c>
      <c r="D212" s="228" t="s">
        <v>40</v>
      </c>
      <c r="E212" s="206">
        <v>21.02</v>
      </c>
      <c r="F212" s="277">
        <v>19735</v>
      </c>
      <c r="G212" s="207">
        <f t="shared" si="34"/>
        <v>414830</v>
      </c>
      <c r="H212" s="208">
        <v>0.33</v>
      </c>
      <c r="I212" s="209">
        <f t="shared" si="35"/>
        <v>26247.550000000003</v>
      </c>
      <c r="J212" s="210">
        <f t="shared" si="36"/>
        <v>551724</v>
      </c>
      <c r="K212" s="121"/>
      <c r="L212" s="211"/>
      <c r="M212" s="212"/>
    </row>
    <row r="213" spans="1:16" s="249" customFormat="1" ht="16.5" customHeight="1" x14ac:dyDescent="0.3">
      <c r="A213" s="202"/>
      <c r="B213" s="213">
        <v>9</v>
      </c>
      <c r="C213" s="214" t="s">
        <v>17</v>
      </c>
      <c r="D213" s="215"/>
      <c r="E213" s="216"/>
      <c r="F213" s="217"/>
      <c r="G213" s="218"/>
      <c r="H213" s="219"/>
      <c r="I213" s="220"/>
      <c r="J213" s="221"/>
      <c r="K213" s="222"/>
      <c r="L213" s="223"/>
      <c r="M213" s="224"/>
      <c r="N213" s="202"/>
      <c r="O213" s="202"/>
    </row>
    <row r="214" spans="1:16" ht="16.5" customHeight="1" x14ac:dyDescent="0.3">
      <c r="B214" s="225">
        <v>9.1</v>
      </c>
      <c r="C214" s="226" t="s">
        <v>18</v>
      </c>
      <c r="D214" s="228" t="s">
        <v>19</v>
      </c>
      <c r="E214" s="206">
        <v>1</v>
      </c>
      <c r="F214" s="207">
        <v>150000</v>
      </c>
      <c r="G214" s="207">
        <f t="shared" si="34"/>
        <v>150000</v>
      </c>
      <c r="H214" s="208">
        <v>0.33</v>
      </c>
      <c r="I214" s="209">
        <f t="shared" si="35"/>
        <v>199500</v>
      </c>
      <c r="J214" s="210">
        <f t="shared" si="36"/>
        <v>199500</v>
      </c>
      <c r="K214" s="121"/>
      <c r="L214" s="211"/>
      <c r="M214" s="212"/>
    </row>
    <row r="215" spans="1:16" ht="16.5" customHeight="1" x14ac:dyDescent="0.3">
      <c r="A215" s="119"/>
      <c r="B215" s="225">
        <v>9.1999999999999993</v>
      </c>
      <c r="C215" s="226" t="s">
        <v>20</v>
      </c>
      <c r="D215" s="228" t="s">
        <v>19</v>
      </c>
      <c r="E215" s="206">
        <v>1</v>
      </c>
      <c r="F215" s="207">
        <v>250000</v>
      </c>
      <c r="G215" s="207">
        <f t="shared" si="34"/>
        <v>250000</v>
      </c>
      <c r="H215" s="208">
        <v>0.33</v>
      </c>
      <c r="I215" s="209">
        <f t="shared" si="35"/>
        <v>332500</v>
      </c>
      <c r="J215" s="210">
        <f t="shared" si="36"/>
        <v>332500</v>
      </c>
      <c r="K215" s="126"/>
      <c r="L215" s="211"/>
      <c r="M215" s="212"/>
      <c r="N215" s="119"/>
      <c r="O215" s="119"/>
    </row>
    <row r="216" spans="1:16" ht="76.95" customHeight="1" thickBot="1" x14ac:dyDescent="0.35">
      <c r="A216" s="119"/>
      <c r="B216" s="229">
        <v>9.3000000000000007</v>
      </c>
      <c r="C216" s="251" t="s">
        <v>245</v>
      </c>
      <c r="D216" s="231" t="s">
        <v>65</v>
      </c>
      <c r="E216" s="232">
        <v>12</v>
      </c>
      <c r="F216" s="233">
        <v>49760</v>
      </c>
      <c r="G216" s="233">
        <f t="shared" si="34"/>
        <v>597120</v>
      </c>
      <c r="H216" s="234">
        <v>0.33</v>
      </c>
      <c r="I216" s="235">
        <f t="shared" si="35"/>
        <v>66180.800000000003</v>
      </c>
      <c r="J216" s="236">
        <f t="shared" si="36"/>
        <v>794170</v>
      </c>
      <c r="K216" s="126"/>
      <c r="L216" s="211"/>
      <c r="M216" s="212"/>
      <c r="N216" s="119"/>
      <c r="O216" s="119"/>
    </row>
    <row r="217" spans="1:16" ht="16.2" thickBot="1" x14ac:dyDescent="0.35">
      <c r="B217" s="121"/>
      <c r="C217" s="122"/>
      <c r="D217" s="123"/>
      <c r="E217" s="238"/>
      <c r="F217" s="239"/>
      <c r="G217" s="239"/>
      <c r="H217" s="252"/>
      <c r="I217" s="133"/>
      <c r="J217" s="133"/>
      <c r="K217" s="121"/>
      <c r="L217" s="211"/>
    </row>
    <row r="218" spans="1:16" ht="32.4" customHeight="1" thickBot="1" x14ac:dyDescent="0.35">
      <c r="A218" s="119"/>
      <c r="B218" s="281"/>
      <c r="C218" s="243"/>
      <c r="D218" s="533" t="s">
        <v>52</v>
      </c>
      <c r="E218" s="534"/>
      <c r="F218" s="535"/>
      <c r="G218" s="282">
        <f>SUM(G184:G216)</f>
        <v>28217238</v>
      </c>
      <c r="H218" s="283"/>
      <c r="I218" s="136"/>
      <c r="J218" s="282">
        <f>SUM(J184:J216)</f>
        <v>37528927</v>
      </c>
      <c r="K218" s="119"/>
      <c r="L218" s="133"/>
      <c r="M218" s="133"/>
      <c r="N218" s="119"/>
      <c r="O218" s="119"/>
    </row>
    <row r="219" spans="1:16" s="119" customFormat="1" ht="18" customHeight="1" x14ac:dyDescent="0.3">
      <c r="B219" s="253"/>
      <c r="C219" s="118"/>
      <c r="D219" s="121"/>
      <c r="E219" s="124"/>
      <c r="F219" s="125"/>
      <c r="G219" s="125"/>
      <c r="H219" s="125"/>
      <c r="I219" s="125"/>
      <c r="J219" s="254"/>
      <c r="L219" s="211"/>
      <c r="M219" s="117"/>
      <c r="N219" s="126"/>
      <c r="O219" s="126"/>
      <c r="P219" s="126"/>
    </row>
    <row r="220" spans="1:16" x14ac:dyDescent="0.3">
      <c r="B220" s="242"/>
      <c r="C220" s="243"/>
      <c r="D220" s="483" t="s">
        <v>34</v>
      </c>
      <c r="E220" s="483"/>
      <c r="F220" s="483"/>
      <c r="G220" s="255">
        <f>+G218+G180</f>
        <v>45358474</v>
      </c>
      <c r="H220" s="245"/>
      <c r="I220" s="141"/>
      <c r="J220" s="256">
        <f>+J218+J180</f>
        <v>60326769</v>
      </c>
      <c r="L220" s="211"/>
    </row>
    <row r="221" spans="1:16" x14ac:dyDescent="0.3">
      <c r="B221" s="139"/>
      <c r="C221" s="243"/>
      <c r="D221" s="135"/>
      <c r="E221" s="247"/>
      <c r="F221" s="135"/>
      <c r="G221" s="141"/>
      <c r="H221" s="245"/>
      <c r="I221" s="141"/>
      <c r="J221" s="141"/>
      <c r="L221" s="211"/>
    </row>
    <row r="222" spans="1:16" ht="16.2" thickBot="1" x14ac:dyDescent="0.35">
      <c r="B222" s="139"/>
      <c r="C222" s="243"/>
      <c r="D222" s="135"/>
      <c r="E222" s="247"/>
      <c r="F222" s="135"/>
      <c r="G222" s="141"/>
      <c r="H222" s="245"/>
      <c r="I222" s="141"/>
      <c r="J222" s="141"/>
      <c r="L222" s="211"/>
    </row>
    <row r="223" spans="1:16" ht="36" customHeight="1" thickBot="1" x14ac:dyDescent="0.35">
      <c r="B223" s="480" t="s">
        <v>53</v>
      </c>
      <c r="C223" s="481"/>
      <c r="D223" s="481"/>
      <c r="E223" s="481"/>
      <c r="F223" s="481"/>
      <c r="G223" s="481"/>
      <c r="H223" s="481"/>
      <c r="I223" s="481"/>
      <c r="J223" s="482"/>
      <c r="L223" s="211"/>
    </row>
    <row r="224" spans="1:16" s="119" customFormat="1" ht="46.2" customHeight="1" thickBot="1" x14ac:dyDescent="0.35">
      <c r="B224" s="187" t="s">
        <v>6</v>
      </c>
      <c r="C224" s="188" t="s">
        <v>7</v>
      </c>
      <c r="D224" s="189" t="s">
        <v>8</v>
      </c>
      <c r="E224" s="190" t="s">
        <v>9</v>
      </c>
      <c r="F224" s="191" t="s">
        <v>10</v>
      </c>
      <c r="G224" s="192" t="s">
        <v>11</v>
      </c>
      <c r="H224" s="192" t="s">
        <v>12</v>
      </c>
      <c r="I224" s="192" t="s">
        <v>13</v>
      </c>
      <c r="J224" s="193" t="s">
        <v>14</v>
      </c>
      <c r="L224" s="211"/>
      <c r="M224" s="117"/>
    </row>
    <row r="225" spans="2:13" s="202" customFormat="1" ht="14.25" customHeight="1" x14ac:dyDescent="0.3">
      <c r="B225" s="195">
        <v>1</v>
      </c>
      <c r="C225" s="248" t="s">
        <v>15</v>
      </c>
      <c r="D225" s="197"/>
      <c r="E225" s="198"/>
      <c r="F225" s="199"/>
      <c r="G225" s="199"/>
      <c r="H225" s="200"/>
      <c r="I225" s="196"/>
      <c r="J225" s="201"/>
      <c r="L225" s="223"/>
      <c r="M225" s="249"/>
    </row>
    <row r="226" spans="2:13" ht="34.200000000000003" customHeight="1" x14ac:dyDescent="0.3">
      <c r="B226" s="203">
        <v>1.1000000000000001</v>
      </c>
      <c r="C226" s="226" t="s">
        <v>231</v>
      </c>
      <c r="D226" s="205" t="s">
        <v>40</v>
      </c>
      <c r="E226" s="206">
        <v>260</v>
      </c>
      <c r="F226" s="207">
        <v>10813</v>
      </c>
      <c r="G226" s="207">
        <f>+ROUND(E226*F226,0)</f>
        <v>2811380</v>
      </c>
      <c r="H226" s="208">
        <v>0.33</v>
      </c>
      <c r="I226" s="209">
        <f>(F226*(1+H226))</f>
        <v>14381.29</v>
      </c>
      <c r="J226" s="210">
        <f t="shared" ref="J226:J229" si="37">ROUND(I226*E226,0)</f>
        <v>3739135</v>
      </c>
      <c r="L226" s="211"/>
      <c r="M226" s="212"/>
    </row>
    <row r="227" spans="2:13" ht="31.95" customHeight="1" x14ac:dyDescent="0.3">
      <c r="B227" s="203">
        <v>1.2</v>
      </c>
      <c r="C227" s="204" t="s">
        <v>232</v>
      </c>
      <c r="D227" s="205" t="s">
        <v>40</v>
      </c>
      <c r="E227" s="206">
        <f>+E226</f>
        <v>260</v>
      </c>
      <c r="F227" s="207">
        <v>9810</v>
      </c>
      <c r="G227" s="207">
        <f t="shared" ref="G227:G229" si="38">+ROUND(E227*F227,0)</f>
        <v>2550600</v>
      </c>
      <c r="H227" s="208">
        <v>0.33</v>
      </c>
      <c r="I227" s="209">
        <f t="shared" ref="I227:I229" si="39">(F227*(1+H227))</f>
        <v>13047.300000000001</v>
      </c>
      <c r="J227" s="210">
        <f t="shared" si="37"/>
        <v>3392298</v>
      </c>
      <c r="L227" s="211"/>
      <c r="M227" s="212"/>
    </row>
    <row r="228" spans="2:13" ht="31.95" customHeight="1" x14ac:dyDescent="0.3">
      <c r="B228" s="203">
        <v>1.3</v>
      </c>
      <c r="C228" s="204" t="s">
        <v>233</v>
      </c>
      <c r="D228" s="205" t="s">
        <v>370</v>
      </c>
      <c r="E228" s="206">
        <f>(9+8+8+10)*2</f>
        <v>70</v>
      </c>
      <c r="F228" s="207">
        <v>9610</v>
      </c>
      <c r="G228" s="207">
        <f t="shared" si="38"/>
        <v>672700</v>
      </c>
      <c r="H228" s="208">
        <v>0.33</v>
      </c>
      <c r="I228" s="209">
        <f t="shared" si="39"/>
        <v>12781.300000000001</v>
      </c>
      <c r="J228" s="210">
        <f t="shared" si="37"/>
        <v>894691</v>
      </c>
      <c r="L228" s="211"/>
      <c r="M228" s="212"/>
    </row>
    <row r="229" spans="2:13" ht="31.95" customHeight="1" x14ac:dyDescent="0.3">
      <c r="B229" s="203">
        <v>1.4</v>
      </c>
      <c r="C229" s="204" t="s">
        <v>234</v>
      </c>
      <c r="D229" s="205" t="s">
        <v>39</v>
      </c>
      <c r="E229" s="206">
        <f>9+9+9+9+8+8</f>
        <v>52</v>
      </c>
      <c r="F229" s="207">
        <v>20883</v>
      </c>
      <c r="G229" s="207">
        <f t="shared" si="38"/>
        <v>1085916</v>
      </c>
      <c r="H229" s="208">
        <v>0.33</v>
      </c>
      <c r="I229" s="209">
        <f t="shared" si="39"/>
        <v>27774.390000000003</v>
      </c>
      <c r="J229" s="210">
        <f t="shared" si="37"/>
        <v>1444268</v>
      </c>
      <c r="L229" s="211"/>
      <c r="M229" s="212"/>
    </row>
    <row r="230" spans="2:13" s="249" customFormat="1" x14ac:dyDescent="0.3">
      <c r="B230" s="213">
        <v>2</v>
      </c>
      <c r="C230" s="214" t="s">
        <v>16</v>
      </c>
      <c r="D230" s="215"/>
      <c r="E230" s="216"/>
      <c r="F230" s="217"/>
      <c r="G230" s="218"/>
      <c r="H230" s="219"/>
      <c r="I230" s="220"/>
      <c r="J230" s="221"/>
      <c r="K230" s="250"/>
      <c r="L230" s="223"/>
      <c r="M230" s="224"/>
    </row>
    <row r="231" spans="2:13" ht="62.4" x14ac:dyDescent="0.3">
      <c r="B231" s="225">
        <v>2.1</v>
      </c>
      <c r="C231" s="226" t="s">
        <v>235</v>
      </c>
      <c r="D231" s="205" t="s">
        <v>40</v>
      </c>
      <c r="E231" s="206">
        <v>260</v>
      </c>
      <c r="F231" s="207">
        <v>76329</v>
      </c>
      <c r="G231" s="207">
        <f t="shared" ref="G231:G245" si="40">+ROUND(E231*F231,0)</f>
        <v>19845540</v>
      </c>
      <c r="H231" s="208">
        <v>0.33</v>
      </c>
      <c r="I231" s="209">
        <f t="shared" ref="I231:I245" si="41">(F231*(1+H231))</f>
        <v>101517.57</v>
      </c>
      <c r="J231" s="210">
        <f t="shared" ref="J231:J245" si="42">ROUND(I231*E231,0)</f>
        <v>26394568</v>
      </c>
      <c r="K231" s="121"/>
      <c r="L231" s="211"/>
      <c r="M231" s="212"/>
    </row>
    <row r="232" spans="2:13" ht="66.599999999999994" customHeight="1" x14ac:dyDescent="0.3">
      <c r="B232" s="225">
        <v>2.2000000000000002</v>
      </c>
      <c r="C232" s="226" t="s">
        <v>246</v>
      </c>
      <c r="D232" s="228" t="s">
        <v>39</v>
      </c>
      <c r="E232" s="206">
        <v>176</v>
      </c>
      <c r="F232" s="207">
        <v>66157</v>
      </c>
      <c r="G232" s="207">
        <f t="shared" si="40"/>
        <v>11643632</v>
      </c>
      <c r="H232" s="208">
        <v>0.33</v>
      </c>
      <c r="I232" s="209">
        <f t="shared" si="41"/>
        <v>87988.81</v>
      </c>
      <c r="J232" s="210">
        <f t="shared" si="42"/>
        <v>15486031</v>
      </c>
      <c r="K232" s="121"/>
      <c r="L232" s="211"/>
      <c r="M232" s="212"/>
    </row>
    <row r="233" spans="2:13" ht="46.8" x14ac:dyDescent="0.3">
      <c r="B233" s="225">
        <v>2.2999999999999998</v>
      </c>
      <c r="C233" s="226" t="s">
        <v>236</v>
      </c>
      <c r="D233" s="205" t="s">
        <v>371</v>
      </c>
      <c r="E233" s="206">
        <v>22</v>
      </c>
      <c r="F233" s="207">
        <v>39523</v>
      </c>
      <c r="G233" s="207">
        <f t="shared" si="40"/>
        <v>869506</v>
      </c>
      <c r="H233" s="208">
        <v>0.33</v>
      </c>
      <c r="I233" s="209">
        <f t="shared" si="41"/>
        <v>52565.590000000004</v>
      </c>
      <c r="J233" s="210">
        <f t="shared" si="42"/>
        <v>1156443</v>
      </c>
      <c r="K233" s="121"/>
      <c r="L233" s="211"/>
      <c r="M233" s="212"/>
    </row>
    <row r="234" spans="2:13" ht="68.400000000000006" customHeight="1" x14ac:dyDescent="0.3">
      <c r="B234" s="225">
        <v>2.5</v>
      </c>
      <c r="C234" s="226" t="s">
        <v>247</v>
      </c>
      <c r="D234" s="205" t="s">
        <v>39</v>
      </c>
      <c r="E234" s="206">
        <f>11.5*2</f>
        <v>23</v>
      </c>
      <c r="F234" s="207">
        <v>270384</v>
      </c>
      <c r="G234" s="207">
        <f t="shared" si="40"/>
        <v>6218832</v>
      </c>
      <c r="H234" s="208">
        <v>0.33</v>
      </c>
      <c r="I234" s="209">
        <f t="shared" si="41"/>
        <v>359610.72000000003</v>
      </c>
      <c r="J234" s="210">
        <f t="shared" si="42"/>
        <v>8271047</v>
      </c>
      <c r="K234" s="121"/>
      <c r="L234" s="211"/>
      <c r="M234" s="212"/>
    </row>
    <row r="235" spans="2:13" s="249" customFormat="1" x14ac:dyDescent="0.3">
      <c r="B235" s="213">
        <v>3</v>
      </c>
      <c r="C235" s="214" t="s">
        <v>28</v>
      </c>
      <c r="D235" s="215"/>
      <c r="E235" s="216"/>
      <c r="F235" s="217"/>
      <c r="G235" s="218"/>
      <c r="H235" s="219"/>
      <c r="I235" s="220"/>
      <c r="J235" s="221"/>
      <c r="K235" s="250"/>
      <c r="L235" s="223"/>
      <c r="M235" s="224"/>
    </row>
    <row r="236" spans="2:13" ht="31.2" x14ac:dyDescent="0.3">
      <c r="B236" s="225">
        <v>3.1</v>
      </c>
      <c r="C236" s="226" t="s">
        <v>239</v>
      </c>
      <c r="D236" s="205" t="s">
        <v>40</v>
      </c>
      <c r="E236" s="206">
        <f>+E237*2</f>
        <v>31.92</v>
      </c>
      <c r="F236" s="207">
        <v>75728</v>
      </c>
      <c r="G236" s="207">
        <f t="shared" si="40"/>
        <v>2417238</v>
      </c>
      <c r="H236" s="208">
        <v>0.33</v>
      </c>
      <c r="I236" s="209">
        <f t="shared" si="41"/>
        <v>100718.24</v>
      </c>
      <c r="J236" s="210">
        <f t="shared" si="42"/>
        <v>3214926</v>
      </c>
      <c r="K236" s="121"/>
      <c r="L236" s="211"/>
      <c r="M236" s="212"/>
    </row>
    <row r="237" spans="2:13" ht="32.25" customHeight="1" x14ac:dyDescent="0.3">
      <c r="B237" s="225">
        <v>2.8</v>
      </c>
      <c r="C237" s="204" t="s">
        <v>240</v>
      </c>
      <c r="D237" s="205" t="s">
        <v>40</v>
      </c>
      <c r="E237" s="206">
        <f>10.64*1.5</f>
        <v>15.96</v>
      </c>
      <c r="F237" s="207">
        <v>58969</v>
      </c>
      <c r="G237" s="207">
        <f t="shared" si="40"/>
        <v>941145</v>
      </c>
      <c r="H237" s="208">
        <v>0.33</v>
      </c>
      <c r="I237" s="209">
        <f t="shared" si="41"/>
        <v>78428.77</v>
      </c>
      <c r="J237" s="210">
        <f t="shared" si="42"/>
        <v>1251723</v>
      </c>
      <c r="K237" s="121"/>
      <c r="L237" s="211"/>
      <c r="M237" s="212"/>
    </row>
    <row r="238" spans="2:13" s="202" customFormat="1" x14ac:dyDescent="0.3">
      <c r="B238" s="213">
        <v>4</v>
      </c>
      <c r="C238" s="214" t="s">
        <v>43</v>
      </c>
      <c r="D238" s="215"/>
      <c r="E238" s="216"/>
      <c r="F238" s="217"/>
      <c r="G238" s="218"/>
      <c r="H238" s="219"/>
      <c r="I238" s="220"/>
      <c r="J238" s="221"/>
      <c r="K238" s="222"/>
      <c r="L238" s="223"/>
      <c r="M238" s="224"/>
    </row>
    <row r="239" spans="2:13" ht="31.2" x14ac:dyDescent="0.3">
      <c r="B239" s="225">
        <v>4.0999999999999996</v>
      </c>
      <c r="C239" s="227" t="s">
        <v>242</v>
      </c>
      <c r="D239" s="228" t="s">
        <v>19</v>
      </c>
      <c r="E239" s="206">
        <v>2</v>
      </c>
      <c r="F239" s="207">
        <v>134144</v>
      </c>
      <c r="G239" s="207">
        <f t="shared" si="40"/>
        <v>268288</v>
      </c>
      <c r="H239" s="208">
        <v>0.33</v>
      </c>
      <c r="I239" s="209">
        <f t="shared" si="41"/>
        <v>178411.52000000002</v>
      </c>
      <c r="J239" s="210">
        <f t="shared" si="42"/>
        <v>356823</v>
      </c>
      <c r="K239" s="121"/>
      <c r="L239" s="211"/>
      <c r="M239" s="212"/>
    </row>
    <row r="240" spans="2:13" ht="75" customHeight="1" x14ac:dyDescent="0.3">
      <c r="B240" s="225">
        <v>4.2</v>
      </c>
      <c r="C240" s="227" t="s">
        <v>243</v>
      </c>
      <c r="D240" s="228" t="s">
        <v>19</v>
      </c>
      <c r="E240" s="206">
        <v>8</v>
      </c>
      <c r="F240" s="207">
        <v>217940</v>
      </c>
      <c r="G240" s="207">
        <f t="shared" si="40"/>
        <v>1743520</v>
      </c>
      <c r="H240" s="208">
        <v>0.33</v>
      </c>
      <c r="I240" s="209">
        <f t="shared" si="41"/>
        <v>289860.2</v>
      </c>
      <c r="J240" s="210">
        <f t="shared" si="42"/>
        <v>2318882</v>
      </c>
      <c r="K240" s="121"/>
      <c r="L240" s="211"/>
      <c r="M240" s="212"/>
    </row>
    <row r="241" spans="2:16" ht="31.2" x14ac:dyDescent="0.3">
      <c r="B241" s="225">
        <v>4.3</v>
      </c>
      <c r="C241" s="227" t="s">
        <v>244</v>
      </c>
      <c r="D241" s="228" t="s">
        <v>39</v>
      </c>
      <c r="E241" s="206">
        <f>15.5*2</f>
        <v>31</v>
      </c>
      <c r="F241" s="207">
        <v>43198</v>
      </c>
      <c r="G241" s="207">
        <f t="shared" si="40"/>
        <v>1339138</v>
      </c>
      <c r="H241" s="208">
        <v>0.33</v>
      </c>
      <c r="I241" s="209">
        <f t="shared" si="41"/>
        <v>57453.340000000004</v>
      </c>
      <c r="J241" s="210">
        <f t="shared" si="42"/>
        <v>1781054</v>
      </c>
      <c r="K241" s="121"/>
      <c r="L241" s="211"/>
      <c r="M241" s="212"/>
    </row>
    <row r="242" spans="2:16" s="202" customFormat="1" x14ac:dyDescent="0.3">
      <c r="B242" s="213">
        <v>4</v>
      </c>
      <c r="C242" s="214" t="s">
        <v>17</v>
      </c>
      <c r="D242" s="215"/>
      <c r="E242" s="216"/>
      <c r="F242" s="217"/>
      <c r="G242" s="218"/>
      <c r="H242" s="219"/>
      <c r="I242" s="220"/>
      <c r="J242" s="221"/>
      <c r="K242" s="222"/>
      <c r="L242" s="223"/>
      <c r="M242" s="224"/>
    </row>
    <row r="243" spans="2:16" x14ac:dyDescent="0.3">
      <c r="B243" s="225">
        <v>4.0999999999999996</v>
      </c>
      <c r="C243" s="226" t="s">
        <v>18</v>
      </c>
      <c r="D243" s="228" t="s">
        <v>19</v>
      </c>
      <c r="E243" s="206">
        <v>1</v>
      </c>
      <c r="F243" s="207">
        <v>150000</v>
      </c>
      <c r="G243" s="207">
        <f t="shared" si="40"/>
        <v>150000</v>
      </c>
      <c r="H243" s="208">
        <v>0.33</v>
      </c>
      <c r="I243" s="209">
        <f t="shared" si="41"/>
        <v>199500</v>
      </c>
      <c r="J243" s="210">
        <f t="shared" si="42"/>
        <v>199500</v>
      </c>
      <c r="K243" s="121"/>
      <c r="L243" s="211"/>
      <c r="M243" s="212"/>
    </row>
    <row r="244" spans="2:16" x14ac:dyDescent="0.3">
      <c r="B244" s="225">
        <v>4.2</v>
      </c>
      <c r="C244" s="226" t="s">
        <v>20</v>
      </c>
      <c r="D244" s="228" t="s">
        <v>19</v>
      </c>
      <c r="E244" s="206">
        <v>1</v>
      </c>
      <c r="F244" s="207">
        <v>250000</v>
      </c>
      <c r="G244" s="207">
        <f t="shared" si="40"/>
        <v>250000</v>
      </c>
      <c r="H244" s="208">
        <v>0.33</v>
      </c>
      <c r="I244" s="209">
        <f t="shared" si="41"/>
        <v>332500</v>
      </c>
      <c r="J244" s="210">
        <f t="shared" si="42"/>
        <v>332500</v>
      </c>
      <c r="K244" s="121"/>
      <c r="L244" s="211"/>
      <c r="M244" s="212"/>
    </row>
    <row r="245" spans="2:16" ht="79.95" customHeight="1" thickBot="1" x14ac:dyDescent="0.35">
      <c r="B245" s="229">
        <v>4.3</v>
      </c>
      <c r="C245" s="251" t="s">
        <v>245</v>
      </c>
      <c r="D245" s="231" t="s">
        <v>65</v>
      </c>
      <c r="E245" s="232">
        <v>12</v>
      </c>
      <c r="F245" s="233">
        <v>49760</v>
      </c>
      <c r="G245" s="233">
        <f t="shared" si="40"/>
        <v>597120</v>
      </c>
      <c r="H245" s="234">
        <v>0.33</v>
      </c>
      <c r="I245" s="235">
        <f t="shared" si="41"/>
        <v>66180.800000000003</v>
      </c>
      <c r="J245" s="236">
        <f t="shared" si="42"/>
        <v>794170</v>
      </c>
      <c r="K245" s="121"/>
      <c r="L245" s="211"/>
      <c r="M245" s="212"/>
    </row>
    <row r="246" spans="2:16" x14ac:dyDescent="0.3">
      <c r="B246" s="121"/>
      <c r="C246" s="122"/>
      <c r="D246" s="123"/>
      <c r="E246" s="238"/>
      <c r="F246" s="239"/>
      <c r="G246" s="239"/>
      <c r="H246" s="252"/>
      <c r="I246" s="133"/>
      <c r="J246" s="133"/>
      <c r="K246" s="121"/>
      <c r="L246" s="211"/>
    </row>
    <row r="247" spans="2:16" s="119" customFormat="1" ht="18" customHeight="1" x14ac:dyDescent="0.3">
      <c r="B247" s="253"/>
      <c r="C247" s="118"/>
      <c r="D247" s="121"/>
      <c r="E247" s="124"/>
      <c r="F247" s="125"/>
      <c r="G247" s="125"/>
      <c r="H247" s="125"/>
      <c r="I247" s="125"/>
      <c r="J247" s="254"/>
      <c r="L247" s="211"/>
      <c r="M247" s="117"/>
      <c r="N247" s="126"/>
      <c r="O247" s="126"/>
      <c r="P247" s="126"/>
    </row>
    <row r="248" spans="2:16" x14ac:dyDescent="0.3">
      <c r="B248" s="242"/>
      <c r="C248" s="243"/>
      <c r="D248" s="483" t="s">
        <v>36</v>
      </c>
      <c r="E248" s="483"/>
      <c r="F248" s="483"/>
      <c r="G248" s="255">
        <f>SUM(G224:G246)</f>
        <v>53404555</v>
      </c>
      <c r="H248" s="245"/>
      <c r="I248" s="141"/>
      <c r="J248" s="256">
        <f>SUM(J225:J245)</f>
        <v>71028059</v>
      </c>
      <c r="L248" s="133"/>
      <c r="M248" s="133"/>
    </row>
    <row r="249" spans="2:16" x14ac:dyDescent="0.3">
      <c r="B249" s="139"/>
      <c r="C249" s="243"/>
      <c r="D249" s="135"/>
      <c r="E249" s="247"/>
      <c r="F249" s="135"/>
      <c r="G249" s="141"/>
      <c r="H249" s="245"/>
      <c r="I249" s="141"/>
      <c r="J249" s="141"/>
      <c r="L249" s="211"/>
    </row>
    <row r="250" spans="2:16" ht="16.2" thickBot="1" x14ac:dyDescent="0.35">
      <c r="B250" s="139"/>
      <c r="C250" s="243"/>
      <c r="D250" s="135"/>
      <c r="E250" s="247"/>
      <c r="F250" s="135"/>
      <c r="G250" s="141"/>
      <c r="H250" s="245"/>
      <c r="I250" s="141"/>
      <c r="J250" s="141"/>
      <c r="L250" s="211"/>
    </row>
    <row r="251" spans="2:16" ht="36" customHeight="1" thickBot="1" x14ac:dyDescent="0.35">
      <c r="B251" s="480" t="s">
        <v>55</v>
      </c>
      <c r="C251" s="481"/>
      <c r="D251" s="481"/>
      <c r="E251" s="481"/>
      <c r="F251" s="481"/>
      <c r="G251" s="481"/>
      <c r="H251" s="481"/>
      <c r="I251" s="481"/>
      <c r="J251" s="482"/>
      <c r="L251" s="211"/>
    </row>
    <row r="252" spans="2:16" s="119" customFormat="1" ht="46.95" customHeight="1" thickBot="1" x14ac:dyDescent="0.35">
      <c r="B252" s="187" t="s">
        <v>6</v>
      </c>
      <c r="C252" s="188" t="s">
        <v>7</v>
      </c>
      <c r="D252" s="189" t="s">
        <v>8</v>
      </c>
      <c r="E252" s="190" t="s">
        <v>9</v>
      </c>
      <c r="F252" s="191" t="s">
        <v>10</v>
      </c>
      <c r="G252" s="192" t="s">
        <v>11</v>
      </c>
      <c r="H252" s="192" t="s">
        <v>12</v>
      </c>
      <c r="I252" s="192" t="s">
        <v>13</v>
      </c>
      <c r="J252" s="193" t="s">
        <v>14</v>
      </c>
      <c r="L252" s="211"/>
      <c r="M252" s="117"/>
    </row>
    <row r="253" spans="2:16" s="202" customFormat="1" ht="14.25" customHeight="1" x14ac:dyDescent="0.3">
      <c r="B253" s="195">
        <v>1</v>
      </c>
      <c r="C253" s="248" t="s">
        <v>15</v>
      </c>
      <c r="D253" s="197"/>
      <c r="E253" s="198"/>
      <c r="F253" s="199"/>
      <c r="G253" s="199"/>
      <c r="H253" s="200"/>
      <c r="I253" s="196"/>
      <c r="J253" s="201"/>
      <c r="L253" s="223"/>
      <c r="M253" s="249"/>
    </row>
    <row r="254" spans="2:16" ht="31.2" x14ac:dyDescent="0.3">
      <c r="B254" s="203">
        <v>1.1000000000000001</v>
      </c>
      <c r="C254" s="226" t="s">
        <v>254</v>
      </c>
      <c r="D254" s="205" t="s">
        <v>40</v>
      </c>
      <c r="E254" s="206">
        <v>24</v>
      </c>
      <c r="F254" s="207">
        <v>7972</v>
      </c>
      <c r="G254" s="207">
        <f>+ROUND(E254*F254,0)</f>
        <v>191328</v>
      </c>
      <c r="H254" s="208">
        <v>0.33</v>
      </c>
      <c r="I254" s="209">
        <f>(F254*(1+H254))</f>
        <v>10602.76</v>
      </c>
      <c r="J254" s="210">
        <f t="shared" ref="J254:J265" si="43">ROUND(I254*E254,0)</f>
        <v>254466</v>
      </c>
      <c r="L254" s="211"/>
      <c r="M254" s="212"/>
    </row>
    <row r="255" spans="2:16" ht="31.2" x14ac:dyDescent="0.3">
      <c r="B255" s="203">
        <v>1.2</v>
      </c>
      <c r="C255" s="226" t="s">
        <v>255</v>
      </c>
      <c r="D255" s="205" t="s">
        <v>19</v>
      </c>
      <c r="E255" s="206">
        <v>1</v>
      </c>
      <c r="F255" s="207">
        <v>26568</v>
      </c>
      <c r="G255" s="207">
        <f t="shared" ref="G255:G265" si="44">+ROUND(E255*F255,0)</f>
        <v>26568</v>
      </c>
      <c r="H255" s="208">
        <v>0.33</v>
      </c>
      <c r="I255" s="209">
        <f t="shared" ref="I255:I265" si="45">(F255*(1+H255))</f>
        <v>35335.440000000002</v>
      </c>
      <c r="J255" s="210">
        <f t="shared" si="43"/>
        <v>35335</v>
      </c>
      <c r="L255" s="211"/>
      <c r="M255" s="212"/>
    </row>
    <row r="256" spans="2:16" s="249" customFormat="1" x14ac:dyDescent="0.3">
      <c r="B256" s="213">
        <v>2</v>
      </c>
      <c r="C256" s="214" t="s">
        <v>56</v>
      </c>
      <c r="D256" s="215"/>
      <c r="E256" s="216"/>
      <c r="F256" s="217"/>
      <c r="G256" s="218"/>
      <c r="H256" s="219"/>
      <c r="I256" s="220"/>
      <c r="J256" s="221"/>
      <c r="K256" s="250"/>
      <c r="L256" s="223"/>
      <c r="M256" s="224"/>
    </row>
    <row r="257" spans="2:16" ht="31.2" x14ac:dyDescent="0.3">
      <c r="B257" s="225">
        <v>2.1</v>
      </c>
      <c r="C257" s="226" t="s">
        <v>275</v>
      </c>
      <c r="D257" s="205" t="s">
        <v>40</v>
      </c>
      <c r="E257" s="206">
        <v>24</v>
      </c>
      <c r="F257" s="207">
        <v>75176</v>
      </c>
      <c r="G257" s="207">
        <f t="shared" si="44"/>
        <v>1804224</v>
      </c>
      <c r="H257" s="208">
        <v>0.33</v>
      </c>
      <c r="I257" s="209">
        <f t="shared" si="45"/>
        <v>99984.08</v>
      </c>
      <c r="J257" s="210">
        <f t="shared" si="43"/>
        <v>2399618</v>
      </c>
      <c r="K257" s="121"/>
      <c r="L257" s="211"/>
      <c r="M257" s="212"/>
    </row>
    <row r="258" spans="2:16" x14ac:dyDescent="0.3">
      <c r="B258" s="225">
        <v>2.2000000000000002</v>
      </c>
      <c r="C258" s="226" t="s">
        <v>276</v>
      </c>
      <c r="D258" s="205" t="s">
        <v>40</v>
      </c>
      <c r="E258" s="206">
        <v>24</v>
      </c>
      <c r="F258" s="207">
        <v>24111</v>
      </c>
      <c r="G258" s="207">
        <f t="shared" si="44"/>
        <v>578664</v>
      </c>
      <c r="H258" s="208">
        <v>0.33</v>
      </c>
      <c r="I258" s="209">
        <f t="shared" si="45"/>
        <v>32067.63</v>
      </c>
      <c r="J258" s="210">
        <f t="shared" si="43"/>
        <v>769623</v>
      </c>
      <c r="K258" s="121"/>
      <c r="L258" s="211"/>
      <c r="M258" s="212"/>
    </row>
    <row r="259" spans="2:16" x14ac:dyDescent="0.3">
      <c r="B259" s="225">
        <v>2.2999999999999998</v>
      </c>
      <c r="C259" s="226" t="s">
        <v>277</v>
      </c>
      <c r="D259" s="205" t="s">
        <v>40</v>
      </c>
      <c r="E259" s="206">
        <v>25</v>
      </c>
      <c r="F259" s="207">
        <v>16277</v>
      </c>
      <c r="G259" s="207">
        <f t="shared" si="44"/>
        <v>406925</v>
      </c>
      <c r="H259" s="208">
        <v>0.33</v>
      </c>
      <c r="I259" s="209">
        <f t="shared" si="45"/>
        <v>21648.41</v>
      </c>
      <c r="J259" s="210">
        <f t="shared" si="43"/>
        <v>541210</v>
      </c>
      <c r="K259" s="121"/>
      <c r="L259" s="211"/>
      <c r="M259" s="212"/>
    </row>
    <row r="260" spans="2:16" s="249" customFormat="1" x14ac:dyDescent="0.3">
      <c r="B260" s="213">
        <v>3</v>
      </c>
      <c r="C260" s="214" t="s">
        <v>27</v>
      </c>
      <c r="D260" s="215"/>
      <c r="E260" s="216"/>
      <c r="F260" s="217"/>
      <c r="G260" s="218"/>
      <c r="H260" s="219"/>
      <c r="I260" s="220"/>
      <c r="J260" s="221"/>
      <c r="K260" s="250"/>
      <c r="L260" s="223"/>
      <c r="M260" s="224"/>
    </row>
    <row r="261" spans="2:16" ht="49.95" customHeight="1" x14ac:dyDescent="0.3">
      <c r="B261" s="225">
        <v>3.1</v>
      </c>
      <c r="C261" s="226" t="s">
        <v>278</v>
      </c>
      <c r="D261" s="205" t="s">
        <v>40</v>
      </c>
      <c r="E261" s="206">
        <v>7</v>
      </c>
      <c r="F261" s="207">
        <v>96223</v>
      </c>
      <c r="G261" s="207">
        <f t="shared" si="44"/>
        <v>673561</v>
      </c>
      <c r="H261" s="208">
        <v>0.33</v>
      </c>
      <c r="I261" s="209">
        <f t="shared" si="45"/>
        <v>127976.59000000001</v>
      </c>
      <c r="J261" s="210">
        <f t="shared" si="43"/>
        <v>895836</v>
      </c>
      <c r="K261" s="121"/>
      <c r="L261" s="211"/>
      <c r="M261" s="212"/>
    </row>
    <row r="262" spans="2:16" s="202" customFormat="1" x14ac:dyDescent="0.3">
      <c r="B262" s="213">
        <v>4</v>
      </c>
      <c r="C262" s="214" t="s">
        <v>17</v>
      </c>
      <c r="D262" s="215"/>
      <c r="E262" s="216"/>
      <c r="F262" s="217"/>
      <c r="G262" s="218"/>
      <c r="H262" s="219"/>
      <c r="I262" s="220"/>
      <c r="J262" s="221"/>
      <c r="K262" s="222"/>
      <c r="L262" s="223"/>
      <c r="M262" s="224"/>
    </row>
    <row r="263" spans="2:16" x14ac:dyDescent="0.3">
      <c r="B263" s="225">
        <v>4.0999999999999996</v>
      </c>
      <c r="C263" s="226" t="s">
        <v>18</v>
      </c>
      <c r="D263" s="228" t="s">
        <v>19</v>
      </c>
      <c r="E263" s="206">
        <v>1</v>
      </c>
      <c r="F263" s="207">
        <v>150000</v>
      </c>
      <c r="G263" s="207">
        <f t="shared" si="44"/>
        <v>150000</v>
      </c>
      <c r="H263" s="208">
        <v>0.33</v>
      </c>
      <c r="I263" s="209">
        <f t="shared" si="45"/>
        <v>199500</v>
      </c>
      <c r="J263" s="210">
        <f t="shared" si="43"/>
        <v>199500</v>
      </c>
      <c r="K263" s="121"/>
      <c r="L263" s="211"/>
      <c r="M263" s="212"/>
    </row>
    <row r="264" spans="2:16" x14ac:dyDescent="0.3">
      <c r="B264" s="225">
        <v>4.2</v>
      </c>
      <c r="C264" s="226" t="s">
        <v>20</v>
      </c>
      <c r="D264" s="228" t="s">
        <v>19</v>
      </c>
      <c r="E264" s="206">
        <v>1</v>
      </c>
      <c r="F264" s="207">
        <v>250000</v>
      </c>
      <c r="G264" s="207">
        <f t="shared" si="44"/>
        <v>250000</v>
      </c>
      <c r="H264" s="208">
        <v>0.33</v>
      </c>
      <c r="I264" s="209">
        <f t="shared" si="45"/>
        <v>332500</v>
      </c>
      <c r="J264" s="210">
        <f t="shared" si="43"/>
        <v>332500</v>
      </c>
      <c r="K264" s="121"/>
      <c r="L264" s="211"/>
      <c r="M264" s="212"/>
    </row>
    <row r="265" spans="2:16" ht="77.400000000000006" customHeight="1" thickBot="1" x14ac:dyDescent="0.35">
      <c r="B265" s="229">
        <v>4.3</v>
      </c>
      <c r="C265" s="251" t="s">
        <v>245</v>
      </c>
      <c r="D265" s="231" t="s">
        <v>65</v>
      </c>
      <c r="E265" s="232">
        <v>6</v>
      </c>
      <c r="F265" s="233">
        <v>49760</v>
      </c>
      <c r="G265" s="233">
        <f t="shared" si="44"/>
        <v>298560</v>
      </c>
      <c r="H265" s="234">
        <v>0.33</v>
      </c>
      <c r="I265" s="235">
        <f t="shared" si="45"/>
        <v>66180.800000000003</v>
      </c>
      <c r="J265" s="236">
        <f t="shared" si="43"/>
        <v>397085</v>
      </c>
      <c r="K265" s="121"/>
      <c r="L265" s="211"/>
      <c r="M265" s="212"/>
    </row>
    <row r="266" spans="2:16" x14ac:dyDescent="0.3">
      <c r="B266" s="121"/>
      <c r="C266" s="122"/>
      <c r="D266" s="123"/>
      <c r="E266" s="238"/>
      <c r="F266" s="239"/>
      <c r="G266" s="239"/>
      <c r="H266" s="252"/>
      <c r="I266" s="133"/>
      <c r="J266" s="133"/>
      <c r="K266" s="121"/>
      <c r="L266" s="211"/>
    </row>
    <row r="267" spans="2:16" s="119" customFormat="1" ht="18" customHeight="1" x14ac:dyDescent="0.3">
      <c r="B267" s="253"/>
      <c r="C267" s="118"/>
      <c r="D267" s="121"/>
      <c r="E267" s="124"/>
      <c r="F267" s="125"/>
      <c r="G267" s="125"/>
      <c r="H267" s="125"/>
      <c r="I267" s="125"/>
      <c r="J267" s="254"/>
      <c r="L267" s="211"/>
      <c r="M267" s="117"/>
      <c r="N267" s="126"/>
      <c r="O267" s="126"/>
      <c r="P267" s="126"/>
    </row>
    <row r="268" spans="2:16" x14ac:dyDescent="0.3">
      <c r="B268" s="242"/>
      <c r="C268" s="243"/>
      <c r="D268" s="483" t="s">
        <v>54</v>
      </c>
      <c r="E268" s="483"/>
      <c r="F268" s="483"/>
      <c r="G268" s="255">
        <f>SUM(G252:G266)</f>
        <v>4379830</v>
      </c>
      <c r="H268" s="245"/>
      <c r="I268" s="141"/>
      <c r="J268" s="256">
        <f>SUM(J253:J265)</f>
        <v>5825173</v>
      </c>
      <c r="L268" s="133"/>
      <c r="M268" s="133"/>
    </row>
    <row r="269" spans="2:16" x14ac:dyDescent="0.3">
      <c r="B269" s="139"/>
      <c r="C269" s="243"/>
      <c r="D269" s="135"/>
      <c r="E269" s="247"/>
      <c r="F269" s="135"/>
      <c r="G269" s="141"/>
      <c r="H269" s="245"/>
      <c r="I269" s="141"/>
      <c r="J269" s="141"/>
      <c r="L269" s="211"/>
    </row>
    <row r="270" spans="2:16" ht="16.2" thickBot="1" x14ac:dyDescent="0.35">
      <c r="B270" s="139"/>
      <c r="C270" s="243"/>
      <c r="D270" s="135"/>
      <c r="E270" s="247"/>
      <c r="F270" s="135"/>
      <c r="G270" s="141"/>
      <c r="H270" s="245"/>
      <c r="I270" s="141"/>
      <c r="J270" s="141"/>
      <c r="L270" s="211"/>
    </row>
    <row r="271" spans="2:16" ht="36" customHeight="1" thickBot="1" x14ac:dyDescent="0.35">
      <c r="B271" s="480" t="s">
        <v>58</v>
      </c>
      <c r="C271" s="481"/>
      <c r="D271" s="481"/>
      <c r="E271" s="481"/>
      <c r="F271" s="481"/>
      <c r="G271" s="481"/>
      <c r="H271" s="481"/>
      <c r="I271" s="481"/>
      <c r="J271" s="482"/>
      <c r="L271" s="211"/>
    </row>
    <row r="272" spans="2:16" s="119" customFormat="1" ht="42" customHeight="1" thickBot="1" x14ac:dyDescent="0.35">
      <c r="B272" s="187" t="s">
        <v>6</v>
      </c>
      <c r="C272" s="188" t="s">
        <v>7</v>
      </c>
      <c r="D272" s="189" t="s">
        <v>8</v>
      </c>
      <c r="E272" s="190" t="s">
        <v>9</v>
      </c>
      <c r="F272" s="191" t="s">
        <v>10</v>
      </c>
      <c r="G272" s="192" t="s">
        <v>11</v>
      </c>
      <c r="H272" s="192" t="s">
        <v>12</v>
      </c>
      <c r="I272" s="192" t="s">
        <v>13</v>
      </c>
      <c r="J272" s="193" t="s">
        <v>14</v>
      </c>
      <c r="L272" s="211"/>
      <c r="M272" s="117"/>
    </row>
    <row r="273" spans="2:13" s="202" customFormat="1" ht="14.25" customHeight="1" x14ac:dyDescent="0.3">
      <c r="B273" s="195">
        <v>1</v>
      </c>
      <c r="C273" s="248" t="s">
        <v>15</v>
      </c>
      <c r="D273" s="197"/>
      <c r="E273" s="198"/>
      <c r="F273" s="199"/>
      <c r="G273" s="199"/>
      <c r="H273" s="200"/>
      <c r="I273" s="196"/>
      <c r="J273" s="201"/>
      <c r="L273" s="223"/>
      <c r="M273" s="249"/>
    </row>
    <row r="274" spans="2:13" ht="34.200000000000003" customHeight="1" x14ac:dyDescent="0.3">
      <c r="B274" s="203">
        <v>1.1000000000000001</v>
      </c>
      <c r="C274" s="226" t="s">
        <v>231</v>
      </c>
      <c r="D274" s="205" t="s">
        <v>40</v>
      </c>
      <c r="E274" s="1">
        <v>190</v>
      </c>
      <c r="F274" s="207">
        <v>10813</v>
      </c>
      <c r="G274" s="207">
        <f>+ROUND(E274*F274,0)</f>
        <v>2054470</v>
      </c>
      <c r="H274" s="208">
        <v>0.33</v>
      </c>
      <c r="I274" s="209">
        <f>(F274*(1+H274))</f>
        <v>14381.29</v>
      </c>
      <c r="J274" s="210">
        <f t="shared" ref="J274:J299" si="46">ROUND(I274*E274,0)</f>
        <v>2732445</v>
      </c>
      <c r="L274" s="211"/>
      <c r="M274" s="212"/>
    </row>
    <row r="275" spans="2:13" ht="31.2" x14ac:dyDescent="0.3">
      <c r="B275" s="203">
        <v>1.2</v>
      </c>
      <c r="C275" s="226" t="s">
        <v>279</v>
      </c>
      <c r="D275" s="205" t="s">
        <v>40</v>
      </c>
      <c r="E275" s="1">
        <v>13.52</v>
      </c>
      <c r="F275" s="207">
        <v>6523</v>
      </c>
      <c r="G275" s="207">
        <f t="shared" ref="G275:G299" si="47">+ROUND(E275*F275,0)</f>
        <v>88191</v>
      </c>
      <c r="H275" s="208">
        <v>0.33</v>
      </c>
      <c r="I275" s="209">
        <f t="shared" ref="I275:I299" si="48">(F275*(1+H275))</f>
        <v>8675.59</v>
      </c>
      <c r="J275" s="210">
        <f t="shared" si="46"/>
        <v>117294</v>
      </c>
      <c r="L275" s="211"/>
      <c r="M275" s="212"/>
    </row>
    <row r="276" spans="2:13" ht="31.95" customHeight="1" x14ac:dyDescent="0.3">
      <c r="B276" s="203">
        <v>1.3</v>
      </c>
      <c r="C276" s="204" t="s">
        <v>232</v>
      </c>
      <c r="D276" s="205" t="s">
        <v>40</v>
      </c>
      <c r="E276" s="206">
        <f>+E275</f>
        <v>13.52</v>
      </c>
      <c r="F276" s="207">
        <v>9810</v>
      </c>
      <c r="G276" s="207">
        <f t="shared" si="47"/>
        <v>132631</v>
      </c>
      <c r="H276" s="208">
        <v>0.33</v>
      </c>
      <c r="I276" s="209">
        <f t="shared" si="48"/>
        <v>13047.300000000001</v>
      </c>
      <c r="J276" s="210">
        <f t="shared" si="46"/>
        <v>176399</v>
      </c>
      <c r="L276" s="211"/>
      <c r="M276" s="212"/>
    </row>
    <row r="277" spans="2:13" ht="31.95" customHeight="1" x14ac:dyDescent="0.3">
      <c r="B277" s="203">
        <v>1.4</v>
      </c>
      <c r="C277" s="204" t="s">
        <v>233</v>
      </c>
      <c r="D277" s="205" t="s">
        <v>370</v>
      </c>
      <c r="E277" s="206">
        <f>(9+8+8+10)*2</f>
        <v>70</v>
      </c>
      <c r="F277" s="207">
        <v>9610</v>
      </c>
      <c r="G277" s="207">
        <f t="shared" si="47"/>
        <v>672700</v>
      </c>
      <c r="H277" s="208">
        <v>0.33</v>
      </c>
      <c r="I277" s="209">
        <f t="shared" si="48"/>
        <v>12781.300000000001</v>
      </c>
      <c r="J277" s="210">
        <f t="shared" si="46"/>
        <v>894691</v>
      </c>
      <c r="L277" s="211"/>
      <c r="M277" s="212"/>
    </row>
    <row r="278" spans="2:13" ht="31.95" customHeight="1" x14ac:dyDescent="0.3">
      <c r="B278" s="203">
        <v>1.5</v>
      </c>
      <c r="C278" s="204" t="s">
        <v>234</v>
      </c>
      <c r="D278" s="205" t="s">
        <v>39</v>
      </c>
      <c r="E278" s="206">
        <f>9+9+9+9+8+8</f>
        <v>52</v>
      </c>
      <c r="F278" s="207">
        <v>20883</v>
      </c>
      <c r="G278" s="207">
        <f t="shared" si="47"/>
        <v>1085916</v>
      </c>
      <c r="H278" s="208">
        <v>0.33</v>
      </c>
      <c r="I278" s="209">
        <f t="shared" si="48"/>
        <v>27774.390000000003</v>
      </c>
      <c r="J278" s="210">
        <f t="shared" si="46"/>
        <v>1444268</v>
      </c>
      <c r="L278" s="211"/>
      <c r="M278" s="212"/>
    </row>
    <row r="279" spans="2:13" s="202" customFormat="1" x14ac:dyDescent="0.3">
      <c r="B279" s="213">
        <v>2</v>
      </c>
      <c r="C279" s="214" t="s">
        <v>16</v>
      </c>
      <c r="D279" s="215"/>
      <c r="E279" s="285" t="s">
        <v>59</v>
      </c>
      <c r="F279" s="217"/>
      <c r="G279" s="218"/>
      <c r="H279" s="219"/>
      <c r="I279" s="220"/>
      <c r="J279" s="221"/>
      <c r="K279" s="222"/>
      <c r="L279" s="223"/>
      <c r="M279" s="224"/>
    </row>
    <row r="280" spans="2:13" ht="62.4" x14ac:dyDescent="0.3">
      <c r="B280" s="225">
        <v>2.1</v>
      </c>
      <c r="C280" s="226" t="s">
        <v>235</v>
      </c>
      <c r="D280" s="205" t="s">
        <v>40</v>
      </c>
      <c r="E280" s="1">
        <v>190</v>
      </c>
      <c r="F280" s="207">
        <v>76329</v>
      </c>
      <c r="G280" s="207">
        <f t="shared" si="47"/>
        <v>14502510</v>
      </c>
      <c r="H280" s="208">
        <v>0.33</v>
      </c>
      <c r="I280" s="209">
        <f t="shared" si="48"/>
        <v>101517.57</v>
      </c>
      <c r="J280" s="210">
        <f t="shared" si="46"/>
        <v>19288338</v>
      </c>
      <c r="K280" s="121"/>
      <c r="L280" s="211"/>
      <c r="M280" s="212"/>
    </row>
    <row r="281" spans="2:13" ht="63" customHeight="1" x14ac:dyDescent="0.3">
      <c r="B281" s="225">
        <v>2.2000000000000002</v>
      </c>
      <c r="C281" s="226" t="s">
        <v>246</v>
      </c>
      <c r="D281" s="228" t="s">
        <v>39</v>
      </c>
      <c r="E281" s="1">
        <v>130</v>
      </c>
      <c r="F281" s="207">
        <v>66157</v>
      </c>
      <c r="G281" s="207">
        <f t="shared" si="47"/>
        <v>8600410</v>
      </c>
      <c r="H281" s="208">
        <v>0.33</v>
      </c>
      <c r="I281" s="209">
        <f t="shared" si="48"/>
        <v>87988.81</v>
      </c>
      <c r="J281" s="210">
        <f t="shared" si="46"/>
        <v>11438545</v>
      </c>
      <c r="K281" s="121"/>
      <c r="L281" s="211"/>
      <c r="M281" s="212"/>
    </row>
    <row r="282" spans="2:13" ht="46.8" x14ac:dyDescent="0.3">
      <c r="B282" s="225">
        <v>2.2999999999999998</v>
      </c>
      <c r="C282" s="226" t="s">
        <v>236</v>
      </c>
      <c r="D282" s="205" t="s">
        <v>371</v>
      </c>
      <c r="E282" s="1">
        <v>24</v>
      </c>
      <c r="F282" s="207">
        <v>39523</v>
      </c>
      <c r="G282" s="207">
        <f t="shared" si="47"/>
        <v>948552</v>
      </c>
      <c r="H282" s="208">
        <v>0.33</v>
      </c>
      <c r="I282" s="209">
        <f t="shared" si="48"/>
        <v>52565.590000000004</v>
      </c>
      <c r="J282" s="210">
        <f t="shared" si="46"/>
        <v>1261574</v>
      </c>
      <c r="K282" s="121"/>
      <c r="L282" s="211"/>
      <c r="M282" s="212"/>
    </row>
    <row r="283" spans="2:13" ht="46.8" x14ac:dyDescent="0.3">
      <c r="B283" s="225">
        <v>2.5</v>
      </c>
      <c r="C283" s="226" t="s">
        <v>247</v>
      </c>
      <c r="D283" s="205" t="s">
        <v>39</v>
      </c>
      <c r="E283" s="1">
        <f>2*14</f>
        <v>28</v>
      </c>
      <c r="F283" s="207">
        <v>270384</v>
      </c>
      <c r="G283" s="207">
        <f t="shared" si="47"/>
        <v>7570752</v>
      </c>
      <c r="H283" s="208">
        <v>0.33</v>
      </c>
      <c r="I283" s="209">
        <f t="shared" si="48"/>
        <v>359610.72000000003</v>
      </c>
      <c r="J283" s="210">
        <f t="shared" si="46"/>
        <v>10069100</v>
      </c>
      <c r="K283" s="121"/>
      <c r="L283" s="211"/>
      <c r="M283" s="212"/>
    </row>
    <row r="284" spans="2:13" s="249" customFormat="1" x14ac:dyDescent="0.3">
      <c r="B284" s="213">
        <v>3</v>
      </c>
      <c r="C284" s="214" t="s">
        <v>60</v>
      </c>
      <c r="D284" s="215"/>
      <c r="E284" s="285" t="s">
        <v>59</v>
      </c>
      <c r="F284" s="217"/>
      <c r="G284" s="218"/>
      <c r="H284" s="219"/>
      <c r="I284" s="220"/>
      <c r="J284" s="221"/>
      <c r="K284" s="250"/>
      <c r="L284" s="223"/>
      <c r="M284" s="224"/>
    </row>
    <row r="285" spans="2:13" ht="46.8" x14ac:dyDescent="0.3">
      <c r="B285" s="225">
        <v>3.1</v>
      </c>
      <c r="C285" s="226" t="s">
        <v>280</v>
      </c>
      <c r="D285" s="205" t="s">
        <v>40</v>
      </c>
      <c r="E285" s="1">
        <v>8</v>
      </c>
      <c r="F285" s="207">
        <v>460111</v>
      </c>
      <c r="G285" s="207">
        <f t="shared" si="47"/>
        <v>3680888</v>
      </c>
      <c r="H285" s="208">
        <v>0.33</v>
      </c>
      <c r="I285" s="209">
        <f t="shared" si="48"/>
        <v>611947.63</v>
      </c>
      <c r="J285" s="210">
        <f t="shared" si="46"/>
        <v>4895581</v>
      </c>
      <c r="K285" s="121"/>
      <c r="L285" s="211"/>
      <c r="M285" s="212"/>
    </row>
    <row r="286" spans="2:13" x14ac:dyDescent="0.3">
      <c r="B286" s="225">
        <v>3.2</v>
      </c>
      <c r="C286" s="226" t="s">
        <v>274</v>
      </c>
      <c r="D286" s="205" t="s">
        <v>40</v>
      </c>
      <c r="E286" s="1">
        <v>25.5</v>
      </c>
      <c r="F286" s="207">
        <v>19735</v>
      </c>
      <c r="G286" s="207">
        <f t="shared" si="47"/>
        <v>503243</v>
      </c>
      <c r="H286" s="208">
        <v>0.33</v>
      </c>
      <c r="I286" s="209">
        <f t="shared" si="48"/>
        <v>26247.550000000003</v>
      </c>
      <c r="J286" s="210">
        <f t="shared" si="46"/>
        <v>669313</v>
      </c>
      <c r="K286" s="121"/>
      <c r="L286" s="211"/>
      <c r="M286" s="212"/>
    </row>
    <row r="287" spans="2:13" s="249" customFormat="1" x14ac:dyDescent="0.3">
      <c r="B287" s="213">
        <v>4</v>
      </c>
      <c r="C287" s="214" t="s">
        <v>61</v>
      </c>
      <c r="D287" s="215"/>
      <c r="E287" s="285" t="s">
        <v>59</v>
      </c>
      <c r="F287" s="217"/>
      <c r="G287" s="218"/>
      <c r="H287" s="219"/>
      <c r="I287" s="220"/>
      <c r="J287" s="221"/>
      <c r="K287" s="250"/>
      <c r="L287" s="223"/>
      <c r="M287" s="224"/>
    </row>
    <row r="288" spans="2:13" ht="62.4" x14ac:dyDescent="0.3">
      <c r="B288" s="225">
        <v>4.0999999999999996</v>
      </c>
      <c r="C288" s="226" t="s">
        <v>281</v>
      </c>
      <c r="D288" s="205" t="s">
        <v>370</v>
      </c>
      <c r="E288" s="1">
        <v>10.029999999999999</v>
      </c>
      <c r="F288" s="207">
        <v>83534</v>
      </c>
      <c r="G288" s="207">
        <f t="shared" si="47"/>
        <v>837846</v>
      </c>
      <c r="H288" s="208">
        <v>0.33</v>
      </c>
      <c r="I288" s="209">
        <f t="shared" si="48"/>
        <v>111100.22</v>
      </c>
      <c r="J288" s="210">
        <f t="shared" si="46"/>
        <v>1114335</v>
      </c>
      <c r="K288" s="121"/>
      <c r="L288" s="211"/>
      <c r="M288" s="212"/>
    </row>
    <row r="289" spans="2:16" s="249" customFormat="1" x14ac:dyDescent="0.3">
      <c r="B289" s="213">
        <v>5</v>
      </c>
      <c r="C289" s="214" t="s">
        <v>23</v>
      </c>
      <c r="D289" s="215"/>
      <c r="E289" s="216"/>
      <c r="F289" s="217"/>
      <c r="G289" s="218"/>
      <c r="H289" s="219"/>
      <c r="I289" s="220"/>
      <c r="J289" s="221"/>
      <c r="K289" s="250"/>
      <c r="L289" s="223"/>
      <c r="M289" s="224"/>
    </row>
    <row r="290" spans="2:16" x14ac:dyDescent="0.3">
      <c r="B290" s="225">
        <v>5.0999999999999996</v>
      </c>
      <c r="C290" s="226" t="s">
        <v>240</v>
      </c>
      <c r="D290" s="205" t="s">
        <v>40</v>
      </c>
      <c r="E290" s="206">
        <v>10.64</v>
      </c>
      <c r="F290" s="207">
        <v>58969</v>
      </c>
      <c r="G290" s="207">
        <f t="shared" si="47"/>
        <v>627430</v>
      </c>
      <c r="H290" s="208">
        <v>0.33</v>
      </c>
      <c r="I290" s="209">
        <f t="shared" si="48"/>
        <v>78428.77</v>
      </c>
      <c r="J290" s="210">
        <f t="shared" si="46"/>
        <v>834482</v>
      </c>
      <c r="K290" s="121"/>
      <c r="L290" s="211"/>
      <c r="M290" s="212"/>
    </row>
    <row r="291" spans="2:16" ht="31.2" x14ac:dyDescent="0.3">
      <c r="B291" s="225">
        <v>5.2</v>
      </c>
      <c r="C291" s="226" t="s">
        <v>239</v>
      </c>
      <c r="D291" s="205" t="s">
        <v>40</v>
      </c>
      <c r="E291" s="206">
        <f>+E290*2</f>
        <v>21.28</v>
      </c>
      <c r="F291" s="207">
        <v>75728</v>
      </c>
      <c r="G291" s="207">
        <f t="shared" si="47"/>
        <v>1611492</v>
      </c>
      <c r="H291" s="208">
        <v>0.33</v>
      </c>
      <c r="I291" s="209">
        <f t="shared" si="48"/>
        <v>100718.24</v>
      </c>
      <c r="J291" s="210">
        <f t="shared" si="46"/>
        <v>2143284</v>
      </c>
      <c r="K291" s="121"/>
      <c r="L291" s="211"/>
      <c r="M291" s="212"/>
    </row>
    <row r="292" spans="2:16" s="202" customFormat="1" x14ac:dyDescent="0.3">
      <c r="B292" s="213">
        <v>6</v>
      </c>
      <c r="C292" s="214" t="s">
        <v>43</v>
      </c>
      <c r="D292" s="215"/>
      <c r="E292" s="216"/>
      <c r="F292" s="217"/>
      <c r="G292" s="218"/>
      <c r="H292" s="219"/>
      <c r="I292" s="220"/>
      <c r="J292" s="221"/>
      <c r="K292" s="222"/>
      <c r="L292" s="223"/>
      <c r="M292" s="224"/>
    </row>
    <row r="293" spans="2:16" ht="31.2" x14ac:dyDescent="0.3">
      <c r="B293" s="225">
        <v>6.1</v>
      </c>
      <c r="C293" s="227" t="s">
        <v>242</v>
      </c>
      <c r="D293" s="228" t="s">
        <v>19</v>
      </c>
      <c r="E293" s="206">
        <v>2</v>
      </c>
      <c r="F293" s="207">
        <v>134144</v>
      </c>
      <c r="G293" s="207">
        <f t="shared" si="47"/>
        <v>268288</v>
      </c>
      <c r="H293" s="208">
        <v>0.33</v>
      </c>
      <c r="I293" s="209">
        <f t="shared" si="48"/>
        <v>178411.52000000002</v>
      </c>
      <c r="J293" s="210">
        <f t="shared" si="46"/>
        <v>356823</v>
      </c>
      <c r="K293" s="121"/>
      <c r="L293" s="211"/>
      <c r="M293" s="212"/>
    </row>
    <row r="294" spans="2:16" ht="75" customHeight="1" x14ac:dyDescent="0.3">
      <c r="B294" s="225">
        <v>6.2</v>
      </c>
      <c r="C294" s="227" t="s">
        <v>243</v>
      </c>
      <c r="D294" s="228" t="s">
        <v>19</v>
      </c>
      <c r="E294" s="206">
        <v>8</v>
      </c>
      <c r="F294" s="207">
        <v>217940</v>
      </c>
      <c r="G294" s="207">
        <f t="shared" si="47"/>
        <v>1743520</v>
      </c>
      <c r="H294" s="208">
        <v>0.33</v>
      </c>
      <c r="I294" s="209">
        <f t="shared" si="48"/>
        <v>289860.2</v>
      </c>
      <c r="J294" s="210">
        <f t="shared" si="46"/>
        <v>2318882</v>
      </c>
      <c r="K294" s="121"/>
      <c r="L294" s="211"/>
      <c r="M294" s="212"/>
    </row>
    <row r="295" spans="2:16" ht="31.2" x14ac:dyDescent="0.3">
      <c r="B295" s="225">
        <v>6.3</v>
      </c>
      <c r="C295" s="227" t="s">
        <v>244</v>
      </c>
      <c r="D295" s="228" t="s">
        <v>39</v>
      </c>
      <c r="E295" s="206">
        <f>15.5*2</f>
        <v>31</v>
      </c>
      <c r="F295" s="207">
        <v>43198</v>
      </c>
      <c r="G295" s="207">
        <f t="shared" si="47"/>
        <v>1339138</v>
      </c>
      <c r="H295" s="208">
        <v>0.33</v>
      </c>
      <c r="I295" s="209">
        <f t="shared" si="48"/>
        <v>57453.340000000004</v>
      </c>
      <c r="J295" s="210">
        <f t="shared" si="46"/>
        <v>1781054</v>
      </c>
      <c r="K295" s="121"/>
      <c r="L295" s="211"/>
      <c r="M295" s="212"/>
    </row>
    <row r="296" spans="2:16" s="202" customFormat="1" x14ac:dyDescent="0.3">
      <c r="B296" s="213">
        <v>7</v>
      </c>
      <c r="C296" s="214" t="s">
        <v>17</v>
      </c>
      <c r="D296" s="215"/>
      <c r="E296" s="216"/>
      <c r="F296" s="217"/>
      <c r="G296" s="218"/>
      <c r="H296" s="219"/>
      <c r="I296" s="220"/>
      <c r="J296" s="221"/>
      <c r="K296" s="222"/>
      <c r="L296" s="223"/>
      <c r="M296" s="224"/>
    </row>
    <row r="297" spans="2:16" x14ac:dyDescent="0.3">
      <c r="B297" s="225">
        <v>7.1</v>
      </c>
      <c r="C297" s="226" t="s">
        <v>18</v>
      </c>
      <c r="D297" s="228" t="s">
        <v>19</v>
      </c>
      <c r="E297" s="206">
        <v>1</v>
      </c>
      <c r="F297" s="207">
        <v>150000</v>
      </c>
      <c r="G297" s="207">
        <f t="shared" si="47"/>
        <v>150000</v>
      </c>
      <c r="H297" s="208">
        <v>0.33</v>
      </c>
      <c r="I297" s="209">
        <f t="shared" si="48"/>
        <v>199500</v>
      </c>
      <c r="J297" s="210">
        <f t="shared" si="46"/>
        <v>199500</v>
      </c>
      <c r="K297" s="121"/>
      <c r="L297" s="211"/>
      <c r="M297" s="212"/>
    </row>
    <row r="298" spans="2:16" x14ac:dyDescent="0.3">
      <c r="B298" s="225">
        <v>7.2</v>
      </c>
      <c r="C298" s="226" t="s">
        <v>20</v>
      </c>
      <c r="D298" s="228" t="s">
        <v>19</v>
      </c>
      <c r="E298" s="206">
        <v>1</v>
      </c>
      <c r="F298" s="207">
        <v>250000</v>
      </c>
      <c r="G298" s="207">
        <f t="shared" si="47"/>
        <v>250000</v>
      </c>
      <c r="H298" s="208">
        <v>0.33</v>
      </c>
      <c r="I298" s="209">
        <f t="shared" si="48"/>
        <v>332500</v>
      </c>
      <c r="J298" s="210">
        <f t="shared" si="46"/>
        <v>332500</v>
      </c>
      <c r="K298" s="121"/>
      <c r="L298" s="211"/>
      <c r="M298" s="212"/>
    </row>
    <row r="299" spans="2:16" ht="79.95" customHeight="1" thickBot="1" x14ac:dyDescent="0.35">
      <c r="B299" s="229">
        <v>7.3</v>
      </c>
      <c r="C299" s="251" t="s">
        <v>245</v>
      </c>
      <c r="D299" s="231" t="s">
        <v>65</v>
      </c>
      <c r="E299" s="232">
        <v>18</v>
      </c>
      <c r="F299" s="233">
        <v>49760</v>
      </c>
      <c r="G299" s="233">
        <f t="shared" si="47"/>
        <v>895680</v>
      </c>
      <c r="H299" s="234">
        <v>0.33</v>
      </c>
      <c r="I299" s="235">
        <f t="shared" si="48"/>
        <v>66180.800000000003</v>
      </c>
      <c r="J299" s="236">
        <f t="shared" si="46"/>
        <v>1191254</v>
      </c>
      <c r="K299" s="121"/>
      <c r="L299" s="211"/>
      <c r="M299" s="212"/>
    </row>
    <row r="300" spans="2:16" x14ac:dyDescent="0.3">
      <c r="B300" s="121"/>
      <c r="C300" s="122"/>
      <c r="D300" s="123"/>
      <c r="E300" s="238"/>
      <c r="F300" s="239"/>
      <c r="G300" s="239"/>
      <c r="H300" s="252"/>
      <c r="I300" s="133"/>
      <c r="J300" s="133"/>
      <c r="K300" s="121"/>
      <c r="L300" s="211"/>
    </row>
    <row r="301" spans="2:16" s="119" customFormat="1" ht="18" customHeight="1" x14ac:dyDescent="0.3">
      <c r="B301" s="253"/>
      <c r="C301" s="118"/>
      <c r="D301" s="121"/>
      <c r="E301" s="124"/>
      <c r="F301" s="125"/>
      <c r="G301" s="125"/>
      <c r="H301" s="125"/>
      <c r="I301" s="125"/>
      <c r="J301" s="254"/>
      <c r="L301" s="211"/>
      <c r="M301" s="117"/>
      <c r="N301" s="126"/>
      <c r="O301" s="126"/>
      <c r="P301" s="126"/>
    </row>
    <row r="302" spans="2:16" x14ac:dyDescent="0.3">
      <c r="B302" s="242"/>
      <c r="C302" s="243"/>
      <c r="D302" s="483" t="s">
        <v>214</v>
      </c>
      <c r="E302" s="483"/>
      <c r="F302" s="483"/>
      <c r="G302" s="255">
        <f>SUM(G272:G299)</f>
        <v>47563657</v>
      </c>
      <c r="H302" s="245"/>
      <c r="I302" s="141"/>
      <c r="J302" s="256">
        <f>SUM(J274:J299)</f>
        <v>63259662</v>
      </c>
      <c r="L302" s="133"/>
      <c r="M302" s="133"/>
    </row>
    <row r="303" spans="2:16" x14ac:dyDescent="0.3">
      <c r="B303" s="139"/>
      <c r="C303" s="243"/>
      <c r="D303" s="135"/>
      <c r="E303" s="247"/>
      <c r="F303" s="135"/>
      <c r="G303" s="141"/>
      <c r="H303" s="245"/>
      <c r="I303" s="141"/>
      <c r="J303" s="141"/>
      <c r="L303" s="211"/>
    </row>
    <row r="304" spans="2:16" ht="16.2" thickBot="1" x14ac:dyDescent="0.35">
      <c r="B304" s="139"/>
      <c r="C304" s="243"/>
      <c r="D304" s="135"/>
      <c r="E304" s="247"/>
      <c r="F304" s="135"/>
      <c r="G304" s="141"/>
      <c r="H304" s="245"/>
      <c r="I304" s="141"/>
      <c r="J304" s="141"/>
      <c r="L304" s="211"/>
    </row>
    <row r="305" spans="2:16" ht="36" customHeight="1" thickBot="1" x14ac:dyDescent="0.35">
      <c r="B305" s="480" t="s">
        <v>63</v>
      </c>
      <c r="C305" s="481"/>
      <c r="D305" s="481"/>
      <c r="E305" s="481"/>
      <c r="F305" s="481"/>
      <c r="G305" s="481"/>
      <c r="H305" s="481"/>
      <c r="I305" s="481"/>
      <c r="J305" s="482"/>
      <c r="L305" s="211"/>
    </row>
    <row r="306" spans="2:16" s="119" customFormat="1" ht="42" customHeight="1" thickBot="1" x14ac:dyDescent="0.35">
      <c r="B306" s="187" t="s">
        <v>6</v>
      </c>
      <c r="C306" s="188" t="s">
        <v>7</v>
      </c>
      <c r="D306" s="189" t="s">
        <v>8</v>
      </c>
      <c r="E306" s="190" t="s">
        <v>9</v>
      </c>
      <c r="F306" s="191" t="s">
        <v>10</v>
      </c>
      <c r="G306" s="192" t="s">
        <v>11</v>
      </c>
      <c r="H306" s="192" t="s">
        <v>12</v>
      </c>
      <c r="I306" s="192" t="s">
        <v>13</v>
      </c>
      <c r="J306" s="193" t="s">
        <v>14</v>
      </c>
      <c r="L306" s="211"/>
      <c r="M306" s="117"/>
    </row>
    <row r="307" spans="2:16" s="261" customFormat="1" ht="18.75" customHeight="1" x14ac:dyDescent="0.3">
      <c r="B307" s="257">
        <v>1</v>
      </c>
      <c r="C307" s="258" t="s">
        <v>26</v>
      </c>
      <c r="D307" s="197"/>
      <c r="E307" s="198"/>
      <c r="F307" s="199"/>
      <c r="G307" s="199"/>
      <c r="H307" s="197"/>
      <c r="I307" s="259"/>
      <c r="J307" s="260"/>
      <c r="L307" s="223"/>
      <c r="M307" s="249"/>
    </row>
    <row r="308" spans="2:16" ht="67.95" customHeight="1" x14ac:dyDescent="0.3">
      <c r="B308" s="203">
        <v>1.1000000000000001</v>
      </c>
      <c r="C308" s="226" t="s">
        <v>282</v>
      </c>
      <c r="D308" s="205" t="s">
        <v>19</v>
      </c>
      <c r="E308" s="206">
        <v>2</v>
      </c>
      <c r="F308" s="207">
        <v>663388</v>
      </c>
      <c r="G308" s="207">
        <f>+ROUND(E308*F308,0)</f>
        <v>1326776</v>
      </c>
      <c r="H308" s="208">
        <v>0.33</v>
      </c>
      <c r="I308" s="209">
        <f>(F308*(1+H308))</f>
        <v>882306.04</v>
      </c>
      <c r="J308" s="210">
        <f t="shared" ref="J308:J314" si="49">ROUND(I308*E308,0)</f>
        <v>1764612</v>
      </c>
      <c r="L308" s="211"/>
    </row>
    <row r="309" spans="2:16" ht="49.95" customHeight="1" x14ac:dyDescent="0.3">
      <c r="B309" s="203">
        <v>1.2</v>
      </c>
      <c r="C309" s="226" t="s">
        <v>283</v>
      </c>
      <c r="D309" s="205" t="s">
        <v>371</v>
      </c>
      <c r="E309" s="206">
        <v>20</v>
      </c>
      <c r="F309" s="207">
        <v>40680</v>
      </c>
      <c r="G309" s="207">
        <f t="shared" ref="G309:G314" si="50">+ROUND(E309*F309,0)</f>
        <v>813600</v>
      </c>
      <c r="H309" s="208">
        <v>0.33</v>
      </c>
      <c r="I309" s="209">
        <f t="shared" ref="I309:I314" si="51">(F309*(1+H309))</f>
        <v>54104.4</v>
      </c>
      <c r="J309" s="210">
        <f t="shared" si="49"/>
        <v>1082088</v>
      </c>
      <c r="L309" s="211"/>
    </row>
    <row r="310" spans="2:16" s="202" customFormat="1" ht="14.25" customHeight="1" x14ac:dyDescent="0.3">
      <c r="B310" s="262">
        <v>2</v>
      </c>
      <c r="C310" s="214" t="s">
        <v>64</v>
      </c>
      <c r="D310" s="215"/>
      <c r="E310" s="216"/>
      <c r="F310" s="217"/>
      <c r="G310" s="218"/>
      <c r="H310" s="219"/>
      <c r="I310" s="220"/>
      <c r="J310" s="221"/>
      <c r="L310" s="223"/>
      <c r="M310" s="249"/>
    </row>
    <row r="311" spans="2:16" ht="31.2" x14ac:dyDescent="0.3">
      <c r="B311" s="203">
        <v>2.1</v>
      </c>
      <c r="C311" s="226" t="s">
        <v>284</v>
      </c>
      <c r="D311" s="205" t="s">
        <v>65</v>
      </c>
      <c r="E311" s="206">
        <v>4.0199999999999996</v>
      </c>
      <c r="F311" s="207">
        <v>306772</v>
      </c>
      <c r="G311" s="207">
        <f t="shared" si="50"/>
        <v>1233223</v>
      </c>
      <c r="H311" s="208">
        <v>0.33</v>
      </c>
      <c r="I311" s="209">
        <f t="shared" si="51"/>
        <v>408006.76</v>
      </c>
      <c r="J311" s="210">
        <f t="shared" si="49"/>
        <v>1640187</v>
      </c>
      <c r="L311" s="211"/>
    </row>
    <row r="312" spans="2:16" ht="51.6" customHeight="1" x14ac:dyDescent="0.3">
      <c r="B312" s="203">
        <v>2.2000000000000002</v>
      </c>
      <c r="C312" s="226" t="s">
        <v>285</v>
      </c>
      <c r="D312" s="205" t="s">
        <v>65</v>
      </c>
      <c r="E312" s="206">
        <v>1</v>
      </c>
      <c r="F312" s="207">
        <v>193524</v>
      </c>
      <c r="G312" s="207">
        <f t="shared" si="50"/>
        <v>193524</v>
      </c>
      <c r="H312" s="208">
        <v>0.33</v>
      </c>
      <c r="I312" s="209">
        <f t="shared" si="51"/>
        <v>257386.92</v>
      </c>
      <c r="J312" s="210">
        <f t="shared" si="49"/>
        <v>257387</v>
      </c>
      <c r="L312" s="211"/>
    </row>
    <row r="313" spans="2:16" s="202" customFormat="1" x14ac:dyDescent="0.3">
      <c r="B313" s="213">
        <v>3</v>
      </c>
      <c r="C313" s="214" t="s">
        <v>17</v>
      </c>
      <c r="D313" s="215"/>
      <c r="E313" s="216"/>
      <c r="F313" s="217"/>
      <c r="G313" s="218"/>
      <c r="H313" s="219"/>
      <c r="I313" s="220"/>
      <c r="J313" s="221"/>
      <c r="L313" s="223"/>
      <c r="M313" s="249"/>
    </row>
    <row r="314" spans="2:16" ht="16.2" thickBot="1" x14ac:dyDescent="0.35">
      <c r="B314" s="229">
        <v>3.1</v>
      </c>
      <c r="C314" s="251" t="s">
        <v>18</v>
      </c>
      <c r="D314" s="263" t="s">
        <v>19</v>
      </c>
      <c r="E314" s="232">
        <v>1</v>
      </c>
      <c r="F314" s="233">
        <v>150000</v>
      </c>
      <c r="G314" s="233">
        <f t="shared" si="50"/>
        <v>150000</v>
      </c>
      <c r="H314" s="234">
        <v>0.33</v>
      </c>
      <c r="I314" s="235">
        <f t="shared" si="51"/>
        <v>199500</v>
      </c>
      <c r="J314" s="236">
        <f t="shared" si="49"/>
        <v>199500</v>
      </c>
      <c r="L314" s="211"/>
    </row>
    <row r="315" spans="2:16" x14ac:dyDescent="0.3">
      <c r="B315" s="121"/>
      <c r="C315" s="122"/>
      <c r="D315" s="123"/>
      <c r="E315" s="238"/>
      <c r="F315" s="239"/>
      <c r="G315" s="239"/>
      <c r="H315" s="252"/>
      <c r="I315" s="133"/>
      <c r="J315" s="133"/>
      <c r="K315" s="121"/>
      <c r="L315" s="211"/>
    </row>
    <row r="316" spans="2:16" s="119" customFormat="1" ht="18" customHeight="1" x14ac:dyDescent="0.3">
      <c r="B316" s="253"/>
      <c r="C316" s="118"/>
      <c r="D316" s="121"/>
      <c r="E316" s="124"/>
      <c r="F316" s="125"/>
      <c r="G316" s="125"/>
      <c r="H316" s="125"/>
      <c r="I316" s="125"/>
      <c r="J316" s="254"/>
      <c r="L316" s="211"/>
      <c r="M316" s="117"/>
      <c r="N316" s="126"/>
      <c r="O316" s="126"/>
      <c r="P316" s="126"/>
    </row>
    <row r="317" spans="2:16" x14ac:dyDescent="0.3">
      <c r="B317" s="242"/>
      <c r="C317" s="243"/>
      <c r="D317" s="483" t="s">
        <v>57</v>
      </c>
      <c r="E317" s="483"/>
      <c r="F317" s="483"/>
      <c r="G317" s="255">
        <f>SUM(G306:G315)</f>
        <v>3717123</v>
      </c>
      <c r="H317" s="245"/>
      <c r="I317" s="141"/>
      <c r="J317" s="256">
        <f>SUM(J307:J314)</f>
        <v>4943774</v>
      </c>
      <c r="L317" s="133"/>
      <c r="M317" s="133"/>
    </row>
    <row r="318" spans="2:16" x14ac:dyDescent="0.3">
      <c r="B318" s="139"/>
      <c r="C318" s="243"/>
      <c r="D318" s="135"/>
      <c r="E318" s="247"/>
      <c r="F318" s="135"/>
      <c r="G318" s="141"/>
      <c r="H318" s="245"/>
      <c r="I318" s="141"/>
      <c r="J318" s="141"/>
      <c r="L318" s="211"/>
    </row>
    <row r="319" spans="2:16" ht="16.2" thickBot="1" x14ac:dyDescent="0.35">
      <c r="B319" s="139"/>
      <c r="C319" s="243"/>
      <c r="D319" s="135"/>
      <c r="E319" s="247"/>
      <c r="F319" s="135"/>
      <c r="G319" s="141"/>
      <c r="H319" s="245"/>
      <c r="I319" s="141"/>
      <c r="J319" s="141"/>
      <c r="L319" s="211"/>
    </row>
    <row r="320" spans="2:16" ht="36" customHeight="1" thickBot="1" x14ac:dyDescent="0.35">
      <c r="B320" s="480" t="s">
        <v>67</v>
      </c>
      <c r="C320" s="481"/>
      <c r="D320" s="481"/>
      <c r="E320" s="481"/>
      <c r="F320" s="481"/>
      <c r="G320" s="481"/>
      <c r="H320" s="481"/>
      <c r="I320" s="481"/>
      <c r="J320" s="482"/>
      <c r="L320" s="211"/>
    </row>
    <row r="321" spans="2:16" s="119" customFormat="1" ht="48" customHeight="1" thickBot="1" x14ac:dyDescent="0.35">
      <c r="B321" s="187" t="s">
        <v>6</v>
      </c>
      <c r="C321" s="188" t="s">
        <v>7</v>
      </c>
      <c r="D321" s="189" t="s">
        <v>8</v>
      </c>
      <c r="E321" s="190" t="s">
        <v>9</v>
      </c>
      <c r="F321" s="191" t="s">
        <v>10</v>
      </c>
      <c r="G321" s="192" t="s">
        <v>11</v>
      </c>
      <c r="H321" s="192" t="s">
        <v>12</v>
      </c>
      <c r="I321" s="192" t="s">
        <v>13</v>
      </c>
      <c r="J321" s="193" t="s">
        <v>14</v>
      </c>
      <c r="L321" s="211"/>
      <c r="M321" s="117"/>
    </row>
    <row r="322" spans="2:16" s="202" customFormat="1" ht="14.25" customHeight="1" x14ac:dyDescent="0.3">
      <c r="B322" s="195">
        <v>1</v>
      </c>
      <c r="C322" s="248" t="s">
        <v>15</v>
      </c>
      <c r="D322" s="197"/>
      <c r="E322" s="198"/>
      <c r="F322" s="199"/>
      <c r="G322" s="199"/>
      <c r="H322" s="286"/>
      <c r="I322" s="287"/>
      <c r="J322" s="288"/>
      <c r="L322" s="223"/>
      <c r="M322" s="249"/>
    </row>
    <row r="323" spans="2:16" ht="31.2" customHeight="1" x14ac:dyDescent="0.3">
      <c r="B323" s="203">
        <v>1.1000000000000001</v>
      </c>
      <c r="C323" s="226" t="s">
        <v>286</v>
      </c>
      <c r="D323" s="205" t="s">
        <v>19</v>
      </c>
      <c r="E323" s="206">
        <v>30</v>
      </c>
      <c r="F323" s="207">
        <v>24670</v>
      </c>
      <c r="G323" s="207">
        <f>+ROUND(E323*F323,0)</f>
        <v>740100</v>
      </c>
      <c r="H323" s="208">
        <v>0.33</v>
      </c>
      <c r="I323" s="209">
        <f>(F323*(1+H323))</f>
        <v>32811.1</v>
      </c>
      <c r="J323" s="210">
        <f t="shared" ref="J323:J325" si="52">ROUND(I323*E323,0)</f>
        <v>984333</v>
      </c>
      <c r="L323" s="211"/>
    </row>
    <row r="324" spans="2:16" ht="31.2" x14ac:dyDescent="0.3">
      <c r="B324" s="203">
        <v>1.2</v>
      </c>
      <c r="C324" s="226" t="s">
        <v>287</v>
      </c>
      <c r="D324" s="205" t="s">
        <v>40</v>
      </c>
      <c r="E324" s="206">
        <f>+(2.65*0.8)+(2*(2.65*2.4))</f>
        <v>14.84</v>
      </c>
      <c r="F324" s="207">
        <v>7248</v>
      </c>
      <c r="G324" s="207">
        <f t="shared" ref="G324:G325" si="53">+ROUND(E324*F324,0)</f>
        <v>107560</v>
      </c>
      <c r="H324" s="208">
        <v>0.33</v>
      </c>
      <c r="I324" s="209">
        <f t="shared" ref="I324:I325" si="54">(F324*(1+H324))</f>
        <v>9639.84</v>
      </c>
      <c r="J324" s="210">
        <f t="shared" si="52"/>
        <v>143055</v>
      </c>
      <c r="L324" s="211"/>
    </row>
    <row r="325" spans="2:16" ht="34.200000000000003" customHeight="1" x14ac:dyDescent="0.3">
      <c r="B325" s="203">
        <v>1.3</v>
      </c>
      <c r="C325" s="226" t="s">
        <v>288</v>
      </c>
      <c r="D325" s="205" t="s">
        <v>118</v>
      </c>
      <c r="E325" s="206">
        <v>1</v>
      </c>
      <c r="F325" s="207">
        <v>147981</v>
      </c>
      <c r="G325" s="207">
        <f t="shared" si="53"/>
        <v>147981</v>
      </c>
      <c r="H325" s="208">
        <v>0.33</v>
      </c>
      <c r="I325" s="209">
        <f t="shared" si="54"/>
        <v>196814.73</v>
      </c>
      <c r="J325" s="210">
        <f t="shared" si="52"/>
        <v>196815</v>
      </c>
      <c r="L325" s="211"/>
    </row>
    <row r="326" spans="2:16" s="202" customFormat="1" x14ac:dyDescent="0.3">
      <c r="B326" s="213">
        <v>2</v>
      </c>
      <c r="C326" s="214" t="s">
        <v>68</v>
      </c>
      <c r="D326" s="215"/>
      <c r="E326" s="216"/>
      <c r="F326" s="217"/>
      <c r="G326" s="218"/>
      <c r="H326" s="219"/>
      <c r="I326" s="220"/>
      <c r="J326" s="221"/>
      <c r="L326" s="223"/>
      <c r="M326" s="249"/>
    </row>
    <row r="327" spans="2:16" ht="31.5" customHeight="1" x14ac:dyDescent="0.3">
      <c r="B327" s="225">
        <v>2.1</v>
      </c>
      <c r="C327" s="226" t="s">
        <v>289</v>
      </c>
      <c r="D327" s="205" t="s">
        <v>40</v>
      </c>
      <c r="E327" s="206">
        <f>+((2.15*1.6)*27)+((2.65*2.4)*5.75)</f>
        <v>129.44999999999999</v>
      </c>
      <c r="F327" s="207">
        <v>135959</v>
      </c>
      <c r="G327" s="207">
        <f t="shared" ref="G327:G334" si="55">+ROUND(E327*F327,0)</f>
        <v>17599893</v>
      </c>
      <c r="H327" s="208">
        <v>0.33</v>
      </c>
      <c r="I327" s="209">
        <f t="shared" ref="I327:I334" si="56">(F327*(1+H327))</f>
        <v>180825.47</v>
      </c>
      <c r="J327" s="210">
        <f t="shared" ref="J327:J334" si="57">ROUND(I327*E327,0)</f>
        <v>23407857</v>
      </c>
      <c r="L327" s="211"/>
    </row>
    <row r="328" spans="2:16" ht="51" customHeight="1" x14ac:dyDescent="0.3">
      <c r="B328" s="225">
        <v>2.2000000000000002</v>
      </c>
      <c r="C328" s="226" t="s">
        <v>290</v>
      </c>
      <c r="D328" s="205" t="s">
        <v>39</v>
      </c>
      <c r="E328" s="206">
        <f>+(0.25*(27*2))</f>
        <v>13.5</v>
      </c>
      <c r="F328" s="207">
        <v>82579</v>
      </c>
      <c r="G328" s="207">
        <f t="shared" si="55"/>
        <v>1114817</v>
      </c>
      <c r="H328" s="208">
        <v>0.33</v>
      </c>
      <c r="I328" s="209">
        <f t="shared" si="56"/>
        <v>109830.07</v>
      </c>
      <c r="J328" s="210">
        <f t="shared" si="57"/>
        <v>1482706</v>
      </c>
      <c r="L328" s="211"/>
    </row>
    <row r="329" spans="2:16" s="202" customFormat="1" x14ac:dyDescent="0.3">
      <c r="B329" s="213">
        <v>3</v>
      </c>
      <c r="C329" s="214" t="s">
        <v>69</v>
      </c>
      <c r="D329" s="215"/>
      <c r="E329" s="216"/>
      <c r="F329" s="217"/>
      <c r="G329" s="218"/>
      <c r="H329" s="219"/>
      <c r="I329" s="220"/>
      <c r="J329" s="221"/>
      <c r="K329" s="249"/>
      <c r="L329" s="223"/>
      <c r="M329" s="249"/>
    </row>
    <row r="330" spans="2:16" ht="33.75" customHeight="1" x14ac:dyDescent="0.3">
      <c r="B330" s="225">
        <v>3.1</v>
      </c>
      <c r="C330" s="226" t="s">
        <v>291</v>
      </c>
      <c r="D330" s="205" t="s">
        <v>39</v>
      </c>
      <c r="E330" s="206">
        <f>+(2.4*145)</f>
        <v>348</v>
      </c>
      <c r="F330" s="207">
        <v>29854</v>
      </c>
      <c r="G330" s="207">
        <f t="shared" si="55"/>
        <v>10389192</v>
      </c>
      <c r="H330" s="208">
        <v>0.33</v>
      </c>
      <c r="I330" s="209">
        <f t="shared" si="56"/>
        <v>39705.82</v>
      </c>
      <c r="J330" s="210">
        <f t="shared" si="57"/>
        <v>13817625</v>
      </c>
      <c r="L330" s="211"/>
    </row>
    <row r="331" spans="2:16" s="202" customFormat="1" ht="23.25" customHeight="1" x14ac:dyDescent="0.3">
      <c r="B331" s="213">
        <v>4</v>
      </c>
      <c r="C331" s="276" t="s">
        <v>60</v>
      </c>
      <c r="D331" s="215"/>
      <c r="E331" s="216"/>
      <c r="F331" s="217"/>
      <c r="G331" s="218"/>
      <c r="H331" s="219"/>
      <c r="I331" s="220"/>
      <c r="J331" s="221"/>
      <c r="L331" s="223"/>
      <c r="M331" s="249"/>
    </row>
    <row r="332" spans="2:16" s="119" customFormat="1" ht="94.2" customHeight="1" x14ac:dyDescent="0.3">
      <c r="B332" s="225">
        <v>4.0999999999999996</v>
      </c>
      <c r="C332" s="226" t="s">
        <v>292</v>
      </c>
      <c r="D332" s="228" t="s">
        <v>40</v>
      </c>
      <c r="E332" s="206">
        <f>(0.65*25)+(2.4*2.7)+(2.4*2.7)+(3*2.4)</f>
        <v>36.409999999999997</v>
      </c>
      <c r="F332" s="207">
        <v>181216</v>
      </c>
      <c r="G332" s="207">
        <f t="shared" si="55"/>
        <v>6598075</v>
      </c>
      <c r="H332" s="208">
        <v>0.33</v>
      </c>
      <c r="I332" s="209">
        <f t="shared" si="56"/>
        <v>241017.28</v>
      </c>
      <c r="J332" s="210">
        <f t="shared" si="57"/>
        <v>8775439</v>
      </c>
      <c r="L332" s="211"/>
      <c r="M332" s="117"/>
    </row>
    <row r="333" spans="2:16" s="202" customFormat="1" x14ac:dyDescent="0.3">
      <c r="B333" s="213">
        <v>5</v>
      </c>
      <c r="C333" s="214" t="s">
        <v>70</v>
      </c>
      <c r="D333" s="215"/>
      <c r="E333" s="216"/>
      <c r="F333" s="217"/>
      <c r="G333" s="218"/>
      <c r="H333" s="219"/>
      <c r="I333" s="220"/>
      <c r="J333" s="221"/>
      <c r="L333" s="223"/>
      <c r="M333" s="249"/>
    </row>
    <row r="334" spans="2:16" ht="16.2" thickBot="1" x14ac:dyDescent="0.35">
      <c r="B334" s="229">
        <v>5.0999999999999996</v>
      </c>
      <c r="C334" s="251" t="s">
        <v>18</v>
      </c>
      <c r="D334" s="263" t="s">
        <v>19</v>
      </c>
      <c r="E334" s="232">
        <v>1</v>
      </c>
      <c r="F334" s="233">
        <v>220000</v>
      </c>
      <c r="G334" s="233">
        <f t="shared" si="55"/>
        <v>220000</v>
      </c>
      <c r="H334" s="234">
        <v>0.33</v>
      </c>
      <c r="I334" s="235">
        <f t="shared" si="56"/>
        <v>292600</v>
      </c>
      <c r="J334" s="236">
        <f t="shared" si="57"/>
        <v>292600</v>
      </c>
      <c r="L334" s="211"/>
    </row>
    <row r="335" spans="2:16" x14ac:dyDescent="0.3">
      <c r="B335" s="121"/>
      <c r="C335" s="122"/>
      <c r="D335" s="123"/>
      <c r="E335" s="238"/>
      <c r="F335" s="239"/>
      <c r="G335" s="239"/>
      <c r="H335" s="252"/>
      <c r="I335" s="133"/>
      <c r="J335" s="133"/>
      <c r="K335" s="121"/>
      <c r="L335" s="211"/>
    </row>
    <row r="336" spans="2:16" s="119" customFormat="1" ht="18" customHeight="1" x14ac:dyDescent="0.3">
      <c r="B336" s="253"/>
      <c r="C336" s="118"/>
      <c r="D336" s="121"/>
      <c r="E336" s="124"/>
      <c r="F336" s="125"/>
      <c r="G336" s="125"/>
      <c r="H336" s="125"/>
      <c r="I336" s="125"/>
      <c r="J336" s="254"/>
      <c r="L336" s="211"/>
      <c r="M336" s="117"/>
      <c r="N336" s="126"/>
      <c r="O336" s="126"/>
      <c r="P336" s="126"/>
    </row>
    <row r="337" spans="2:13" x14ac:dyDescent="0.3">
      <c r="B337" s="242"/>
      <c r="C337" s="243"/>
      <c r="D337" s="483" t="s">
        <v>62</v>
      </c>
      <c r="E337" s="483"/>
      <c r="F337" s="483"/>
      <c r="G337" s="255">
        <f>SUM(G321:G335)</f>
        <v>36917618</v>
      </c>
      <c r="H337" s="245"/>
      <c r="I337" s="141"/>
      <c r="J337" s="256">
        <f>SUM(J322:J334)</f>
        <v>49100430</v>
      </c>
      <c r="L337" s="133"/>
      <c r="M337" s="133"/>
    </row>
    <row r="338" spans="2:13" x14ac:dyDescent="0.3">
      <c r="B338" s="139"/>
      <c r="C338" s="243"/>
      <c r="D338" s="135"/>
      <c r="E338" s="247"/>
      <c r="F338" s="135"/>
      <c r="G338" s="141"/>
      <c r="H338" s="245"/>
      <c r="I338" s="141"/>
      <c r="J338" s="141"/>
      <c r="L338" s="211"/>
    </row>
    <row r="339" spans="2:13" ht="16.2" thickBot="1" x14ac:dyDescent="0.35">
      <c r="B339" s="139"/>
      <c r="C339" s="243"/>
      <c r="D339" s="135"/>
      <c r="E339" s="247"/>
      <c r="F339" s="135"/>
      <c r="G339" s="141"/>
      <c r="H339" s="245"/>
      <c r="I339" s="141"/>
      <c r="J339" s="141"/>
      <c r="L339" s="211"/>
    </row>
    <row r="340" spans="2:13" ht="36" customHeight="1" thickBot="1" x14ac:dyDescent="0.35">
      <c r="B340" s="480" t="s">
        <v>72</v>
      </c>
      <c r="C340" s="481"/>
      <c r="D340" s="481"/>
      <c r="E340" s="481"/>
      <c r="F340" s="481"/>
      <c r="G340" s="481"/>
      <c r="H340" s="481"/>
      <c r="I340" s="481"/>
      <c r="J340" s="482"/>
      <c r="L340" s="211"/>
    </row>
    <row r="341" spans="2:13" s="119" customFormat="1" ht="44.4" customHeight="1" thickBot="1" x14ac:dyDescent="0.35">
      <c r="B341" s="187" t="s">
        <v>6</v>
      </c>
      <c r="C341" s="188" t="s">
        <v>7</v>
      </c>
      <c r="D341" s="189" t="s">
        <v>8</v>
      </c>
      <c r="E341" s="190" t="s">
        <v>9</v>
      </c>
      <c r="F341" s="191" t="s">
        <v>10</v>
      </c>
      <c r="G341" s="192" t="s">
        <v>11</v>
      </c>
      <c r="H341" s="192" t="s">
        <v>12</v>
      </c>
      <c r="I341" s="192" t="s">
        <v>13</v>
      </c>
      <c r="J341" s="193" t="s">
        <v>14</v>
      </c>
      <c r="L341" s="211"/>
      <c r="M341" s="117"/>
    </row>
    <row r="342" spans="2:13" s="202" customFormat="1" ht="14.25" customHeight="1" x14ac:dyDescent="0.3">
      <c r="B342" s="195">
        <v>1</v>
      </c>
      <c r="C342" s="248" t="s">
        <v>15</v>
      </c>
      <c r="D342" s="197"/>
      <c r="E342" s="198"/>
      <c r="F342" s="199"/>
      <c r="G342" s="199"/>
      <c r="H342" s="286"/>
      <c r="I342" s="287"/>
      <c r="J342" s="288"/>
      <c r="L342" s="223"/>
      <c r="M342" s="249"/>
    </row>
    <row r="343" spans="2:13" ht="35.4" customHeight="1" x14ac:dyDescent="0.3">
      <c r="B343" s="203">
        <v>1.1000000000000001</v>
      </c>
      <c r="C343" s="226" t="s">
        <v>231</v>
      </c>
      <c r="D343" s="205" t="s">
        <v>40</v>
      </c>
      <c r="E343" s="206">
        <v>200</v>
      </c>
      <c r="F343" s="207">
        <v>10813</v>
      </c>
      <c r="G343" s="207">
        <f>+ROUND(E343*F343,0)</f>
        <v>2162600</v>
      </c>
      <c r="H343" s="208">
        <v>0.33</v>
      </c>
      <c r="I343" s="209">
        <f>(F343*(1+H343))</f>
        <v>14381.29</v>
      </c>
      <c r="J343" s="210">
        <f t="shared" ref="J343:J346" si="58">ROUND(I343*E343,0)</f>
        <v>2876258</v>
      </c>
      <c r="L343" s="211"/>
    </row>
    <row r="344" spans="2:13" ht="31.95" customHeight="1" x14ac:dyDescent="0.3">
      <c r="B344" s="203">
        <v>1.3</v>
      </c>
      <c r="C344" s="204" t="s">
        <v>232</v>
      </c>
      <c r="D344" s="205" t="s">
        <v>40</v>
      </c>
      <c r="E344" s="206">
        <f>+E343</f>
        <v>200</v>
      </c>
      <c r="F344" s="207">
        <v>9810</v>
      </c>
      <c r="G344" s="207">
        <f t="shared" ref="G344:G346" si="59">+ROUND(E344*F344,0)</f>
        <v>1962000</v>
      </c>
      <c r="H344" s="208">
        <v>0.33</v>
      </c>
      <c r="I344" s="209">
        <f t="shared" ref="I344:I346" si="60">(F344*(1+H344))</f>
        <v>13047.300000000001</v>
      </c>
      <c r="J344" s="210">
        <f t="shared" si="58"/>
        <v>2609460</v>
      </c>
      <c r="L344" s="211"/>
    </row>
    <row r="345" spans="2:13" ht="31.95" customHeight="1" x14ac:dyDescent="0.3">
      <c r="B345" s="203">
        <v>1.4</v>
      </c>
      <c r="C345" s="204" t="s">
        <v>233</v>
      </c>
      <c r="D345" s="205" t="s">
        <v>370</v>
      </c>
      <c r="E345" s="206">
        <f>(9+8+8+10)</f>
        <v>35</v>
      </c>
      <c r="F345" s="207">
        <v>9610</v>
      </c>
      <c r="G345" s="207">
        <f t="shared" si="59"/>
        <v>336350</v>
      </c>
      <c r="H345" s="208">
        <v>0.33</v>
      </c>
      <c r="I345" s="209">
        <f t="shared" si="60"/>
        <v>12781.300000000001</v>
      </c>
      <c r="J345" s="210">
        <f t="shared" si="58"/>
        <v>447346</v>
      </c>
      <c r="L345" s="211"/>
    </row>
    <row r="346" spans="2:13" ht="31.95" customHeight="1" x14ac:dyDescent="0.3">
      <c r="B346" s="203">
        <v>1.5</v>
      </c>
      <c r="C346" s="204" t="s">
        <v>234</v>
      </c>
      <c r="D346" s="205" t="s">
        <v>39</v>
      </c>
      <c r="E346" s="206">
        <f>9+9+8+8</f>
        <v>34</v>
      </c>
      <c r="F346" s="207">
        <v>20883</v>
      </c>
      <c r="G346" s="207">
        <f t="shared" si="59"/>
        <v>710022</v>
      </c>
      <c r="H346" s="208">
        <v>0.33</v>
      </c>
      <c r="I346" s="209">
        <f t="shared" si="60"/>
        <v>27774.390000000003</v>
      </c>
      <c r="J346" s="210">
        <f t="shared" si="58"/>
        <v>944329</v>
      </c>
      <c r="L346" s="211"/>
    </row>
    <row r="347" spans="2:13" s="249" customFormat="1" x14ac:dyDescent="0.3">
      <c r="B347" s="213">
        <v>2</v>
      </c>
      <c r="C347" s="214" t="s">
        <v>16</v>
      </c>
      <c r="D347" s="215"/>
      <c r="E347" s="216"/>
      <c r="F347" s="217"/>
      <c r="G347" s="218"/>
      <c r="H347" s="219"/>
      <c r="I347" s="220"/>
      <c r="J347" s="221"/>
      <c r="K347" s="250"/>
      <c r="L347" s="223"/>
    </row>
    <row r="348" spans="2:13" ht="62.4" x14ac:dyDescent="0.3">
      <c r="B348" s="225">
        <v>2.1</v>
      </c>
      <c r="C348" s="226" t="s">
        <v>235</v>
      </c>
      <c r="D348" s="205" t="s">
        <v>40</v>
      </c>
      <c r="E348" s="206">
        <v>200</v>
      </c>
      <c r="F348" s="207">
        <v>76329</v>
      </c>
      <c r="G348" s="207">
        <f t="shared" ref="G348:G362" si="61">+ROUND(E348*F348,0)</f>
        <v>15265800</v>
      </c>
      <c r="H348" s="208">
        <v>0.33</v>
      </c>
      <c r="I348" s="209">
        <f t="shared" ref="I348:I362" si="62">(F348*(1+H348))</f>
        <v>101517.57</v>
      </c>
      <c r="J348" s="210">
        <f t="shared" ref="J348:J362" si="63">ROUND(I348*E348,0)</f>
        <v>20303514</v>
      </c>
      <c r="K348" s="121"/>
      <c r="L348" s="211"/>
    </row>
    <row r="349" spans="2:13" ht="65.400000000000006" customHeight="1" x14ac:dyDescent="0.3">
      <c r="B349" s="225">
        <v>2.2000000000000002</v>
      </c>
      <c r="C349" s="226" t="s">
        <v>246</v>
      </c>
      <c r="D349" s="228" t="s">
        <v>39</v>
      </c>
      <c r="E349" s="206">
        <v>148</v>
      </c>
      <c r="F349" s="207">
        <v>66157</v>
      </c>
      <c r="G349" s="207">
        <f t="shared" si="61"/>
        <v>9791236</v>
      </c>
      <c r="H349" s="208">
        <v>0.33</v>
      </c>
      <c r="I349" s="209">
        <f t="shared" si="62"/>
        <v>87988.81</v>
      </c>
      <c r="J349" s="210">
        <f t="shared" si="63"/>
        <v>13022344</v>
      </c>
      <c r="K349" s="121"/>
      <c r="L349" s="211"/>
    </row>
    <row r="350" spans="2:13" ht="46.8" x14ac:dyDescent="0.3">
      <c r="B350" s="225">
        <v>2.2999999999999998</v>
      </c>
      <c r="C350" s="226" t="s">
        <v>236</v>
      </c>
      <c r="D350" s="205" t="s">
        <v>371</v>
      </c>
      <c r="E350" s="206">
        <v>19</v>
      </c>
      <c r="F350" s="207">
        <v>39523</v>
      </c>
      <c r="G350" s="207">
        <f t="shared" si="61"/>
        <v>750937</v>
      </c>
      <c r="H350" s="208">
        <v>0.33</v>
      </c>
      <c r="I350" s="209">
        <f t="shared" si="62"/>
        <v>52565.590000000004</v>
      </c>
      <c r="J350" s="210">
        <f t="shared" si="63"/>
        <v>998746</v>
      </c>
      <c r="K350" s="121"/>
      <c r="L350" s="211"/>
    </row>
    <row r="351" spans="2:13" ht="66" customHeight="1" x14ac:dyDescent="0.3">
      <c r="B351" s="225">
        <v>2.5</v>
      </c>
      <c r="C351" s="226" t="s">
        <v>247</v>
      </c>
      <c r="D351" s="205" t="s">
        <v>39</v>
      </c>
      <c r="E351" s="206">
        <f>10.5*2</f>
        <v>21</v>
      </c>
      <c r="F351" s="207">
        <v>270384</v>
      </c>
      <c r="G351" s="207">
        <f t="shared" si="61"/>
        <v>5678064</v>
      </c>
      <c r="H351" s="208">
        <v>0.33</v>
      </c>
      <c r="I351" s="209">
        <f t="shared" si="62"/>
        <v>359610.72000000003</v>
      </c>
      <c r="J351" s="210">
        <f t="shared" si="63"/>
        <v>7551825</v>
      </c>
      <c r="K351" s="121"/>
      <c r="L351" s="211"/>
    </row>
    <row r="352" spans="2:13" s="249" customFormat="1" x14ac:dyDescent="0.3">
      <c r="B352" s="213">
        <v>3</v>
      </c>
      <c r="C352" s="214" t="s">
        <v>28</v>
      </c>
      <c r="D352" s="215"/>
      <c r="E352" s="216"/>
      <c r="F352" s="217"/>
      <c r="G352" s="218"/>
      <c r="H352" s="219"/>
      <c r="I352" s="220"/>
      <c r="J352" s="221"/>
      <c r="K352" s="250"/>
      <c r="L352" s="223"/>
    </row>
    <row r="353" spans="2:16" ht="31.2" x14ac:dyDescent="0.3">
      <c r="B353" s="225">
        <v>3.1</v>
      </c>
      <c r="C353" s="226" t="s">
        <v>239</v>
      </c>
      <c r="D353" s="205" t="s">
        <v>40</v>
      </c>
      <c r="E353" s="206">
        <f>+E354*2</f>
        <v>21.28</v>
      </c>
      <c r="F353" s="207">
        <v>75728</v>
      </c>
      <c r="G353" s="207">
        <f t="shared" si="61"/>
        <v>1611492</v>
      </c>
      <c r="H353" s="208">
        <v>0.33</v>
      </c>
      <c r="I353" s="209">
        <f t="shared" si="62"/>
        <v>100718.24</v>
      </c>
      <c r="J353" s="210">
        <f t="shared" si="63"/>
        <v>2143284</v>
      </c>
      <c r="K353" s="121"/>
      <c r="L353" s="211"/>
    </row>
    <row r="354" spans="2:16" ht="32.25" customHeight="1" x14ac:dyDescent="0.3">
      <c r="B354" s="225">
        <v>2.8</v>
      </c>
      <c r="C354" s="204" t="s">
        <v>240</v>
      </c>
      <c r="D354" s="205" t="s">
        <v>40</v>
      </c>
      <c r="E354" s="206">
        <v>10.64</v>
      </c>
      <c r="F354" s="207">
        <v>58969</v>
      </c>
      <c r="G354" s="207">
        <f t="shared" si="61"/>
        <v>627430</v>
      </c>
      <c r="H354" s="208">
        <v>0.33</v>
      </c>
      <c r="I354" s="209">
        <f t="shared" si="62"/>
        <v>78428.77</v>
      </c>
      <c r="J354" s="210">
        <f t="shared" si="63"/>
        <v>834482</v>
      </c>
      <c r="K354" s="121"/>
      <c r="L354" s="211"/>
    </row>
    <row r="355" spans="2:16" s="202" customFormat="1" x14ac:dyDescent="0.3">
      <c r="B355" s="213">
        <v>4</v>
      </c>
      <c r="C355" s="214" t="s">
        <v>43</v>
      </c>
      <c r="D355" s="215"/>
      <c r="E355" s="216"/>
      <c r="F355" s="217"/>
      <c r="G355" s="218"/>
      <c r="H355" s="219"/>
      <c r="I355" s="220"/>
      <c r="J355" s="221"/>
      <c r="K355" s="222"/>
      <c r="L355" s="223"/>
      <c r="M355" s="249"/>
    </row>
    <row r="356" spans="2:16" ht="31.2" x14ac:dyDescent="0.3">
      <c r="B356" s="225">
        <v>4.0999999999999996</v>
      </c>
      <c r="C356" s="227" t="s">
        <v>242</v>
      </c>
      <c r="D356" s="228" t="s">
        <v>19</v>
      </c>
      <c r="E356" s="206">
        <v>2</v>
      </c>
      <c r="F356" s="207">
        <v>134144</v>
      </c>
      <c r="G356" s="207">
        <f t="shared" si="61"/>
        <v>268288</v>
      </c>
      <c r="H356" s="208">
        <v>0.33</v>
      </c>
      <c r="I356" s="209">
        <f t="shared" si="62"/>
        <v>178411.52000000002</v>
      </c>
      <c r="J356" s="210">
        <f t="shared" si="63"/>
        <v>356823</v>
      </c>
      <c r="K356" s="121"/>
      <c r="L356" s="211"/>
    </row>
    <row r="357" spans="2:16" ht="75" customHeight="1" x14ac:dyDescent="0.3">
      <c r="B357" s="225">
        <v>4.2</v>
      </c>
      <c r="C357" s="227" t="s">
        <v>243</v>
      </c>
      <c r="D357" s="228" t="s">
        <v>19</v>
      </c>
      <c r="E357" s="206">
        <v>8</v>
      </c>
      <c r="F357" s="207">
        <v>217940</v>
      </c>
      <c r="G357" s="207">
        <f t="shared" si="61"/>
        <v>1743520</v>
      </c>
      <c r="H357" s="208">
        <v>0.33</v>
      </c>
      <c r="I357" s="209">
        <f t="shared" si="62"/>
        <v>289860.2</v>
      </c>
      <c r="J357" s="210">
        <f t="shared" si="63"/>
        <v>2318882</v>
      </c>
      <c r="K357" s="121"/>
      <c r="L357" s="211"/>
    </row>
    <row r="358" spans="2:16" ht="31.2" x14ac:dyDescent="0.3">
      <c r="B358" s="225">
        <v>4.3</v>
      </c>
      <c r="C358" s="227" t="s">
        <v>244</v>
      </c>
      <c r="D358" s="228" t="s">
        <v>39</v>
      </c>
      <c r="E358" s="206">
        <f>15.5*2</f>
        <v>31</v>
      </c>
      <c r="F358" s="207">
        <v>43198</v>
      </c>
      <c r="G358" s="207">
        <f t="shared" si="61"/>
        <v>1339138</v>
      </c>
      <c r="H358" s="208">
        <v>0.33</v>
      </c>
      <c r="I358" s="209">
        <f t="shared" si="62"/>
        <v>57453.340000000004</v>
      </c>
      <c r="J358" s="210">
        <f t="shared" si="63"/>
        <v>1781054</v>
      </c>
      <c r="K358" s="121"/>
      <c r="L358" s="211"/>
    </row>
    <row r="359" spans="2:16" s="202" customFormat="1" x14ac:dyDescent="0.3">
      <c r="B359" s="213">
        <v>5</v>
      </c>
      <c r="C359" s="214" t="s">
        <v>17</v>
      </c>
      <c r="D359" s="215"/>
      <c r="E359" s="216"/>
      <c r="F359" s="217"/>
      <c r="G359" s="218"/>
      <c r="H359" s="219"/>
      <c r="I359" s="220"/>
      <c r="J359" s="221"/>
      <c r="K359" s="222"/>
      <c r="L359" s="223"/>
      <c r="M359" s="249"/>
    </row>
    <row r="360" spans="2:16" x14ac:dyDescent="0.3">
      <c r="B360" s="225">
        <v>5.0999999999999996</v>
      </c>
      <c r="C360" s="226" t="s">
        <v>18</v>
      </c>
      <c r="D360" s="228" t="s">
        <v>19</v>
      </c>
      <c r="E360" s="206">
        <v>1</v>
      </c>
      <c r="F360" s="207">
        <v>150000</v>
      </c>
      <c r="G360" s="207">
        <f t="shared" si="61"/>
        <v>150000</v>
      </c>
      <c r="H360" s="208">
        <v>0.33</v>
      </c>
      <c r="I360" s="209">
        <f t="shared" si="62"/>
        <v>199500</v>
      </c>
      <c r="J360" s="210">
        <f t="shared" si="63"/>
        <v>199500</v>
      </c>
      <c r="K360" s="121"/>
      <c r="L360" s="211"/>
    </row>
    <row r="361" spans="2:16" x14ac:dyDescent="0.3">
      <c r="B361" s="225">
        <v>5.2</v>
      </c>
      <c r="C361" s="226" t="s">
        <v>20</v>
      </c>
      <c r="D361" s="228" t="s">
        <v>19</v>
      </c>
      <c r="E361" s="206">
        <v>1</v>
      </c>
      <c r="F361" s="207">
        <v>250000</v>
      </c>
      <c r="G361" s="207">
        <f t="shared" si="61"/>
        <v>250000</v>
      </c>
      <c r="H361" s="208">
        <v>0.33</v>
      </c>
      <c r="I361" s="209">
        <f t="shared" si="62"/>
        <v>332500</v>
      </c>
      <c r="J361" s="210">
        <f t="shared" si="63"/>
        <v>332500</v>
      </c>
      <c r="K361" s="121"/>
      <c r="L361" s="211"/>
    </row>
    <row r="362" spans="2:16" ht="83.4" customHeight="1" thickBot="1" x14ac:dyDescent="0.35">
      <c r="B362" s="229">
        <v>5.3</v>
      </c>
      <c r="C362" s="251" t="s">
        <v>245</v>
      </c>
      <c r="D362" s="231" t="s">
        <v>65</v>
      </c>
      <c r="E362" s="232">
        <v>12</v>
      </c>
      <c r="F362" s="233">
        <v>49760</v>
      </c>
      <c r="G362" s="233">
        <f t="shared" si="61"/>
        <v>597120</v>
      </c>
      <c r="H362" s="234">
        <v>0.33</v>
      </c>
      <c r="I362" s="235">
        <f t="shared" si="62"/>
        <v>66180.800000000003</v>
      </c>
      <c r="J362" s="236">
        <f t="shared" si="63"/>
        <v>794170</v>
      </c>
      <c r="K362" s="121"/>
      <c r="L362" s="211"/>
    </row>
    <row r="363" spans="2:16" x14ac:dyDescent="0.3">
      <c r="B363" s="121"/>
      <c r="C363" s="122"/>
      <c r="D363" s="123"/>
      <c r="E363" s="238"/>
      <c r="F363" s="239"/>
      <c r="G363" s="239"/>
      <c r="H363" s="252"/>
      <c r="I363" s="133"/>
      <c r="J363" s="133"/>
      <c r="K363" s="121"/>
      <c r="L363" s="211"/>
    </row>
    <row r="364" spans="2:16" s="119" customFormat="1" ht="18" customHeight="1" x14ac:dyDescent="0.3">
      <c r="B364" s="253"/>
      <c r="C364" s="118"/>
      <c r="D364" s="121"/>
      <c r="E364" s="124"/>
      <c r="F364" s="125"/>
      <c r="G364" s="125"/>
      <c r="H364" s="125"/>
      <c r="I364" s="125"/>
      <c r="J364" s="254"/>
      <c r="L364" s="211"/>
      <c r="M364" s="117"/>
      <c r="N364" s="126"/>
      <c r="O364" s="126"/>
      <c r="P364" s="126"/>
    </row>
    <row r="365" spans="2:16" x14ac:dyDescent="0.3">
      <c r="B365" s="242"/>
      <c r="C365" s="243"/>
      <c r="D365" s="483" t="s">
        <v>66</v>
      </c>
      <c r="E365" s="483"/>
      <c r="F365" s="483"/>
      <c r="G365" s="255">
        <f>SUM(G341:G363)</f>
        <v>43243997</v>
      </c>
      <c r="H365" s="245"/>
      <c r="I365" s="141"/>
      <c r="J365" s="256">
        <f>SUM(J341:J362)</f>
        <v>57514517</v>
      </c>
      <c r="L365" s="211"/>
      <c r="M365" s="142"/>
    </row>
    <row r="366" spans="2:16" x14ac:dyDescent="0.3">
      <c r="B366" s="139"/>
      <c r="C366" s="243"/>
      <c r="D366" s="135"/>
      <c r="E366" s="247"/>
      <c r="F366" s="135"/>
      <c r="G366" s="141"/>
      <c r="H366" s="245"/>
      <c r="I366" s="141"/>
      <c r="J366" s="141"/>
      <c r="L366" s="211"/>
    </row>
    <row r="367" spans="2:16" ht="16.2" thickBot="1" x14ac:dyDescent="0.35">
      <c r="B367" s="139"/>
      <c r="C367" s="243"/>
      <c r="D367" s="135"/>
      <c r="E367" s="247"/>
      <c r="F367" s="135"/>
      <c r="G367" s="141"/>
      <c r="H367" s="245"/>
      <c r="I367" s="141"/>
      <c r="J367" s="141"/>
      <c r="L367" s="211"/>
    </row>
    <row r="368" spans="2:16" ht="36" customHeight="1" thickBot="1" x14ac:dyDescent="0.35">
      <c r="B368" s="480" t="s">
        <v>74</v>
      </c>
      <c r="C368" s="481"/>
      <c r="D368" s="481"/>
      <c r="E368" s="481"/>
      <c r="F368" s="481"/>
      <c r="G368" s="481"/>
      <c r="H368" s="481"/>
      <c r="I368" s="481"/>
      <c r="J368" s="482"/>
      <c r="L368" s="211"/>
    </row>
    <row r="369" spans="2:13" s="119" customFormat="1" ht="42.6" customHeight="1" thickBot="1" x14ac:dyDescent="0.35">
      <c r="B369" s="187" t="s">
        <v>6</v>
      </c>
      <c r="C369" s="188" t="s">
        <v>7</v>
      </c>
      <c r="D369" s="189" t="s">
        <v>8</v>
      </c>
      <c r="E369" s="190" t="s">
        <v>9</v>
      </c>
      <c r="F369" s="191" t="s">
        <v>10</v>
      </c>
      <c r="G369" s="192" t="s">
        <v>11</v>
      </c>
      <c r="H369" s="192" t="s">
        <v>12</v>
      </c>
      <c r="I369" s="192" t="s">
        <v>13</v>
      </c>
      <c r="J369" s="193" t="s">
        <v>14</v>
      </c>
      <c r="L369" s="211"/>
      <c r="M369" s="117"/>
    </row>
    <row r="370" spans="2:13" s="249" customFormat="1" x14ac:dyDescent="0.3">
      <c r="B370" s="195">
        <v>1</v>
      </c>
      <c r="C370" s="248" t="s">
        <v>75</v>
      </c>
      <c r="D370" s="197"/>
      <c r="E370" s="198"/>
      <c r="F370" s="199"/>
      <c r="G370" s="199"/>
      <c r="H370" s="286"/>
      <c r="I370" s="287"/>
      <c r="J370" s="288"/>
      <c r="L370" s="223"/>
    </row>
    <row r="371" spans="2:13" ht="31.2" x14ac:dyDescent="0.3">
      <c r="B371" s="225">
        <v>1.1000000000000001</v>
      </c>
      <c r="C371" s="226" t="s">
        <v>293</v>
      </c>
      <c r="D371" s="205" t="s">
        <v>39</v>
      </c>
      <c r="E371" s="206">
        <f>2.5*2</f>
        <v>5</v>
      </c>
      <c r="F371" s="207">
        <v>91167</v>
      </c>
      <c r="G371" s="207">
        <f>+ROUND(E371*F371,0)</f>
        <v>455835</v>
      </c>
      <c r="H371" s="208">
        <v>0.33</v>
      </c>
      <c r="I371" s="209">
        <f>(F371*(1+H371))</f>
        <v>121252.11</v>
      </c>
      <c r="J371" s="210">
        <f t="shared" ref="J371:J373" si="64">ROUND(I371*E371,0)</f>
        <v>606261</v>
      </c>
      <c r="K371" s="121"/>
      <c r="L371" s="211"/>
    </row>
    <row r="372" spans="2:13" ht="31.2" x14ac:dyDescent="0.3">
      <c r="B372" s="225">
        <v>1.2</v>
      </c>
      <c r="C372" s="226" t="s">
        <v>294</v>
      </c>
      <c r="D372" s="228" t="s">
        <v>19</v>
      </c>
      <c r="E372" s="206">
        <v>2</v>
      </c>
      <c r="F372" s="207">
        <v>323466</v>
      </c>
      <c r="G372" s="207">
        <f t="shared" ref="G372:G373" si="65">+ROUND(E372*F372,0)</f>
        <v>646932</v>
      </c>
      <c r="H372" s="208">
        <v>0.33</v>
      </c>
      <c r="I372" s="209">
        <f t="shared" ref="I372:I373" si="66">(F372*(1+H372))</f>
        <v>430209.78</v>
      </c>
      <c r="J372" s="210">
        <f t="shared" si="64"/>
        <v>860420</v>
      </c>
      <c r="K372" s="121"/>
      <c r="L372" s="211"/>
    </row>
    <row r="373" spans="2:13" ht="126.6" customHeight="1" x14ac:dyDescent="0.3">
      <c r="B373" s="225">
        <v>1.3</v>
      </c>
      <c r="C373" s="226" t="s">
        <v>295</v>
      </c>
      <c r="D373" s="228" t="s">
        <v>40</v>
      </c>
      <c r="E373" s="206">
        <v>10.25</v>
      </c>
      <c r="F373" s="207">
        <v>416484</v>
      </c>
      <c r="G373" s="207">
        <f t="shared" si="65"/>
        <v>4268961</v>
      </c>
      <c r="H373" s="208">
        <v>0.33</v>
      </c>
      <c r="I373" s="209">
        <f t="shared" si="66"/>
        <v>553923.72</v>
      </c>
      <c r="J373" s="210">
        <f t="shared" si="64"/>
        <v>5677718</v>
      </c>
      <c r="K373" s="121"/>
      <c r="L373" s="211"/>
    </row>
    <row r="374" spans="2:13" s="249" customFormat="1" x14ac:dyDescent="0.3">
      <c r="B374" s="213">
        <v>2</v>
      </c>
      <c r="C374" s="214" t="s">
        <v>76</v>
      </c>
      <c r="D374" s="215"/>
      <c r="E374" s="216"/>
      <c r="F374" s="217"/>
      <c r="G374" s="218"/>
      <c r="H374" s="219"/>
      <c r="I374" s="220"/>
      <c r="J374" s="221"/>
      <c r="K374" s="250"/>
      <c r="L374" s="223"/>
    </row>
    <row r="375" spans="2:13" ht="31.2" x14ac:dyDescent="0.3">
      <c r="B375" s="225">
        <v>2.1</v>
      </c>
      <c r="C375" s="226" t="s">
        <v>296</v>
      </c>
      <c r="D375" s="205" t="s">
        <v>83</v>
      </c>
      <c r="E375" s="206">
        <v>350</v>
      </c>
      <c r="F375" s="207">
        <v>9582</v>
      </c>
      <c r="G375" s="207">
        <f t="shared" ref="G375:G383" si="67">+ROUND(E375*F375,0)</f>
        <v>3353700</v>
      </c>
      <c r="H375" s="208">
        <v>0.33</v>
      </c>
      <c r="I375" s="209">
        <f t="shared" ref="I375:I383" si="68">(F375*(1+H375))</f>
        <v>12744.060000000001</v>
      </c>
      <c r="J375" s="210">
        <f t="shared" ref="J375:J383" si="69">ROUND(I375*E375,0)</f>
        <v>4460421</v>
      </c>
      <c r="K375" s="121"/>
      <c r="L375" s="211"/>
    </row>
    <row r="376" spans="2:13" s="249" customFormat="1" x14ac:dyDescent="0.3">
      <c r="B376" s="213">
        <v>3</v>
      </c>
      <c r="C376" s="214" t="s">
        <v>77</v>
      </c>
      <c r="D376" s="215"/>
      <c r="E376" s="216"/>
      <c r="F376" s="217"/>
      <c r="G376" s="218"/>
      <c r="H376" s="219"/>
      <c r="I376" s="220"/>
      <c r="J376" s="221"/>
      <c r="K376" s="250"/>
      <c r="L376" s="223"/>
    </row>
    <row r="377" spans="2:13" ht="31.2" x14ac:dyDescent="0.3">
      <c r="B377" s="225">
        <v>3.1</v>
      </c>
      <c r="C377" s="226" t="s">
        <v>297</v>
      </c>
      <c r="D377" s="205" t="s">
        <v>40</v>
      </c>
      <c r="E377" s="206">
        <v>4</v>
      </c>
      <c r="F377" s="207">
        <v>39103</v>
      </c>
      <c r="G377" s="207">
        <f t="shared" si="67"/>
        <v>156412</v>
      </c>
      <c r="H377" s="208">
        <v>0.33</v>
      </c>
      <c r="I377" s="209">
        <f t="shared" si="68"/>
        <v>52006.990000000005</v>
      </c>
      <c r="J377" s="210">
        <f t="shared" si="69"/>
        <v>208028</v>
      </c>
      <c r="K377" s="121"/>
      <c r="L377" s="211"/>
    </row>
    <row r="378" spans="2:13" x14ac:dyDescent="0.3">
      <c r="B378" s="225">
        <v>3.2</v>
      </c>
      <c r="C378" s="226" t="s">
        <v>277</v>
      </c>
      <c r="D378" s="205" t="s">
        <v>40</v>
      </c>
      <c r="E378" s="206">
        <v>4</v>
      </c>
      <c r="F378" s="207">
        <v>16277</v>
      </c>
      <c r="G378" s="207">
        <f t="shared" si="67"/>
        <v>65108</v>
      </c>
      <c r="H378" s="208">
        <v>0.33</v>
      </c>
      <c r="I378" s="209">
        <f t="shared" si="68"/>
        <v>21648.41</v>
      </c>
      <c r="J378" s="210">
        <f t="shared" si="69"/>
        <v>86594</v>
      </c>
      <c r="K378" s="121"/>
      <c r="L378" s="211"/>
    </row>
    <row r="379" spans="2:13" x14ac:dyDescent="0.3">
      <c r="B379" s="225">
        <v>3.3</v>
      </c>
      <c r="C379" s="226" t="s">
        <v>276</v>
      </c>
      <c r="D379" s="205" t="s">
        <v>40</v>
      </c>
      <c r="E379" s="206">
        <v>4</v>
      </c>
      <c r="F379" s="207">
        <v>24111</v>
      </c>
      <c r="G379" s="207">
        <f t="shared" si="67"/>
        <v>96444</v>
      </c>
      <c r="H379" s="208">
        <v>0.33</v>
      </c>
      <c r="I379" s="209">
        <f t="shared" si="68"/>
        <v>32067.63</v>
      </c>
      <c r="J379" s="210">
        <f t="shared" si="69"/>
        <v>128271</v>
      </c>
      <c r="K379" s="121"/>
      <c r="L379" s="211"/>
    </row>
    <row r="380" spans="2:13" s="202" customFormat="1" x14ac:dyDescent="0.3">
      <c r="B380" s="213">
        <v>4</v>
      </c>
      <c r="C380" s="214" t="s">
        <v>17</v>
      </c>
      <c r="D380" s="215"/>
      <c r="E380" s="216"/>
      <c r="F380" s="217"/>
      <c r="G380" s="218"/>
      <c r="H380" s="219"/>
      <c r="I380" s="220"/>
      <c r="J380" s="221"/>
      <c r="K380" s="222"/>
      <c r="L380" s="223"/>
      <c r="M380" s="249"/>
    </row>
    <row r="381" spans="2:13" x14ac:dyDescent="0.3">
      <c r="B381" s="225">
        <v>4.0999999999999996</v>
      </c>
      <c r="C381" s="226" t="s">
        <v>18</v>
      </c>
      <c r="D381" s="228" t="s">
        <v>19</v>
      </c>
      <c r="E381" s="206">
        <v>1</v>
      </c>
      <c r="F381" s="207">
        <v>150000</v>
      </c>
      <c r="G381" s="207">
        <f t="shared" si="67"/>
        <v>150000</v>
      </c>
      <c r="H381" s="208">
        <v>0.33</v>
      </c>
      <c r="I381" s="209">
        <f t="shared" si="68"/>
        <v>199500</v>
      </c>
      <c r="J381" s="210">
        <f t="shared" si="69"/>
        <v>199500</v>
      </c>
      <c r="K381" s="121"/>
      <c r="L381" s="211"/>
    </row>
    <row r="382" spans="2:13" x14ac:dyDescent="0.3">
      <c r="B382" s="225">
        <v>4.2</v>
      </c>
      <c r="C382" s="226" t="s">
        <v>20</v>
      </c>
      <c r="D382" s="228" t="s">
        <v>19</v>
      </c>
      <c r="E382" s="206">
        <v>1</v>
      </c>
      <c r="F382" s="207">
        <v>250000</v>
      </c>
      <c r="G382" s="207">
        <f t="shared" si="67"/>
        <v>250000</v>
      </c>
      <c r="H382" s="208">
        <v>0.33</v>
      </c>
      <c r="I382" s="209">
        <f t="shared" si="68"/>
        <v>332500</v>
      </c>
      <c r="J382" s="210">
        <f t="shared" si="69"/>
        <v>332500</v>
      </c>
      <c r="K382" s="121"/>
      <c r="L382" s="211"/>
    </row>
    <row r="383" spans="2:13" ht="79.95" customHeight="1" thickBot="1" x14ac:dyDescent="0.35">
      <c r="B383" s="229">
        <v>4.3</v>
      </c>
      <c r="C383" s="251" t="s">
        <v>245</v>
      </c>
      <c r="D383" s="231" t="s">
        <v>65</v>
      </c>
      <c r="E383" s="232">
        <v>12</v>
      </c>
      <c r="F383" s="233">
        <v>49760</v>
      </c>
      <c r="G383" s="233">
        <f t="shared" si="67"/>
        <v>597120</v>
      </c>
      <c r="H383" s="234">
        <v>0.33</v>
      </c>
      <c r="I383" s="235">
        <f t="shared" si="68"/>
        <v>66180.800000000003</v>
      </c>
      <c r="J383" s="236">
        <f t="shared" si="69"/>
        <v>794170</v>
      </c>
      <c r="K383" s="121"/>
      <c r="L383" s="211"/>
    </row>
    <row r="384" spans="2:13" x14ac:dyDescent="0.3">
      <c r="B384" s="121"/>
      <c r="C384" s="122"/>
      <c r="D384" s="123"/>
      <c r="E384" s="238"/>
      <c r="F384" s="239"/>
      <c r="G384" s="239"/>
      <c r="H384" s="252"/>
      <c r="I384" s="133"/>
      <c r="J384" s="133"/>
      <c r="K384" s="121"/>
      <c r="L384" s="211"/>
    </row>
    <row r="385" spans="2:16" s="119" customFormat="1" ht="18" customHeight="1" x14ac:dyDescent="0.3">
      <c r="B385" s="289"/>
      <c r="C385" s="118"/>
      <c r="D385" s="121"/>
      <c r="E385" s="124"/>
      <c r="F385" s="125"/>
      <c r="G385" s="125"/>
      <c r="H385" s="125"/>
      <c r="I385" s="125"/>
      <c r="J385" s="254"/>
      <c r="L385" s="211"/>
      <c r="M385" s="117"/>
      <c r="N385" s="126"/>
      <c r="O385" s="126"/>
      <c r="P385" s="126"/>
    </row>
    <row r="386" spans="2:16" x14ac:dyDescent="0.3">
      <c r="B386" s="139"/>
      <c r="C386" s="243"/>
      <c r="D386" s="520" t="s">
        <v>71</v>
      </c>
      <c r="E386" s="520"/>
      <c r="F386" s="520"/>
      <c r="G386" s="290">
        <f>SUM(G369:G384)</f>
        <v>10040512</v>
      </c>
      <c r="H386" s="245"/>
      <c r="I386" s="141"/>
      <c r="J386" s="290">
        <f>SUM(J369:J383)</f>
        <v>13353883</v>
      </c>
      <c r="L386" s="211"/>
      <c r="M386" s="142"/>
    </row>
    <row r="387" spans="2:16" x14ac:dyDescent="0.3">
      <c r="B387" s="139"/>
      <c r="C387" s="243"/>
      <c r="D387" s="135"/>
      <c r="E387" s="247"/>
      <c r="F387" s="135"/>
      <c r="G387" s="141"/>
      <c r="H387" s="245"/>
      <c r="I387" s="141"/>
      <c r="J387" s="141"/>
      <c r="L387" s="211"/>
    </row>
    <row r="388" spans="2:16" ht="16.2" thickBot="1" x14ac:dyDescent="0.35">
      <c r="B388" s="139"/>
      <c r="C388" s="243"/>
      <c r="D388" s="135"/>
      <c r="E388" s="247"/>
      <c r="F388" s="135"/>
      <c r="G388" s="141"/>
      <c r="H388" s="245"/>
      <c r="I388" s="141"/>
      <c r="J388" s="141"/>
      <c r="L388" s="211"/>
    </row>
    <row r="389" spans="2:16" ht="36" customHeight="1" thickBot="1" x14ac:dyDescent="0.35">
      <c r="B389" s="480" t="s">
        <v>79</v>
      </c>
      <c r="C389" s="481"/>
      <c r="D389" s="481"/>
      <c r="E389" s="481"/>
      <c r="F389" s="481"/>
      <c r="G389" s="481"/>
      <c r="H389" s="481"/>
      <c r="I389" s="481"/>
      <c r="J389" s="482"/>
      <c r="L389" s="211"/>
    </row>
    <row r="390" spans="2:16" s="119" customFormat="1" ht="44.4" customHeight="1" thickBot="1" x14ac:dyDescent="0.35">
      <c r="B390" s="187" t="s">
        <v>6</v>
      </c>
      <c r="C390" s="188" t="s">
        <v>7</v>
      </c>
      <c r="D390" s="189" t="s">
        <v>8</v>
      </c>
      <c r="E390" s="190" t="s">
        <v>9</v>
      </c>
      <c r="F390" s="191" t="s">
        <v>10</v>
      </c>
      <c r="G390" s="192" t="s">
        <v>11</v>
      </c>
      <c r="H390" s="192" t="s">
        <v>12</v>
      </c>
      <c r="I390" s="192" t="s">
        <v>13</v>
      </c>
      <c r="J390" s="193" t="s">
        <v>14</v>
      </c>
      <c r="L390" s="211"/>
      <c r="M390" s="117"/>
    </row>
    <row r="391" spans="2:16" s="261" customFormat="1" ht="18.75" customHeight="1" x14ac:dyDescent="0.3">
      <c r="B391" s="257">
        <v>1</v>
      </c>
      <c r="C391" s="258" t="s">
        <v>15</v>
      </c>
      <c r="D391" s="197"/>
      <c r="E391" s="198"/>
      <c r="F391" s="199"/>
      <c r="G391" s="199"/>
      <c r="H391" s="197"/>
      <c r="I391" s="259"/>
      <c r="J391" s="260"/>
      <c r="L391" s="223"/>
      <c r="M391" s="249"/>
    </row>
    <row r="392" spans="2:16" ht="31.2" x14ac:dyDescent="0.3">
      <c r="B392" s="203">
        <v>1.1000000000000001</v>
      </c>
      <c r="C392" s="226" t="s">
        <v>234</v>
      </c>
      <c r="D392" s="205" t="s">
        <v>39</v>
      </c>
      <c r="E392" s="2">
        <v>11.2</v>
      </c>
      <c r="F392" s="207">
        <v>20883</v>
      </c>
      <c r="G392" s="207">
        <f>+ROUND(E392*F392,0)</f>
        <v>233890</v>
      </c>
      <c r="H392" s="208">
        <v>0.33</v>
      </c>
      <c r="I392" s="209">
        <f>(F392*(1+H392))</f>
        <v>27774.390000000003</v>
      </c>
      <c r="J392" s="210">
        <f t="shared" ref="J392:J424" si="70">ROUND(I392*E392,0)</f>
        <v>311073</v>
      </c>
      <c r="L392" s="211"/>
    </row>
    <row r="393" spans="2:16" ht="33.75" customHeight="1" x14ac:dyDescent="0.3">
      <c r="B393" s="203">
        <v>1.2</v>
      </c>
      <c r="C393" s="226" t="s">
        <v>287</v>
      </c>
      <c r="D393" s="205" t="s">
        <v>40</v>
      </c>
      <c r="E393" s="2">
        <v>23.3</v>
      </c>
      <c r="F393" s="207">
        <v>7248</v>
      </c>
      <c r="G393" s="207">
        <f t="shared" ref="G393:G424" si="71">+ROUND(E393*F393,0)</f>
        <v>168878</v>
      </c>
      <c r="H393" s="208">
        <v>0.33</v>
      </c>
      <c r="I393" s="209">
        <f t="shared" ref="I393:I424" si="72">(F393*(1+H393))</f>
        <v>9639.84</v>
      </c>
      <c r="J393" s="210">
        <f t="shared" si="70"/>
        <v>224608</v>
      </c>
      <c r="L393" s="211"/>
    </row>
    <row r="394" spans="2:16" ht="33.75" customHeight="1" x14ac:dyDescent="0.3">
      <c r="B394" s="203">
        <v>1.3</v>
      </c>
      <c r="C394" s="226" t="s">
        <v>298</v>
      </c>
      <c r="D394" s="205" t="s">
        <v>80</v>
      </c>
      <c r="E394" s="2">
        <v>20.010000000000002</v>
      </c>
      <c r="F394" s="207">
        <v>66399</v>
      </c>
      <c r="G394" s="207">
        <f t="shared" si="71"/>
        <v>1328644</v>
      </c>
      <c r="H394" s="208">
        <v>0.33</v>
      </c>
      <c r="I394" s="209">
        <f t="shared" si="72"/>
        <v>88310.67</v>
      </c>
      <c r="J394" s="210">
        <f t="shared" si="70"/>
        <v>1767097</v>
      </c>
      <c r="L394" s="211"/>
    </row>
    <row r="395" spans="2:16" ht="33" customHeight="1" x14ac:dyDescent="0.3">
      <c r="B395" s="203">
        <v>1.4</v>
      </c>
      <c r="C395" s="226" t="s">
        <v>299</v>
      </c>
      <c r="D395" s="205" t="s">
        <v>19</v>
      </c>
      <c r="E395" s="2">
        <v>2</v>
      </c>
      <c r="F395" s="207">
        <v>22773</v>
      </c>
      <c r="G395" s="207">
        <f t="shared" si="71"/>
        <v>45546</v>
      </c>
      <c r="H395" s="208">
        <v>0.33</v>
      </c>
      <c r="I395" s="209">
        <f t="shared" si="72"/>
        <v>30288.09</v>
      </c>
      <c r="J395" s="210">
        <f t="shared" si="70"/>
        <v>60576</v>
      </c>
      <c r="L395" s="211"/>
    </row>
    <row r="396" spans="2:16" ht="36" customHeight="1" x14ac:dyDescent="0.3">
      <c r="B396" s="203">
        <v>1.5</v>
      </c>
      <c r="C396" s="226" t="s">
        <v>300</v>
      </c>
      <c r="D396" s="205" t="s">
        <v>19</v>
      </c>
      <c r="E396" s="2">
        <v>1</v>
      </c>
      <c r="F396" s="207">
        <v>34159</v>
      </c>
      <c r="G396" s="207">
        <f t="shared" si="71"/>
        <v>34159</v>
      </c>
      <c r="H396" s="208">
        <v>0.33</v>
      </c>
      <c r="I396" s="209">
        <f t="shared" si="72"/>
        <v>45431.47</v>
      </c>
      <c r="J396" s="210">
        <f t="shared" si="70"/>
        <v>45431</v>
      </c>
      <c r="L396" s="211"/>
    </row>
    <row r="397" spans="2:16" ht="22.5" customHeight="1" x14ac:dyDescent="0.3">
      <c r="B397" s="203">
        <v>1.6</v>
      </c>
      <c r="C397" s="226" t="s">
        <v>258</v>
      </c>
      <c r="D397" s="205" t="s">
        <v>80</v>
      </c>
      <c r="E397" s="2">
        <v>2.46</v>
      </c>
      <c r="F397" s="207">
        <v>14495</v>
      </c>
      <c r="G397" s="207">
        <f t="shared" si="71"/>
        <v>35658</v>
      </c>
      <c r="H397" s="208">
        <v>0.33</v>
      </c>
      <c r="I397" s="209">
        <f t="shared" si="72"/>
        <v>19278.350000000002</v>
      </c>
      <c r="J397" s="210">
        <f t="shared" si="70"/>
        <v>47425</v>
      </c>
      <c r="L397" s="211"/>
    </row>
    <row r="398" spans="2:16" s="202" customFormat="1" ht="14.25" customHeight="1" x14ac:dyDescent="0.3">
      <c r="B398" s="262">
        <v>2</v>
      </c>
      <c r="C398" s="214" t="s">
        <v>64</v>
      </c>
      <c r="D398" s="215"/>
      <c r="E398" s="291"/>
      <c r="F398" s="217"/>
      <c r="G398" s="218"/>
      <c r="H398" s="219"/>
      <c r="I398" s="220"/>
      <c r="J398" s="221"/>
      <c r="L398" s="223"/>
      <c r="M398" s="249"/>
    </row>
    <row r="399" spans="2:16" ht="31.2" x14ac:dyDescent="0.3">
      <c r="B399" s="203">
        <v>2.1</v>
      </c>
      <c r="C399" s="226" t="s">
        <v>284</v>
      </c>
      <c r="D399" s="205" t="s">
        <v>65</v>
      </c>
      <c r="E399" s="2">
        <v>8.5</v>
      </c>
      <c r="F399" s="207">
        <v>58785</v>
      </c>
      <c r="G399" s="207">
        <f t="shared" si="71"/>
        <v>499673</v>
      </c>
      <c r="H399" s="208">
        <v>0.33</v>
      </c>
      <c r="I399" s="209">
        <f t="shared" si="72"/>
        <v>78184.05</v>
      </c>
      <c r="J399" s="210">
        <f t="shared" si="70"/>
        <v>664564</v>
      </c>
      <c r="L399" s="211"/>
    </row>
    <row r="400" spans="2:16" ht="31.2" x14ac:dyDescent="0.3">
      <c r="B400" s="203">
        <v>2.2000000000000002</v>
      </c>
      <c r="C400" s="226" t="s">
        <v>285</v>
      </c>
      <c r="D400" s="205" t="s">
        <v>65</v>
      </c>
      <c r="E400" s="2">
        <v>5.26</v>
      </c>
      <c r="F400" s="207">
        <v>109920</v>
      </c>
      <c r="G400" s="207">
        <f t="shared" si="71"/>
        <v>578179</v>
      </c>
      <c r="H400" s="208">
        <v>0.33</v>
      </c>
      <c r="I400" s="209">
        <f t="shared" si="72"/>
        <v>146193.60000000001</v>
      </c>
      <c r="J400" s="210">
        <f t="shared" si="70"/>
        <v>768978</v>
      </c>
      <c r="L400" s="211"/>
    </row>
    <row r="401" spans="1:29" s="202" customFormat="1" x14ac:dyDescent="0.3">
      <c r="B401" s="213">
        <v>3</v>
      </c>
      <c r="C401" s="214" t="s">
        <v>81</v>
      </c>
      <c r="D401" s="215"/>
      <c r="E401" s="291"/>
      <c r="F401" s="217"/>
      <c r="G401" s="218"/>
      <c r="H401" s="219"/>
      <c r="I401" s="220"/>
      <c r="J401" s="221"/>
      <c r="L401" s="223"/>
      <c r="M401" s="249"/>
    </row>
    <row r="402" spans="1:29" ht="32.25" customHeight="1" x14ac:dyDescent="0.3">
      <c r="B402" s="225">
        <v>3.1</v>
      </c>
      <c r="C402" s="226" t="s">
        <v>301</v>
      </c>
      <c r="D402" s="205" t="s">
        <v>65</v>
      </c>
      <c r="E402" s="2">
        <v>0.74</v>
      </c>
      <c r="F402" s="207">
        <v>487233</v>
      </c>
      <c r="G402" s="207">
        <f t="shared" si="71"/>
        <v>360552</v>
      </c>
      <c r="H402" s="208">
        <v>0.33</v>
      </c>
      <c r="I402" s="209">
        <f t="shared" si="72"/>
        <v>648019.89</v>
      </c>
      <c r="J402" s="210">
        <f t="shared" si="70"/>
        <v>479535</v>
      </c>
      <c r="L402" s="211"/>
    </row>
    <row r="403" spans="1:29" s="129" customFormat="1" ht="33.75" customHeight="1" x14ac:dyDescent="0.3">
      <c r="B403" s="225">
        <v>3.2</v>
      </c>
      <c r="C403" s="274" t="s">
        <v>302</v>
      </c>
      <c r="D403" s="292" t="s">
        <v>39</v>
      </c>
      <c r="E403" s="2">
        <v>8.1999999999999993</v>
      </c>
      <c r="F403" s="207">
        <v>43791</v>
      </c>
      <c r="G403" s="207">
        <f t="shared" si="71"/>
        <v>359086</v>
      </c>
      <c r="H403" s="208">
        <v>0.33</v>
      </c>
      <c r="I403" s="209">
        <f t="shared" si="72"/>
        <v>58242.030000000006</v>
      </c>
      <c r="J403" s="210">
        <f t="shared" si="70"/>
        <v>477585</v>
      </c>
      <c r="L403" s="211"/>
      <c r="M403" s="117"/>
    </row>
    <row r="404" spans="1:29" s="278" customFormat="1" ht="19.5" customHeight="1" x14ac:dyDescent="0.3">
      <c r="A404" s="261"/>
      <c r="B404" s="213">
        <v>4</v>
      </c>
      <c r="C404" s="276" t="s">
        <v>82</v>
      </c>
      <c r="D404" s="215"/>
      <c r="E404" s="291"/>
      <c r="F404" s="217"/>
      <c r="G404" s="218"/>
      <c r="H404" s="219"/>
      <c r="I404" s="220"/>
      <c r="J404" s="221"/>
      <c r="K404" s="261"/>
      <c r="L404" s="223"/>
      <c r="M404" s="249"/>
      <c r="N404" s="261"/>
      <c r="O404" s="261"/>
      <c r="P404" s="261"/>
      <c r="Q404" s="261"/>
      <c r="R404" s="261"/>
      <c r="S404" s="261"/>
      <c r="T404" s="261"/>
      <c r="U404" s="261"/>
      <c r="V404" s="261"/>
      <c r="W404" s="261"/>
      <c r="X404" s="261"/>
      <c r="Y404" s="261"/>
      <c r="Z404" s="261"/>
      <c r="AA404" s="261"/>
      <c r="AB404" s="261"/>
      <c r="AC404" s="261"/>
    </row>
    <row r="405" spans="1:29" s="129" customFormat="1" ht="51" customHeight="1" x14ac:dyDescent="0.3">
      <c r="B405" s="225">
        <v>4.0999999999999996</v>
      </c>
      <c r="C405" s="274" t="s">
        <v>303</v>
      </c>
      <c r="D405" s="292" t="s">
        <v>39</v>
      </c>
      <c r="E405" s="2">
        <v>8.1999999999999993</v>
      </c>
      <c r="F405" s="207">
        <v>72252</v>
      </c>
      <c r="G405" s="207">
        <f t="shared" si="71"/>
        <v>592466</v>
      </c>
      <c r="H405" s="208">
        <v>0.33</v>
      </c>
      <c r="I405" s="209">
        <f t="shared" si="72"/>
        <v>96095.16</v>
      </c>
      <c r="J405" s="210">
        <f t="shared" si="70"/>
        <v>787980</v>
      </c>
      <c r="L405" s="211"/>
      <c r="M405" s="117"/>
    </row>
    <row r="406" spans="1:29" s="129" customFormat="1" ht="39" customHeight="1" x14ac:dyDescent="0.3">
      <c r="B406" s="225">
        <v>4.2</v>
      </c>
      <c r="C406" s="274" t="s">
        <v>296</v>
      </c>
      <c r="D406" s="292" t="s">
        <v>83</v>
      </c>
      <c r="E406" s="2">
        <v>105.66</v>
      </c>
      <c r="F406" s="207">
        <v>9582</v>
      </c>
      <c r="G406" s="207">
        <f t="shared" si="71"/>
        <v>1012434</v>
      </c>
      <c r="H406" s="208">
        <v>0.33</v>
      </c>
      <c r="I406" s="209">
        <f t="shared" si="72"/>
        <v>12744.060000000001</v>
      </c>
      <c r="J406" s="210">
        <f t="shared" si="70"/>
        <v>1346537</v>
      </c>
      <c r="L406" s="211"/>
      <c r="M406" s="117"/>
    </row>
    <row r="407" spans="1:29" s="129" customFormat="1" ht="38.4" customHeight="1" x14ac:dyDescent="0.3">
      <c r="B407" s="225">
        <v>4.3</v>
      </c>
      <c r="C407" s="274" t="s">
        <v>304</v>
      </c>
      <c r="D407" s="205" t="s">
        <v>40</v>
      </c>
      <c r="E407" s="2">
        <v>17.55</v>
      </c>
      <c r="F407" s="207">
        <v>32633</v>
      </c>
      <c r="G407" s="207">
        <f t="shared" si="71"/>
        <v>572709</v>
      </c>
      <c r="H407" s="208">
        <v>0.33</v>
      </c>
      <c r="I407" s="209">
        <f t="shared" si="72"/>
        <v>43401.89</v>
      </c>
      <c r="J407" s="210">
        <f t="shared" si="70"/>
        <v>761703</v>
      </c>
      <c r="L407" s="211"/>
      <c r="M407" s="117"/>
    </row>
    <row r="408" spans="1:29" s="249" customFormat="1" ht="21" customHeight="1" x14ac:dyDescent="0.3">
      <c r="A408" s="261"/>
      <c r="B408" s="213">
        <v>5</v>
      </c>
      <c r="C408" s="276" t="s">
        <v>27</v>
      </c>
      <c r="D408" s="215"/>
      <c r="E408" s="291"/>
      <c r="F408" s="217"/>
      <c r="G408" s="218"/>
      <c r="H408" s="219"/>
      <c r="I408" s="220"/>
      <c r="J408" s="221"/>
      <c r="K408" s="261"/>
      <c r="L408" s="223"/>
      <c r="N408" s="261"/>
      <c r="O408" s="261"/>
      <c r="P408" s="261"/>
      <c r="Q408" s="261"/>
      <c r="R408" s="261"/>
      <c r="S408" s="261"/>
      <c r="T408" s="261"/>
      <c r="U408" s="261"/>
      <c r="V408" s="261"/>
      <c r="W408" s="261"/>
      <c r="X408" s="261"/>
      <c r="Y408" s="261"/>
      <c r="Z408" s="261"/>
      <c r="AA408" s="261"/>
      <c r="AB408" s="261"/>
      <c r="AC408" s="261"/>
    </row>
    <row r="409" spans="1:29" ht="36" customHeight="1" x14ac:dyDescent="0.3">
      <c r="B409" s="225">
        <v>5.0999999999999996</v>
      </c>
      <c r="C409" s="226" t="s">
        <v>305</v>
      </c>
      <c r="D409" s="205" t="s">
        <v>40</v>
      </c>
      <c r="E409" s="2">
        <v>17.55</v>
      </c>
      <c r="F409" s="207">
        <v>123208</v>
      </c>
      <c r="G409" s="207">
        <f t="shared" si="71"/>
        <v>2162300</v>
      </c>
      <c r="H409" s="208">
        <v>0.33</v>
      </c>
      <c r="I409" s="209">
        <f t="shared" si="72"/>
        <v>163866.64000000001</v>
      </c>
      <c r="J409" s="210">
        <f t="shared" si="70"/>
        <v>2875860</v>
      </c>
      <c r="L409" s="211"/>
    </row>
    <row r="410" spans="1:29" ht="48" customHeight="1" x14ac:dyDescent="0.3">
      <c r="B410" s="225">
        <v>5.2</v>
      </c>
      <c r="C410" s="226" t="s">
        <v>269</v>
      </c>
      <c r="D410" s="205" t="s">
        <v>40</v>
      </c>
      <c r="E410" s="2">
        <v>2.46</v>
      </c>
      <c r="F410" s="207">
        <v>87143</v>
      </c>
      <c r="G410" s="207">
        <f t="shared" si="71"/>
        <v>214372</v>
      </c>
      <c r="H410" s="208">
        <v>0.33</v>
      </c>
      <c r="I410" s="209">
        <f t="shared" si="72"/>
        <v>115900.19</v>
      </c>
      <c r="J410" s="210">
        <f t="shared" si="70"/>
        <v>285114</v>
      </c>
      <c r="L410" s="211"/>
    </row>
    <row r="411" spans="1:29" ht="46.8" x14ac:dyDescent="0.3">
      <c r="B411" s="225">
        <v>5.3</v>
      </c>
      <c r="C411" s="226" t="s">
        <v>306</v>
      </c>
      <c r="D411" s="205" t="s">
        <v>39</v>
      </c>
      <c r="E411" s="2">
        <v>8.1999999999999993</v>
      </c>
      <c r="F411" s="207">
        <v>24437</v>
      </c>
      <c r="G411" s="207">
        <f t="shared" si="71"/>
        <v>200383</v>
      </c>
      <c r="H411" s="208">
        <v>0.33</v>
      </c>
      <c r="I411" s="209">
        <f t="shared" si="72"/>
        <v>32501.210000000003</v>
      </c>
      <c r="J411" s="210">
        <f t="shared" si="70"/>
        <v>266510</v>
      </c>
      <c r="L411" s="211"/>
    </row>
    <row r="412" spans="1:29" s="249" customFormat="1" ht="18.75" customHeight="1" x14ac:dyDescent="0.3">
      <c r="A412" s="202"/>
      <c r="B412" s="213">
        <v>6</v>
      </c>
      <c r="C412" s="214" t="s">
        <v>84</v>
      </c>
      <c r="D412" s="215"/>
      <c r="E412" s="291"/>
      <c r="F412" s="217"/>
      <c r="G412" s="218"/>
      <c r="H412" s="219"/>
      <c r="I412" s="220"/>
      <c r="J412" s="221"/>
      <c r="L412" s="223"/>
    </row>
    <row r="413" spans="1:29" ht="34.5" customHeight="1" x14ac:dyDescent="0.3">
      <c r="B413" s="225">
        <v>6.1</v>
      </c>
      <c r="C413" s="226" t="s">
        <v>297</v>
      </c>
      <c r="D413" s="205" t="s">
        <v>40</v>
      </c>
      <c r="E413" s="2">
        <v>46.6</v>
      </c>
      <c r="F413" s="207">
        <v>39103</v>
      </c>
      <c r="G413" s="207">
        <f t="shared" si="71"/>
        <v>1822200</v>
      </c>
      <c r="H413" s="208">
        <v>0.33</v>
      </c>
      <c r="I413" s="209">
        <f t="shared" si="72"/>
        <v>52006.990000000005</v>
      </c>
      <c r="J413" s="210">
        <f t="shared" si="70"/>
        <v>2423526</v>
      </c>
      <c r="K413" s="293"/>
      <c r="L413" s="211"/>
      <c r="N413" s="293"/>
      <c r="O413" s="293"/>
      <c r="P413" s="293"/>
      <c r="Q413" s="293"/>
      <c r="R413" s="293"/>
      <c r="S413" s="293"/>
      <c r="T413" s="293"/>
      <c r="U413" s="293"/>
      <c r="V413" s="293"/>
      <c r="W413" s="293"/>
      <c r="X413" s="293"/>
      <c r="Y413" s="293"/>
      <c r="Z413" s="293"/>
      <c r="AA413" s="293"/>
      <c r="AB413" s="293"/>
      <c r="AC413" s="293"/>
    </row>
    <row r="414" spans="1:29" ht="27.75" customHeight="1" x14ac:dyDescent="0.3">
      <c r="B414" s="294">
        <v>6.2</v>
      </c>
      <c r="C414" s="295" t="s">
        <v>240</v>
      </c>
      <c r="D414" s="296" t="s">
        <v>40</v>
      </c>
      <c r="E414" s="3">
        <v>23.3</v>
      </c>
      <c r="F414" s="297">
        <v>58969</v>
      </c>
      <c r="G414" s="207">
        <f t="shared" si="71"/>
        <v>1373978</v>
      </c>
      <c r="H414" s="208">
        <v>0.33</v>
      </c>
      <c r="I414" s="209">
        <f t="shared" si="72"/>
        <v>78428.77</v>
      </c>
      <c r="J414" s="210">
        <f t="shared" si="70"/>
        <v>1827390</v>
      </c>
      <c r="K414" s="293"/>
      <c r="L414" s="211"/>
      <c r="N414" s="293"/>
      <c r="O414" s="293"/>
      <c r="P414" s="293"/>
      <c r="Q414" s="293"/>
      <c r="R414" s="293"/>
      <c r="S414" s="293"/>
      <c r="T414" s="293"/>
      <c r="U414" s="293"/>
      <c r="V414" s="293"/>
      <c r="W414" s="293"/>
      <c r="X414" s="293"/>
      <c r="Y414" s="293"/>
      <c r="Z414" s="293"/>
      <c r="AA414" s="293"/>
      <c r="AB414" s="293"/>
      <c r="AC414" s="293"/>
    </row>
    <row r="415" spans="1:29" s="249" customFormat="1" ht="19.2" customHeight="1" x14ac:dyDescent="0.3">
      <c r="A415" s="261"/>
      <c r="B415" s="213">
        <v>7</v>
      </c>
      <c r="C415" s="276" t="s">
        <v>85</v>
      </c>
      <c r="D415" s="215"/>
      <c r="E415" s="291"/>
      <c r="F415" s="217"/>
      <c r="G415" s="218"/>
      <c r="H415" s="219"/>
      <c r="I415" s="220"/>
      <c r="J415" s="221"/>
      <c r="L415" s="223"/>
    </row>
    <row r="416" spans="1:29" ht="49.95" customHeight="1" x14ac:dyDescent="0.3">
      <c r="B416" s="225">
        <v>7.1</v>
      </c>
      <c r="C416" s="226" t="s">
        <v>272</v>
      </c>
      <c r="D416" s="205" t="s">
        <v>40</v>
      </c>
      <c r="E416" s="2">
        <v>114.12</v>
      </c>
      <c r="F416" s="207">
        <v>31341</v>
      </c>
      <c r="G416" s="207">
        <f t="shared" si="71"/>
        <v>3576635</v>
      </c>
      <c r="H416" s="208">
        <v>0.33</v>
      </c>
      <c r="I416" s="209">
        <f t="shared" si="72"/>
        <v>41683.53</v>
      </c>
      <c r="J416" s="210">
        <f t="shared" si="70"/>
        <v>4756924</v>
      </c>
      <c r="L416" s="211"/>
    </row>
    <row r="417" spans="1:29" ht="24" customHeight="1" x14ac:dyDescent="0.3">
      <c r="B417" s="225">
        <v>7.2</v>
      </c>
      <c r="C417" s="295" t="s">
        <v>273</v>
      </c>
      <c r="D417" s="296" t="s">
        <v>80</v>
      </c>
      <c r="E417" s="3">
        <v>3.6</v>
      </c>
      <c r="F417" s="277">
        <v>27454</v>
      </c>
      <c r="G417" s="207">
        <f t="shared" si="71"/>
        <v>98834</v>
      </c>
      <c r="H417" s="208">
        <v>0.33</v>
      </c>
      <c r="I417" s="209">
        <f t="shared" si="72"/>
        <v>36513.82</v>
      </c>
      <c r="J417" s="210">
        <f t="shared" si="70"/>
        <v>131450</v>
      </c>
      <c r="L417" s="211"/>
    </row>
    <row r="418" spans="1:29" ht="33.6" customHeight="1" x14ac:dyDescent="0.3">
      <c r="B418" s="225">
        <v>7.3</v>
      </c>
      <c r="C418" s="298" t="s">
        <v>274</v>
      </c>
      <c r="D418" s="296" t="s">
        <v>80</v>
      </c>
      <c r="E418" s="3">
        <v>7.2</v>
      </c>
      <c r="F418" s="277">
        <v>19735</v>
      </c>
      <c r="G418" s="207">
        <f t="shared" si="71"/>
        <v>142092</v>
      </c>
      <c r="H418" s="208">
        <v>0.33</v>
      </c>
      <c r="I418" s="209">
        <f t="shared" si="72"/>
        <v>26247.550000000003</v>
      </c>
      <c r="J418" s="210">
        <f t="shared" si="70"/>
        <v>188982</v>
      </c>
      <c r="L418" s="211"/>
    </row>
    <row r="419" spans="1:29" s="278" customFormat="1" ht="17.25" customHeight="1" x14ac:dyDescent="0.3">
      <c r="A419" s="202"/>
      <c r="B419" s="213">
        <v>8</v>
      </c>
      <c r="C419" s="214" t="s">
        <v>86</v>
      </c>
      <c r="D419" s="215"/>
      <c r="E419" s="291"/>
      <c r="F419" s="217"/>
      <c r="G419" s="218"/>
      <c r="H419" s="219"/>
      <c r="I419" s="220"/>
      <c r="J419" s="221"/>
      <c r="K419" s="202"/>
      <c r="L419" s="223"/>
      <c r="M419" s="249"/>
      <c r="N419" s="202"/>
      <c r="O419" s="202"/>
      <c r="P419" s="202"/>
      <c r="Q419" s="202"/>
      <c r="R419" s="202"/>
      <c r="S419" s="202"/>
      <c r="T419" s="202"/>
      <c r="U419" s="202"/>
      <c r="V419" s="202"/>
      <c r="W419" s="202"/>
      <c r="X419" s="202"/>
      <c r="Y419" s="202"/>
      <c r="Z419" s="202"/>
      <c r="AA419" s="202"/>
      <c r="AB419" s="202"/>
      <c r="AC419" s="202"/>
    </row>
    <row r="420" spans="1:29" s="299" customFormat="1" ht="54" customHeight="1" x14ac:dyDescent="0.3">
      <c r="B420" s="225">
        <v>8.1</v>
      </c>
      <c r="C420" s="295" t="s">
        <v>307</v>
      </c>
      <c r="D420" s="296" t="s">
        <v>19</v>
      </c>
      <c r="E420" s="3">
        <v>2</v>
      </c>
      <c r="F420" s="277">
        <v>137293</v>
      </c>
      <c r="G420" s="207">
        <f t="shared" si="71"/>
        <v>274586</v>
      </c>
      <c r="H420" s="208">
        <v>0.33</v>
      </c>
      <c r="I420" s="209">
        <f t="shared" si="72"/>
        <v>182599.69</v>
      </c>
      <c r="J420" s="210">
        <f t="shared" si="70"/>
        <v>365199</v>
      </c>
      <c r="L420" s="211"/>
      <c r="M420" s="117"/>
    </row>
    <row r="421" spans="1:29" s="299" customFormat="1" ht="37.5" customHeight="1" x14ac:dyDescent="0.3">
      <c r="B421" s="225">
        <v>8.1999999999999993</v>
      </c>
      <c r="C421" s="295" t="s">
        <v>308</v>
      </c>
      <c r="D421" s="296" t="s">
        <v>19</v>
      </c>
      <c r="E421" s="3">
        <v>1</v>
      </c>
      <c r="F421" s="277">
        <v>134338</v>
      </c>
      <c r="G421" s="207">
        <f t="shared" si="71"/>
        <v>134338</v>
      </c>
      <c r="H421" s="208">
        <v>0.33</v>
      </c>
      <c r="I421" s="209">
        <f t="shared" si="72"/>
        <v>178669.54</v>
      </c>
      <c r="J421" s="210">
        <f t="shared" si="70"/>
        <v>178670</v>
      </c>
      <c r="L421" s="211"/>
      <c r="M421" s="117"/>
    </row>
    <row r="422" spans="1:29" s="202" customFormat="1" x14ac:dyDescent="0.3">
      <c r="B422" s="213">
        <v>9</v>
      </c>
      <c r="C422" s="214" t="s">
        <v>17</v>
      </c>
      <c r="D422" s="215"/>
      <c r="E422" s="291"/>
      <c r="F422" s="217"/>
      <c r="G422" s="218"/>
      <c r="H422" s="219"/>
      <c r="I422" s="220"/>
      <c r="J422" s="221"/>
      <c r="L422" s="223"/>
      <c r="M422" s="249"/>
    </row>
    <row r="423" spans="1:29" x14ac:dyDescent="0.3">
      <c r="B423" s="225">
        <v>9.1</v>
      </c>
      <c r="C423" s="226" t="s">
        <v>18</v>
      </c>
      <c r="D423" s="228" t="s">
        <v>19</v>
      </c>
      <c r="E423" s="300">
        <v>1</v>
      </c>
      <c r="F423" s="207">
        <v>150000</v>
      </c>
      <c r="G423" s="207">
        <f t="shared" si="71"/>
        <v>150000</v>
      </c>
      <c r="H423" s="208">
        <v>0.33</v>
      </c>
      <c r="I423" s="209">
        <f t="shared" si="72"/>
        <v>199500</v>
      </c>
      <c r="J423" s="210">
        <f t="shared" si="70"/>
        <v>199500</v>
      </c>
      <c r="L423" s="211"/>
    </row>
    <row r="424" spans="1:29" ht="82.95" customHeight="1" thickBot="1" x14ac:dyDescent="0.35">
      <c r="B424" s="229">
        <v>9.3000000000000007</v>
      </c>
      <c r="C424" s="251" t="s">
        <v>245</v>
      </c>
      <c r="D424" s="231" t="s">
        <v>65</v>
      </c>
      <c r="E424" s="301">
        <v>18</v>
      </c>
      <c r="F424" s="233">
        <v>49760</v>
      </c>
      <c r="G424" s="233">
        <f t="shared" si="71"/>
        <v>895680</v>
      </c>
      <c r="H424" s="234">
        <v>0.33</v>
      </c>
      <c r="I424" s="235">
        <f t="shared" si="72"/>
        <v>66180.800000000003</v>
      </c>
      <c r="J424" s="236">
        <f t="shared" si="70"/>
        <v>1191254</v>
      </c>
      <c r="L424" s="211"/>
    </row>
    <row r="425" spans="1:29" x14ac:dyDescent="0.3">
      <c r="B425" s="121"/>
      <c r="C425" s="122"/>
      <c r="D425" s="123"/>
      <c r="E425" s="238"/>
      <c r="F425" s="239"/>
      <c r="G425" s="239"/>
      <c r="H425" s="252"/>
      <c r="I425" s="133"/>
      <c r="J425" s="133"/>
      <c r="K425" s="121"/>
      <c r="L425" s="211"/>
    </row>
    <row r="426" spans="1:29" s="119" customFormat="1" ht="18" customHeight="1" x14ac:dyDescent="0.3">
      <c r="B426" s="253"/>
      <c r="C426" s="118"/>
      <c r="D426" s="121"/>
      <c r="E426" s="124"/>
      <c r="F426" s="125"/>
      <c r="G426" s="125"/>
      <c r="H426" s="125"/>
      <c r="I426" s="125"/>
      <c r="J426" s="254"/>
      <c r="L426" s="211"/>
      <c r="M426" s="117"/>
      <c r="N426" s="126"/>
      <c r="O426" s="126"/>
      <c r="P426" s="126"/>
    </row>
    <row r="427" spans="1:29" x14ac:dyDescent="0.3">
      <c r="B427" s="242"/>
      <c r="C427" s="243"/>
      <c r="D427" s="483" t="s">
        <v>73</v>
      </c>
      <c r="E427" s="483"/>
      <c r="F427" s="483"/>
      <c r="G427" s="255">
        <f>SUM(G390:G425)</f>
        <v>16867272</v>
      </c>
      <c r="H427" s="245"/>
      <c r="I427" s="141"/>
      <c r="J427" s="256">
        <f>SUM(J390:J424)</f>
        <v>22433471</v>
      </c>
      <c r="L427" s="211"/>
      <c r="M427" s="142"/>
    </row>
    <row r="428" spans="1:29" x14ac:dyDescent="0.3">
      <c r="B428" s="139"/>
      <c r="C428" s="243"/>
      <c r="D428" s="135"/>
      <c r="E428" s="247"/>
      <c r="F428" s="135"/>
      <c r="G428" s="141"/>
      <c r="H428" s="245"/>
      <c r="I428" s="141"/>
      <c r="J428" s="141"/>
      <c r="L428" s="211"/>
    </row>
    <row r="429" spans="1:29" ht="16.2" thickBot="1" x14ac:dyDescent="0.35">
      <c r="B429" s="139"/>
      <c r="C429" s="243"/>
      <c r="D429" s="135"/>
      <c r="E429" s="247"/>
      <c r="F429" s="135"/>
      <c r="G429" s="141"/>
      <c r="H429" s="245"/>
      <c r="I429" s="141"/>
      <c r="J429" s="141"/>
      <c r="L429" s="211"/>
    </row>
    <row r="430" spans="1:29" ht="36" customHeight="1" thickBot="1" x14ac:dyDescent="0.35">
      <c r="B430" s="480" t="s">
        <v>88</v>
      </c>
      <c r="C430" s="481"/>
      <c r="D430" s="481"/>
      <c r="E430" s="481"/>
      <c r="F430" s="481"/>
      <c r="G430" s="481"/>
      <c r="H430" s="481"/>
      <c r="I430" s="481"/>
      <c r="J430" s="482"/>
      <c r="L430" s="211"/>
    </row>
    <row r="431" spans="1:29" s="119" customFormat="1" ht="42" customHeight="1" thickBot="1" x14ac:dyDescent="0.35">
      <c r="B431" s="187" t="s">
        <v>6</v>
      </c>
      <c r="C431" s="188" t="s">
        <v>7</v>
      </c>
      <c r="D431" s="189" t="s">
        <v>8</v>
      </c>
      <c r="E431" s="190" t="s">
        <v>9</v>
      </c>
      <c r="F431" s="191" t="s">
        <v>10</v>
      </c>
      <c r="G431" s="192" t="s">
        <v>11</v>
      </c>
      <c r="H431" s="192" t="s">
        <v>12</v>
      </c>
      <c r="I431" s="192" t="s">
        <v>13</v>
      </c>
      <c r="J431" s="193" t="s">
        <v>14</v>
      </c>
      <c r="L431" s="211"/>
      <c r="M431" s="117"/>
    </row>
    <row r="432" spans="1:29" s="202" customFormat="1" ht="14.25" customHeight="1" x14ac:dyDescent="0.3">
      <c r="B432" s="195">
        <v>1</v>
      </c>
      <c r="C432" s="248" t="s">
        <v>15</v>
      </c>
      <c r="D432" s="197"/>
      <c r="E432" s="198"/>
      <c r="F432" s="199"/>
      <c r="G432" s="199"/>
      <c r="H432" s="286"/>
      <c r="I432" s="287"/>
      <c r="J432" s="288"/>
      <c r="L432" s="223"/>
      <c r="M432" s="249"/>
    </row>
    <row r="433" spans="2:13" ht="33.6" customHeight="1" x14ac:dyDescent="0.3">
      <c r="B433" s="203">
        <v>1.1000000000000001</v>
      </c>
      <c r="C433" s="226" t="s">
        <v>231</v>
      </c>
      <c r="D433" s="205" t="s">
        <v>40</v>
      </c>
      <c r="E433" s="206">
        <v>255.21</v>
      </c>
      <c r="F433" s="207">
        <v>10813</v>
      </c>
      <c r="G433" s="207">
        <f>+ROUND(E433*F433,0)</f>
        <v>2759586</v>
      </c>
      <c r="H433" s="208">
        <v>0.33</v>
      </c>
      <c r="I433" s="209">
        <f>(F433*(1+H433))</f>
        <v>14381.29</v>
      </c>
      <c r="J433" s="210">
        <f t="shared" ref="J433:J436" si="73">ROUND(I433*E433,0)</f>
        <v>3670249</v>
      </c>
      <c r="L433" s="211"/>
    </row>
    <row r="434" spans="2:13" ht="31.95" customHeight="1" x14ac:dyDescent="0.3">
      <c r="B434" s="203">
        <v>1.2</v>
      </c>
      <c r="C434" s="204" t="s">
        <v>232</v>
      </c>
      <c r="D434" s="205" t="s">
        <v>40</v>
      </c>
      <c r="E434" s="206">
        <f>+E433</f>
        <v>255.21</v>
      </c>
      <c r="F434" s="207">
        <v>9810</v>
      </c>
      <c r="G434" s="207">
        <f t="shared" ref="G434:G436" si="74">+ROUND(E434*F434,0)</f>
        <v>2503610</v>
      </c>
      <c r="H434" s="208">
        <v>0.33</v>
      </c>
      <c r="I434" s="209">
        <f t="shared" ref="I434:I436" si="75">(F434*(1+H434))</f>
        <v>13047.300000000001</v>
      </c>
      <c r="J434" s="210">
        <f t="shared" si="73"/>
        <v>3329801</v>
      </c>
      <c r="L434" s="211"/>
    </row>
    <row r="435" spans="2:13" ht="31.95" customHeight="1" x14ac:dyDescent="0.3">
      <c r="B435" s="203">
        <v>1.3</v>
      </c>
      <c r="C435" s="204" t="s">
        <v>233</v>
      </c>
      <c r="D435" s="205" t="s">
        <v>370</v>
      </c>
      <c r="E435" s="206">
        <f>(9+8+8+10)*2</f>
        <v>70</v>
      </c>
      <c r="F435" s="207">
        <v>9610</v>
      </c>
      <c r="G435" s="207">
        <f t="shared" si="74"/>
        <v>672700</v>
      </c>
      <c r="H435" s="208">
        <v>0.33</v>
      </c>
      <c r="I435" s="209">
        <f t="shared" si="75"/>
        <v>12781.300000000001</v>
      </c>
      <c r="J435" s="210">
        <f t="shared" si="73"/>
        <v>894691</v>
      </c>
      <c r="L435" s="211"/>
    </row>
    <row r="436" spans="2:13" ht="31.95" customHeight="1" x14ac:dyDescent="0.3">
      <c r="B436" s="203">
        <v>1.4</v>
      </c>
      <c r="C436" s="204" t="s">
        <v>234</v>
      </c>
      <c r="D436" s="205" t="s">
        <v>39</v>
      </c>
      <c r="E436" s="206">
        <f>9+9+9+9+8+8</f>
        <v>52</v>
      </c>
      <c r="F436" s="207">
        <v>20883</v>
      </c>
      <c r="G436" s="207">
        <f t="shared" si="74"/>
        <v>1085916</v>
      </c>
      <c r="H436" s="208">
        <v>0.33</v>
      </c>
      <c r="I436" s="209">
        <f t="shared" si="75"/>
        <v>27774.390000000003</v>
      </c>
      <c r="J436" s="210">
        <f t="shared" si="73"/>
        <v>1444268</v>
      </c>
      <c r="L436" s="211"/>
    </row>
    <row r="437" spans="2:13" s="202" customFormat="1" x14ac:dyDescent="0.3">
      <c r="B437" s="213">
        <v>2</v>
      </c>
      <c r="C437" s="214" t="s">
        <v>16</v>
      </c>
      <c r="D437" s="215"/>
      <c r="E437" s="216"/>
      <c r="F437" s="217"/>
      <c r="G437" s="218"/>
      <c r="H437" s="219"/>
      <c r="I437" s="220"/>
      <c r="J437" s="221"/>
      <c r="K437" s="222"/>
      <c r="L437" s="223"/>
      <c r="M437" s="249"/>
    </row>
    <row r="438" spans="2:13" ht="62.4" x14ac:dyDescent="0.3">
      <c r="B438" s="225">
        <v>2.1</v>
      </c>
      <c r="C438" s="226" t="s">
        <v>235</v>
      </c>
      <c r="D438" s="205" t="s">
        <v>40</v>
      </c>
      <c r="E438" s="206">
        <v>255.21</v>
      </c>
      <c r="F438" s="207">
        <v>76329</v>
      </c>
      <c r="G438" s="207">
        <f t="shared" ref="G438:G452" si="76">+ROUND(E438*F438,0)</f>
        <v>19479924</v>
      </c>
      <c r="H438" s="208">
        <v>0.33</v>
      </c>
      <c r="I438" s="209">
        <f t="shared" ref="I438:I452" si="77">(F438*(1+H438))</f>
        <v>101517.57</v>
      </c>
      <c r="J438" s="210">
        <f t="shared" ref="J438:J452" si="78">ROUND(I438*E438,0)</f>
        <v>25908299</v>
      </c>
      <c r="K438" s="121"/>
      <c r="L438" s="211"/>
    </row>
    <row r="439" spans="2:13" ht="46.8" x14ac:dyDescent="0.3">
      <c r="B439" s="225">
        <v>2.2000000000000002</v>
      </c>
      <c r="C439" s="226" t="s">
        <v>236</v>
      </c>
      <c r="D439" s="205" t="s">
        <v>371</v>
      </c>
      <c r="E439" s="206">
        <v>23.5</v>
      </c>
      <c r="F439" s="207">
        <v>39523</v>
      </c>
      <c r="G439" s="207">
        <f t="shared" si="76"/>
        <v>928791</v>
      </c>
      <c r="H439" s="208">
        <v>0.33</v>
      </c>
      <c r="I439" s="209">
        <f t="shared" si="77"/>
        <v>52565.590000000004</v>
      </c>
      <c r="J439" s="210">
        <f t="shared" si="78"/>
        <v>1235291</v>
      </c>
      <c r="K439" s="121"/>
      <c r="L439" s="211"/>
    </row>
    <row r="440" spans="2:13" ht="64.95" customHeight="1" x14ac:dyDescent="0.3">
      <c r="B440" s="225">
        <v>2.2999999999999998</v>
      </c>
      <c r="C440" s="226" t="s">
        <v>246</v>
      </c>
      <c r="D440" s="228" t="s">
        <v>39</v>
      </c>
      <c r="E440" s="206">
        <v>188</v>
      </c>
      <c r="F440" s="207">
        <v>66157</v>
      </c>
      <c r="G440" s="207">
        <f t="shared" si="76"/>
        <v>12437516</v>
      </c>
      <c r="H440" s="208">
        <v>0.33</v>
      </c>
      <c r="I440" s="209">
        <f t="shared" si="77"/>
        <v>87988.81</v>
      </c>
      <c r="J440" s="210">
        <f t="shared" si="78"/>
        <v>16541896</v>
      </c>
      <c r="K440" s="121"/>
      <c r="L440" s="211"/>
    </row>
    <row r="441" spans="2:13" ht="61.95" customHeight="1" x14ac:dyDescent="0.3">
      <c r="B441" s="225">
        <v>2.5</v>
      </c>
      <c r="C441" s="226" t="s">
        <v>247</v>
      </c>
      <c r="D441" s="205" t="s">
        <v>39</v>
      </c>
      <c r="E441" s="206">
        <f>10.5*2</f>
        <v>21</v>
      </c>
      <c r="F441" s="207">
        <v>270384</v>
      </c>
      <c r="G441" s="207">
        <f t="shared" si="76"/>
        <v>5678064</v>
      </c>
      <c r="H441" s="208">
        <v>0.33</v>
      </c>
      <c r="I441" s="209">
        <f t="shared" si="77"/>
        <v>359610.72000000003</v>
      </c>
      <c r="J441" s="210">
        <f t="shared" si="78"/>
        <v>7551825</v>
      </c>
      <c r="K441" s="121"/>
      <c r="L441" s="211"/>
    </row>
    <row r="442" spans="2:13" s="249" customFormat="1" x14ac:dyDescent="0.3">
      <c r="B442" s="213">
        <v>3</v>
      </c>
      <c r="C442" s="214" t="s">
        <v>28</v>
      </c>
      <c r="D442" s="215"/>
      <c r="E442" s="216"/>
      <c r="F442" s="217"/>
      <c r="G442" s="218"/>
      <c r="H442" s="219"/>
      <c r="I442" s="220"/>
      <c r="J442" s="221"/>
      <c r="K442" s="250"/>
      <c r="L442" s="223"/>
    </row>
    <row r="443" spans="2:13" ht="31.2" x14ac:dyDescent="0.3">
      <c r="B443" s="225">
        <v>3.1</v>
      </c>
      <c r="C443" s="226" t="s">
        <v>239</v>
      </c>
      <c r="D443" s="205" t="s">
        <v>40</v>
      </c>
      <c r="E443" s="206">
        <f>+E444*2</f>
        <v>31.92</v>
      </c>
      <c r="F443" s="207">
        <v>75728</v>
      </c>
      <c r="G443" s="207">
        <f t="shared" si="76"/>
        <v>2417238</v>
      </c>
      <c r="H443" s="208">
        <v>0.33</v>
      </c>
      <c r="I443" s="209">
        <f t="shared" si="77"/>
        <v>100718.24</v>
      </c>
      <c r="J443" s="210">
        <f t="shared" si="78"/>
        <v>3214926</v>
      </c>
      <c r="K443" s="121"/>
      <c r="L443" s="211"/>
    </row>
    <row r="444" spans="2:13" ht="32.25" customHeight="1" x14ac:dyDescent="0.3">
      <c r="B444" s="225">
        <v>2.8</v>
      </c>
      <c r="C444" s="204" t="s">
        <v>240</v>
      </c>
      <c r="D444" s="205" t="s">
        <v>40</v>
      </c>
      <c r="E444" s="206">
        <f>10.64*1.5</f>
        <v>15.96</v>
      </c>
      <c r="F444" s="207">
        <v>58969</v>
      </c>
      <c r="G444" s="207">
        <f t="shared" si="76"/>
        <v>941145</v>
      </c>
      <c r="H444" s="208">
        <v>0.33</v>
      </c>
      <c r="I444" s="209">
        <f t="shared" si="77"/>
        <v>78428.77</v>
      </c>
      <c r="J444" s="210">
        <f t="shared" si="78"/>
        <v>1251723</v>
      </c>
      <c r="K444" s="121"/>
      <c r="L444" s="211"/>
    </row>
    <row r="445" spans="2:13" s="202" customFormat="1" x14ac:dyDescent="0.3">
      <c r="B445" s="213">
        <v>4</v>
      </c>
      <c r="C445" s="214" t="s">
        <v>43</v>
      </c>
      <c r="D445" s="215"/>
      <c r="E445" s="216"/>
      <c r="F445" s="217"/>
      <c r="G445" s="218"/>
      <c r="H445" s="219"/>
      <c r="I445" s="220"/>
      <c r="J445" s="221"/>
      <c r="K445" s="222"/>
      <c r="L445" s="223"/>
      <c r="M445" s="249"/>
    </row>
    <row r="446" spans="2:13" ht="31.2" x14ac:dyDescent="0.3">
      <c r="B446" s="225">
        <v>4.0999999999999996</v>
      </c>
      <c r="C446" s="227" t="s">
        <v>242</v>
      </c>
      <c r="D446" s="228" t="s">
        <v>19</v>
      </c>
      <c r="E446" s="206">
        <v>2</v>
      </c>
      <c r="F446" s="207">
        <v>134144</v>
      </c>
      <c r="G446" s="207">
        <f t="shared" si="76"/>
        <v>268288</v>
      </c>
      <c r="H446" s="208">
        <v>0.33</v>
      </c>
      <c r="I446" s="209">
        <f t="shared" si="77"/>
        <v>178411.52000000002</v>
      </c>
      <c r="J446" s="210">
        <f t="shared" si="78"/>
        <v>356823</v>
      </c>
      <c r="K446" s="121"/>
      <c r="L446" s="211"/>
    </row>
    <row r="447" spans="2:13" ht="75" customHeight="1" x14ac:dyDescent="0.3">
      <c r="B447" s="225">
        <v>4.2</v>
      </c>
      <c r="C447" s="227" t="s">
        <v>243</v>
      </c>
      <c r="D447" s="228" t="s">
        <v>19</v>
      </c>
      <c r="E447" s="206">
        <v>8</v>
      </c>
      <c r="F447" s="207">
        <v>217940</v>
      </c>
      <c r="G447" s="207">
        <f t="shared" si="76"/>
        <v>1743520</v>
      </c>
      <c r="H447" s="208">
        <v>0.33</v>
      </c>
      <c r="I447" s="209">
        <f t="shared" si="77"/>
        <v>289860.2</v>
      </c>
      <c r="J447" s="210">
        <f t="shared" si="78"/>
        <v>2318882</v>
      </c>
      <c r="K447" s="121"/>
      <c r="L447" s="211"/>
    </row>
    <row r="448" spans="2:13" ht="31.2" x14ac:dyDescent="0.3">
      <c r="B448" s="225">
        <v>4.3</v>
      </c>
      <c r="C448" s="227" t="s">
        <v>244</v>
      </c>
      <c r="D448" s="228" t="s">
        <v>39</v>
      </c>
      <c r="E448" s="206">
        <f>15.5*2</f>
        <v>31</v>
      </c>
      <c r="F448" s="207">
        <v>43198</v>
      </c>
      <c r="G448" s="207">
        <f t="shared" si="76"/>
        <v>1339138</v>
      </c>
      <c r="H448" s="208">
        <v>0.33</v>
      </c>
      <c r="I448" s="209">
        <f t="shared" si="77"/>
        <v>57453.340000000004</v>
      </c>
      <c r="J448" s="210">
        <f t="shared" si="78"/>
        <v>1781054</v>
      </c>
      <c r="K448" s="121"/>
      <c r="L448" s="211"/>
    </row>
    <row r="449" spans="2:16" s="202" customFormat="1" x14ac:dyDescent="0.3">
      <c r="B449" s="213">
        <v>5</v>
      </c>
      <c r="C449" s="214" t="s">
        <v>17</v>
      </c>
      <c r="D449" s="215"/>
      <c r="E449" s="216"/>
      <c r="F449" s="217"/>
      <c r="G449" s="218"/>
      <c r="H449" s="219"/>
      <c r="I449" s="220"/>
      <c r="J449" s="221"/>
      <c r="K449" s="222"/>
      <c r="L449" s="223"/>
      <c r="M449" s="249"/>
    </row>
    <row r="450" spans="2:16" x14ac:dyDescent="0.3">
      <c r="B450" s="225">
        <v>5.0999999999999996</v>
      </c>
      <c r="C450" s="226" t="s">
        <v>18</v>
      </c>
      <c r="D450" s="228" t="s">
        <v>19</v>
      </c>
      <c r="E450" s="206">
        <v>1</v>
      </c>
      <c r="F450" s="207">
        <v>150000</v>
      </c>
      <c r="G450" s="207">
        <f t="shared" si="76"/>
        <v>150000</v>
      </c>
      <c r="H450" s="208">
        <v>0.33</v>
      </c>
      <c r="I450" s="209">
        <f t="shared" si="77"/>
        <v>199500</v>
      </c>
      <c r="J450" s="210">
        <f t="shared" si="78"/>
        <v>199500</v>
      </c>
      <c r="K450" s="121"/>
      <c r="L450" s="211"/>
    </row>
    <row r="451" spans="2:16" x14ac:dyDescent="0.3">
      <c r="B451" s="225">
        <v>5.2</v>
      </c>
      <c r="C451" s="226" t="s">
        <v>20</v>
      </c>
      <c r="D451" s="228" t="s">
        <v>19</v>
      </c>
      <c r="E451" s="206">
        <v>1</v>
      </c>
      <c r="F451" s="207">
        <v>250000</v>
      </c>
      <c r="G451" s="207">
        <f t="shared" si="76"/>
        <v>250000</v>
      </c>
      <c r="H451" s="208">
        <v>0.33</v>
      </c>
      <c r="I451" s="209">
        <f t="shared" si="77"/>
        <v>332500</v>
      </c>
      <c r="J451" s="210">
        <f t="shared" si="78"/>
        <v>332500</v>
      </c>
      <c r="K451" s="121"/>
      <c r="L451" s="211"/>
    </row>
    <row r="452" spans="2:16" ht="81" customHeight="1" thickBot="1" x14ac:dyDescent="0.35">
      <c r="B452" s="229">
        <v>5.3</v>
      </c>
      <c r="C452" s="251" t="s">
        <v>245</v>
      </c>
      <c r="D452" s="231" t="s">
        <v>65</v>
      </c>
      <c r="E452" s="232">
        <v>6</v>
      </c>
      <c r="F452" s="233">
        <v>49760</v>
      </c>
      <c r="G452" s="233">
        <f t="shared" si="76"/>
        <v>298560</v>
      </c>
      <c r="H452" s="234">
        <v>0.33</v>
      </c>
      <c r="I452" s="235">
        <f t="shared" si="77"/>
        <v>66180.800000000003</v>
      </c>
      <c r="J452" s="236">
        <f t="shared" si="78"/>
        <v>397085</v>
      </c>
      <c r="K452" s="121"/>
      <c r="L452" s="211"/>
    </row>
    <row r="453" spans="2:16" x14ac:dyDescent="0.3">
      <c r="B453" s="121"/>
      <c r="C453" s="122"/>
      <c r="D453" s="123"/>
      <c r="E453" s="238"/>
      <c r="F453" s="239"/>
      <c r="G453" s="239"/>
      <c r="H453" s="252"/>
      <c r="I453" s="133"/>
      <c r="J453" s="133"/>
      <c r="K453" s="121"/>
      <c r="L453" s="211"/>
    </row>
    <row r="454" spans="2:16" s="119" customFormat="1" ht="18" customHeight="1" x14ac:dyDescent="0.3">
      <c r="B454" s="289"/>
      <c r="C454" s="118"/>
      <c r="D454" s="121"/>
      <c r="E454" s="124"/>
      <c r="F454" s="125"/>
      <c r="G454" s="125"/>
      <c r="H454" s="125"/>
      <c r="I454" s="125"/>
      <c r="J454" s="254"/>
      <c r="L454" s="211"/>
      <c r="M454" s="117"/>
      <c r="N454" s="126"/>
      <c r="O454" s="126"/>
      <c r="P454" s="126"/>
    </row>
    <row r="455" spans="2:16" x14ac:dyDescent="0.3">
      <c r="B455" s="139"/>
      <c r="C455" s="243"/>
      <c r="D455" s="483" t="s">
        <v>78</v>
      </c>
      <c r="E455" s="483"/>
      <c r="F455" s="483"/>
      <c r="G455" s="255">
        <f>SUM(G431:G453)</f>
        <v>52953996</v>
      </c>
      <c r="H455" s="245"/>
      <c r="I455" s="141"/>
      <c r="J455" s="256">
        <f>SUM(J431:J452)</f>
        <v>70428813</v>
      </c>
      <c r="L455" s="211"/>
      <c r="M455" s="142"/>
    </row>
    <row r="456" spans="2:16" x14ac:dyDescent="0.3">
      <c r="B456" s="139"/>
      <c r="C456" s="243"/>
      <c r="D456" s="135"/>
      <c r="E456" s="247"/>
      <c r="F456" s="135"/>
      <c r="G456" s="141"/>
      <c r="H456" s="245"/>
      <c r="I456" s="141"/>
      <c r="J456" s="141"/>
      <c r="L456" s="211"/>
    </row>
    <row r="457" spans="2:16" ht="16.2" thickBot="1" x14ac:dyDescent="0.35">
      <c r="B457" s="139"/>
      <c r="C457" s="243"/>
      <c r="D457" s="135"/>
      <c r="E457" s="247"/>
      <c r="F457" s="135"/>
      <c r="G457" s="141"/>
      <c r="H457" s="245"/>
      <c r="I457" s="141"/>
      <c r="J457" s="141"/>
      <c r="L457" s="211"/>
    </row>
    <row r="458" spans="2:16" ht="36" customHeight="1" thickBot="1" x14ac:dyDescent="0.35">
      <c r="B458" s="480" t="s">
        <v>90</v>
      </c>
      <c r="C458" s="481"/>
      <c r="D458" s="481"/>
      <c r="E458" s="481"/>
      <c r="F458" s="481"/>
      <c r="G458" s="481"/>
      <c r="H458" s="481"/>
      <c r="I458" s="481"/>
      <c r="J458" s="482"/>
      <c r="L458" s="211"/>
    </row>
    <row r="459" spans="2:16" s="119" customFormat="1" ht="46.2" customHeight="1" thickBot="1" x14ac:dyDescent="0.35">
      <c r="B459" s="187" t="s">
        <v>6</v>
      </c>
      <c r="C459" s="188" t="s">
        <v>7</v>
      </c>
      <c r="D459" s="189" t="s">
        <v>8</v>
      </c>
      <c r="E459" s="190" t="s">
        <v>9</v>
      </c>
      <c r="F459" s="191" t="s">
        <v>10</v>
      </c>
      <c r="G459" s="192" t="s">
        <v>11</v>
      </c>
      <c r="H459" s="192" t="s">
        <v>12</v>
      </c>
      <c r="I459" s="192" t="s">
        <v>13</v>
      </c>
      <c r="J459" s="193" t="s">
        <v>14</v>
      </c>
      <c r="L459" s="211"/>
      <c r="M459" s="117"/>
    </row>
    <row r="460" spans="2:16" s="202" customFormat="1" ht="14.25" customHeight="1" x14ac:dyDescent="0.3">
      <c r="B460" s="195">
        <v>1</v>
      </c>
      <c r="C460" s="248" t="s">
        <v>15</v>
      </c>
      <c r="D460" s="197"/>
      <c r="E460" s="198"/>
      <c r="F460" s="199"/>
      <c r="G460" s="302"/>
      <c r="H460" s="286"/>
      <c r="I460" s="287"/>
      <c r="J460" s="288"/>
      <c r="L460" s="223"/>
      <c r="M460" s="249"/>
    </row>
    <row r="461" spans="2:16" s="119" customFormat="1" ht="33.6" customHeight="1" x14ac:dyDescent="0.3">
      <c r="B461" s="203">
        <v>1.1000000000000001</v>
      </c>
      <c r="C461" s="303" t="s">
        <v>309</v>
      </c>
      <c r="D461" s="304" t="s">
        <v>40</v>
      </c>
      <c r="E461" s="305">
        <v>82.22</v>
      </c>
      <c r="F461" s="306">
        <v>4349</v>
      </c>
      <c r="G461" s="306">
        <f>+ROUND(E461*F461,0)</f>
        <v>357575</v>
      </c>
      <c r="H461" s="208">
        <v>0.33</v>
      </c>
      <c r="I461" s="209">
        <f>(F461*(1+H461))</f>
        <v>5784.17</v>
      </c>
      <c r="J461" s="210">
        <f t="shared" ref="J461:J463" si="79">ROUND(I461*E461,0)</f>
        <v>475574</v>
      </c>
      <c r="L461" s="211"/>
      <c r="M461" s="212"/>
    </row>
    <row r="462" spans="2:16" ht="31.2" x14ac:dyDescent="0.3">
      <c r="B462" s="203">
        <v>1.2</v>
      </c>
      <c r="C462" s="307" t="s">
        <v>234</v>
      </c>
      <c r="D462" s="205" t="s">
        <v>39</v>
      </c>
      <c r="E462" s="206">
        <v>40.36</v>
      </c>
      <c r="F462" s="207">
        <v>20883</v>
      </c>
      <c r="G462" s="306">
        <f t="shared" ref="G462:G463" si="80">+ROUND(E462*F462,0)</f>
        <v>842838</v>
      </c>
      <c r="H462" s="208">
        <v>0.33</v>
      </c>
      <c r="I462" s="209">
        <f t="shared" ref="I462:I463" si="81">(F462*(1+H462))</f>
        <v>27774.390000000003</v>
      </c>
      <c r="J462" s="210">
        <f t="shared" si="79"/>
        <v>1120974</v>
      </c>
      <c r="L462" s="211"/>
      <c r="M462" s="212"/>
    </row>
    <row r="463" spans="2:16" x14ac:dyDescent="0.3">
      <c r="B463" s="203">
        <v>1.3</v>
      </c>
      <c r="C463" s="308" t="s">
        <v>310</v>
      </c>
      <c r="D463" s="205" t="s">
        <v>40</v>
      </c>
      <c r="E463" s="266">
        <v>82.22</v>
      </c>
      <c r="F463" s="277">
        <v>9120</v>
      </c>
      <c r="G463" s="306">
        <f t="shared" si="80"/>
        <v>749846</v>
      </c>
      <c r="H463" s="208">
        <v>0.33</v>
      </c>
      <c r="I463" s="209">
        <f t="shared" si="81"/>
        <v>12129.6</v>
      </c>
      <c r="J463" s="210">
        <f t="shared" si="79"/>
        <v>997296</v>
      </c>
      <c r="L463" s="211"/>
      <c r="M463" s="212"/>
    </row>
    <row r="464" spans="2:16" s="249" customFormat="1" x14ac:dyDescent="0.3">
      <c r="B464" s="262">
        <v>2</v>
      </c>
      <c r="C464" s="214" t="s">
        <v>91</v>
      </c>
      <c r="D464" s="215"/>
      <c r="E464" s="216"/>
      <c r="F464" s="217"/>
      <c r="G464" s="309"/>
      <c r="H464" s="219"/>
      <c r="I464" s="220"/>
      <c r="J464" s="221"/>
      <c r="L464" s="223"/>
      <c r="M464" s="224"/>
    </row>
    <row r="465" spans="2:13" ht="31.2" x14ac:dyDescent="0.3">
      <c r="B465" s="203">
        <v>2.1</v>
      </c>
      <c r="C465" s="308" t="s">
        <v>284</v>
      </c>
      <c r="D465" s="205" t="s">
        <v>65</v>
      </c>
      <c r="E465" s="310">
        <v>10.63</v>
      </c>
      <c r="F465" s="308">
        <v>58785</v>
      </c>
      <c r="G465" s="306">
        <f t="shared" ref="G465:G528" si="82">+ROUND(E465*F465,0)</f>
        <v>624885</v>
      </c>
      <c r="H465" s="208">
        <v>0.33</v>
      </c>
      <c r="I465" s="209">
        <f t="shared" ref="I465:I528" si="83">(F465*(1+H465))</f>
        <v>78184.05</v>
      </c>
      <c r="J465" s="210">
        <f t="shared" ref="J465:J528" si="84">ROUND(I465*E465,0)</f>
        <v>831096</v>
      </c>
      <c r="L465" s="211"/>
      <c r="M465" s="212"/>
    </row>
    <row r="466" spans="2:13" ht="51" customHeight="1" x14ac:dyDescent="0.3">
      <c r="B466" s="203">
        <v>2.2000000000000002</v>
      </c>
      <c r="C466" s="226" t="s">
        <v>311</v>
      </c>
      <c r="D466" s="205" t="s">
        <v>65</v>
      </c>
      <c r="E466" s="206">
        <f>16.44+2.7</f>
        <v>19.14</v>
      </c>
      <c r="F466" s="207">
        <v>173408</v>
      </c>
      <c r="G466" s="306">
        <f t="shared" si="82"/>
        <v>3319029</v>
      </c>
      <c r="H466" s="208">
        <v>0.33</v>
      </c>
      <c r="I466" s="209">
        <f t="shared" si="83"/>
        <v>230632.64</v>
      </c>
      <c r="J466" s="210">
        <f t="shared" si="84"/>
        <v>4414309</v>
      </c>
      <c r="L466" s="211"/>
      <c r="M466" s="212"/>
    </row>
    <row r="467" spans="2:13" s="202" customFormat="1" x14ac:dyDescent="0.3">
      <c r="B467" s="213">
        <v>3</v>
      </c>
      <c r="C467" s="214" t="s">
        <v>92</v>
      </c>
      <c r="D467" s="215"/>
      <c r="E467" s="216"/>
      <c r="F467" s="217"/>
      <c r="G467" s="309"/>
      <c r="H467" s="219"/>
      <c r="I467" s="220"/>
      <c r="J467" s="221"/>
      <c r="L467" s="223"/>
      <c r="M467" s="224"/>
    </row>
    <row r="468" spans="2:13" s="311" customFormat="1" ht="31.2" x14ac:dyDescent="0.3">
      <c r="B468" s="225">
        <v>3.1</v>
      </c>
      <c r="C468" s="226" t="s">
        <v>312</v>
      </c>
      <c r="D468" s="205" t="s">
        <v>40</v>
      </c>
      <c r="E468" s="266">
        <v>12.64</v>
      </c>
      <c r="F468" s="277">
        <v>39378</v>
      </c>
      <c r="G468" s="306">
        <f t="shared" si="82"/>
        <v>497738</v>
      </c>
      <c r="H468" s="208">
        <v>0.33</v>
      </c>
      <c r="I468" s="209">
        <f t="shared" si="83"/>
        <v>52372.740000000005</v>
      </c>
      <c r="J468" s="210">
        <f t="shared" si="84"/>
        <v>661991</v>
      </c>
      <c r="L468" s="211"/>
      <c r="M468" s="212"/>
    </row>
    <row r="469" spans="2:13" ht="31.2" x14ac:dyDescent="0.3">
      <c r="B469" s="225">
        <v>3.2</v>
      </c>
      <c r="C469" s="226" t="s">
        <v>294</v>
      </c>
      <c r="D469" s="205" t="s">
        <v>19</v>
      </c>
      <c r="E469" s="266">
        <v>9</v>
      </c>
      <c r="F469" s="277">
        <v>323466</v>
      </c>
      <c r="G469" s="306">
        <f t="shared" si="82"/>
        <v>2911194</v>
      </c>
      <c r="H469" s="208">
        <v>0.33</v>
      </c>
      <c r="I469" s="209">
        <f t="shared" si="83"/>
        <v>430209.78</v>
      </c>
      <c r="J469" s="210">
        <f t="shared" si="84"/>
        <v>3871888</v>
      </c>
      <c r="K469" s="119"/>
      <c r="L469" s="211"/>
      <c r="M469" s="212"/>
    </row>
    <row r="470" spans="2:13" ht="31.2" x14ac:dyDescent="0.3">
      <c r="B470" s="225">
        <v>3.3</v>
      </c>
      <c r="C470" s="226" t="s">
        <v>313</v>
      </c>
      <c r="D470" s="205" t="s">
        <v>39</v>
      </c>
      <c r="E470" s="266">
        <v>34.380000000000003</v>
      </c>
      <c r="F470" s="277">
        <v>111273</v>
      </c>
      <c r="G470" s="306">
        <f t="shared" si="82"/>
        <v>3825566</v>
      </c>
      <c r="H470" s="208">
        <v>0.33</v>
      </c>
      <c r="I470" s="209">
        <f t="shared" si="83"/>
        <v>147993.09</v>
      </c>
      <c r="J470" s="210">
        <f t="shared" si="84"/>
        <v>5088002</v>
      </c>
      <c r="L470" s="211"/>
      <c r="M470" s="212"/>
    </row>
    <row r="471" spans="2:13" ht="46.8" x14ac:dyDescent="0.3">
      <c r="B471" s="225">
        <v>3.4</v>
      </c>
      <c r="C471" s="226" t="s">
        <v>314</v>
      </c>
      <c r="D471" s="205" t="s">
        <v>39</v>
      </c>
      <c r="E471" s="266">
        <v>4.05</v>
      </c>
      <c r="F471" s="277">
        <v>43612</v>
      </c>
      <c r="G471" s="306">
        <f t="shared" si="82"/>
        <v>176629</v>
      </c>
      <c r="H471" s="208">
        <v>0.33</v>
      </c>
      <c r="I471" s="209">
        <f t="shared" si="83"/>
        <v>58003.960000000006</v>
      </c>
      <c r="J471" s="210">
        <f t="shared" si="84"/>
        <v>234916</v>
      </c>
      <c r="L471" s="211"/>
      <c r="M471" s="212"/>
    </row>
    <row r="472" spans="2:13" s="202" customFormat="1" x14ac:dyDescent="0.3">
      <c r="B472" s="213">
        <v>4</v>
      </c>
      <c r="C472" s="214" t="s">
        <v>68</v>
      </c>
      <c r="D472" s="215"/>
      <c r="E472" s="216"/>
      <c r="F472" s="217"/>
      <c r="G472" s="309"/>
      <c r="H472" s="219"/>
      <c r="I472" s="220"/>
      <c r="J472" s="221"/>
      <c r="L472" s="223"/>
      <c r="M472" s="224"/>
    </row>
    <row r="473" spans="2:13" s="119" customFormat="1" ht="34.5" customHeight="1" x14ac:dyDescent="0.3">
      <c r="B473" s="225">
        <v>4.0999999999999996</v>
      </c>
      <c r="C473" s="226" t="s">
        <v>240</v>
      </c>
      <c r="D473" s="205" t="s">
        <v>40</v>
      </c>
      <c r="E473" s="266">
        <v>67.55</v>
      </c>
      <c r="F473" s="277">
        <v>58969</v>
      </c>
      <c r="G473" s="306">
        <f t="shared" si="82"/>
        <v>3983356</v>
      </c>
      <c r="H473" s="208">
        <v>0.33</v>
      </c>
      <c r="I473" s="209">
        <f t="shared" si="83"/>
        <v>78428.77</v>
      </c>
      <c r="J473" s="210">
        <f t="shared" si="84"/>
        <v>5297863</v>
      </c>
      <c r="L473" s="211"/>
      <c r="M473" s="212"/>
    </row>
    <row r="474" spans="2:13" s="119" customFormat="1" ht="46.8" x14ac:dyDescent="0.3">
      <c r="B474" s="225">
        <v>4.2</v>
      </c>
      <c r="C474" s="312" t="s">
        <v>315</v>
      </c>
      <c r="D474" s="228" t="s">
        <v>39</v>
      </c>
      <c r="E474" s="266">
        <v>16.600000000000001</v>
      </c>
      <c r="F474" s="277">
        <v>101737</v>
      </c>
      <c r="G474" s="306">
        <f t="shared" si="82"/>
        <v>1688834</v>
      </c>
      <c r="H474" s="208">
        <v>0.33</v>
      </c>
      <c r="I474" s="209">
        <f t="shared" si="83"/>
        <v>135310.21000000002</v>
      </c>
      <c r="J474" s="210">
        <f t="shared" si="84"/>
        <v>2246149</v>
      </c>
      <c r="L474" s="211"/>
      <c r="M474" s="212"/>
    </row>
    <row r="475" spans="2:13" s="202" customFormat="1" x14ac:dyDescent="0.3">
      <c r="B475" s="213">
        <v>5</v>
      </c>
      <c r="C475" s="214" t="s">
        <v>75</v>
      </c>
      <c r="D475" s="215"/>
      <c r="E475" s="216"/>
      <c r="F475" s="217"/>
      <c r="G475" s="309"/>
      <c r="H475" s="219"/>
      <c r="I475" s="220"/>
      <c r="J475" s="221"/>
      <c r="L475" s="223"/>
      <c r="M475" s="224"/>
    </row>
    <row r="476" spans="2:13" s="119" customFormat="1" ht="31.2" x14ac:dyDescent="0.3">
      <c r="B476" s="225">
        <v>5.0999999999999996</v>
      </c>
      <c r="C476" s="312" t="s">
        <v>316</v>
      </c>
      <c r="D476" s="228" t="s">
        <v>39</v>
      </c>
      <c r="E476" s="266">
        <v>40.380000000000003</v>
      </c>
      <c r="F476" s="277">
        <v>181080</v>
      </c>
      <c r="G476" s="306">
        <f t="shared" si="82"/>
        <v>7312010</v>
      </c>
      <c r="H476" s="208">
        <v>0.33</v>
      </c>
      <c r="I476" s="209">
        <f t="shared" si="83"/>
        <v>240836.40000000002</v>
      </c>
      <c r="J476" s="210">
        <f t="shared" si="84"/>
        <v>9724974</v>
      </c>
      <c r="L476" s="211"/>
      <c r="M476" s="212"/>
    </row>
    <row r="477" spans="2:13" s="119" customFormat="1" ht="46.8" x14ac:dyDescent="0.3">
      <c r="B477" s="225">
        <v>5.2</v>
      </c>
      <c r="C477" s="312" t="s">
        <v>303</v>
      </c>
      <c r="D477" s="228" t="s">
        <v>39</v>
      </c>
      <c r="E477" s="266">
        <v>4.05</v>
      </c>
      <c r="F477" s="277">
        <v>16659</v>
      </c>
      <c r="G477" s="306">
        <f t="shared" si="82"/>
        <v>67469</v>
      </c>
      <c r="H477" s="208">
        <v>0.33</v>
      </c>
      <c r="I477" s="209">
        <f t="shared" si="83"/>
        <v>22156.47</v>
      </c>
      <c r="J477" s="210">
        <f t="shared" si="84"/>
        <v>89734</v>
      </c>
      <c r="L477" s="211"/>
      <c r="M477" s="212"/>
    </row>
    <row r="478" spans="2:13" s="119" customFormat="1" ht="31.2" x14ac:dyDescent="0.3">
      <c r="B478" s="225">
        <v>5.3</v>
      </c>
      <c r="C478" s="313" t="s">
        <v>317</v>
      </c>
      <c r="D478" s="228" t="s">
        <v>39</v>
      </c>
      <c r="E478" s="266">
        <v>37.049999999999997</v>
      </c>
      <c r="F478" s="277">
        <v>240195</v>
      </c>
      <c r="G478" s="306">
        <f t="shared" si="82"/>
        <v>8899225</v>
      </c>
      <c r="H478" s="208">
        <v>0.33</v>
      </c>
      <c r="I478" s="209">
        <f t="shared" si="83"/>
        <v>319459.35000000003</v>
      </c>
      <c r="J478" s="210">
        <f t="shared" si="84"/>
        <v>11835969</v>
      </c>
      <c r="L478" s="211"/>
      <c r="M478" s="212"/>
    </row>
    <row r="479" spans="2:13" s="119" customFormat="1" ht="31.2" x14ac:dyDescent="0.3">
      <c r="B479" s="225">
        <v>5.4</v>
      </c>
      <c r="C479" s="312" t="s">
        <v>318</v>
      </c>
      <c r="D479" s="228" t="s">
        <v>39</v>
      </c>
      <c r="E479" s="266">
        <v>32</v>
      </c>
      <c r="F479" s="277">
        <v>90710</v>
      </c>
      <c r="G479" s="306">
        <f t="shared" si="82"/>
        <v>2902720</v>
      </c>
      <c r="H479" s="208">
        <v>0.33</v>
      </c>
      <c r="I479" s="209">
        <f t="shared" si="83"/>
        <v>120644.3</v>
      </c>
      <c r="J479" s="210">
        <f t="shared" si="84"/>
        <v>3860618</v>
      </c>
      <c r="L479" s="211"/>
      <c r="M479" s="212"/>
    </row>
    <row r="480" spans="2:13" s="119" customFormat="1" ht="31.2" x14ac:dyDescent="0.3">
      <c r="B480" s="225">
        <v>5.6</v>
      </c>
      <c r="C480" s="312" t="s">
        <v>319</v>
      </c>
      <c r="D480" s="228" t="s">
        <v>39</v>
      </c>
      <c r="E480" s="266">
        <v>28.5</v>
      </c>
      <c r="F480" s="277">
        <v>46745</v>
      </c>
      <c r="G480" s="306">
        <f t="shared" si="82"/>
        <v>1332233</v>
      </c>
      <c r="H480" s="208">
        <v>0.33</v>
      </c>
      <c r="I480" s="209">
        <f t="shared" si="83"/>
        <v>62170.850000000006</v>
      </c>
      <c r="J480" s="210">
        <f t="shared" si="84"/>
        <v>1771869</v>
      </c>
      <c r="L480" s="211"/>
      <c r="M480" s="212"/>
    </row>
    <row r="481" spans="2:14" s="119" customFormat="1" ht="31.2" x14ac:dyDescent="0.3">
      <c r="B481" s="225">
        <v>5.7</v>
      </c>
      <c r="C481" s="312" t="s">
        <v>320</v>
      </c>
      <c r="D481" s="292" t="s">
        <v>40</v>
      </c>
      <c r="E481" s="266">
        <v>2.56</v>
      </c>
      <c r="F481" s="277">
        <v>140295</v>
      </c>
      <c r="G481" s="306">
        <f t="shared" si="82"/>
        <v>359155</v>
      </c>
      <c r="H481" s="208">
        <v>0.33</v>
      </c>
      <c r="I481" s="209">
        <f t="shared" si="83"/>
        <v>186592.35</v>
      </c>
      <c r="J481" s="210">
        <f t="shared" si="84"/>
        <v>477676</v>
      </c>
      <c r="L481" s="211"/>
      <c r="M481" s="212"/>
    </row>
    <row r="482" spans="2:14" s="202" customFormat="1" x14ac:dyDescent="0.3">
      <c r="B482" s="213">
        <v>6</v>
      </c>
      <c r="C482" s="214" t="s">
        <v>76</v>
      </c>
      <c r="D482" s="215"/>
      <c r="E482" s="216"/>
      <c r="F482" s="217"/>
      <c r="G482" s="309"/>
      <c r="H482" s="219"/>
      <c r="I482" s="220"/>
      <c r="J482" s="221"/>
      <c r="L482" s="223"/>
      <c r="M482" s="224"/>
    </row>
    <row r="483" spans="2:14" s="119" customFormat="1" ht="31.2" x14ac:dyDescent="0.3">
      <c r="B483" s="314">
        <v>6.1</v>
      </c>
      <c r="C483" s="315" t="s">
        <v>296</v>
      </c>
      <c r="D483" s="205" t="s">
        <v>83</v>
      </c>
      <c r="E483" s="310">
        <v>2511.41</v>
      </c>
      <c r="F483" s="316">
        <v>9582</v>
      </c>
      <c r="G483" s="306">
        <f t="shared" si="82"/>
        <v>24064331</v>
      </c>
      <c r="H483" s="208">
        <v>0.33</v>
      </c>
      <c r="I483" s="209">
        <f t="shared" si="83"/>
        <v>12744.060000000001</v>
      </c>
      <c r="J483" s="210">
        <f t="shared" si="84"/>
        <v>32005560</v>
      </c>
      <c r="L483" s="211"/>
      <c r="M483" s="212"/>
      <c r="N483" s="317"/>
    </row>
    <row r="484" spans="2:14" s="119" customFormat="1" ht="31.2" x14ac:dyDescent="0.3">
      <c r="B484" s="314">
        <v>6.2</v>
      </c>
      <c r="C484" s="315" t="s">
        <v>304</v>
      </c>
      <c r="D484" s="205" t="s">
        <v>40</v>
      </c>
      <c r="E484" s="310">
        <v>53.12</v>
      </c>
      <c r="F484" s="316">
        <v>32633</v>
      </c>
      <c r="G484" s="306">
        <f t="shared" si="82"/>
        <v>1733465</v>
      </c>
      <c r="H484" s="208">
        <v>0.33</v>
      </c>
      <c r="I484" s="209">
        <f t="shared" si="83"/>
        <v>43401.89</v>
      </c>
      <c r="J484" s="210">
        <f t="shared" si="84"/>
        <v>2305508</v>
      </c>
      <c r="L484" s="211"/>
      <c r="M484" s="212"/>
      <c r="N484" s="317"/>
    </row>
    <row r="485" spans="2:14" s="202" customFormat="1" x14ac:dyDescent="0.3">
      <c r="B485" s="213">
        <v>7</v>
      </c>
      <c r="C485" s="214" t="s">
        <v>43</v>
      </c>
      <c r="D485" s="215"/>
      <c r="E485" s="216"/>
      <c r="F485" s="217"/>
      <c r="G485" s="309"/>
      <c r="H485" s="219"/>
      <c r="I485" s="220"/>
      <c r="J485" s="221"/>
      <c r="L485" s="223"/>
      <c r="M485" s="224"/>
    </row>
    <row r="486" spans="2:14" ht="64.2" customHeight="1" x14ac:dyDescent="0.3">
      <c r="B486" s="225">
        <v>7.1</v>
      </c>
      <c r="C486" s="226" t="s">
        <v>321</v>
      </c>
      <c r="D486" s="205">
        <v>0</v>
      </c>
      <c r="E486" s="266">
        <v>1</v>
      </c>
      <c r="F486" s="277">
        <v>348613</v>
      </c>
      <c r="G486" s="306">
        <f t="shared" si="82"/>
        <v>348613</v>
      </c>
      <c r="H486" s="208">
        <v>0.33</v>
      </c>
      <c r="I486" s="209">
        <f t="shared" si="83"/>
        <v>463655.29000000004</v>
      </c>
      <c r="J486" s="210">
        <f t="shared" si="84"/>
        <v>463655</v>
      </c>
      <c r="K486" s="121"/>
      <c r="L486" s="211"/>
      <c r="M486" s="212"/>
    </row>
    <row r="487" spans="2:14" ht="46.8" x14ac:dyDescent="0.3">
      <c r="B487" s="225">
        <v>7.2</v>
      </c>
      <c r="C487" s="226" t="s">
        <v>322</v>
      </c>
      <c r="D487" s="205" t="s">
        <v>19</v>
      </c>
      <c r="E487" s="266">
        <v>7</v>
      </c>
      <c r="F487" s="277">
        <v>132167</v>
      </c>
      <c r="G487" s="306">
        <f t="shared" si="82"/>
        <v>925169</v>
      </c>
      <c r="H487" s="208">
        <v>0.33</v>
      </c>
      <c r="I487" s="209">
        <f t="shared" si="83"/>
        <v>175782.11000000002</v>
      </c>
      <c r="J487" s="210">
        <f t="shared" si="84"/>
        <v>1230475</v>
      </c>
      <c r="K487" s="121"/>
      <c r="L487" s="211"/>
      <c r="M487" s="212"/>
    </row>
    <row r="488" spans="2:14" ht="49.95" customHeight="1" x14ac:dyDescent="0.3">
      <c r="B488" s="225">
        <v>7.3</v>
      </c>
      <c r="C488" s="226" t="s">
        <v>242</v>
      </c>
      <c r="D488" s="205" t="s">
        <v>19</v>
      </c>
      <c r="E488" s="266">
        <v>1</v>
      </c>
      <c r="F488" s="277">
        <v>134144</v>
      </c>
      <c r="G488" s="306">
        <f t="shared" si="82"/>
        <v>134144</v>
      </c>
      <c r="H488" s="208">
        <v>0.33</v>
      </c>
      <c r="I488" s="209">
        <f t="shared" si="83"/>
        <v>178411.52000000002</v>
      </c>
      <c r="J488" s="210">
        <f t="shared" si="84"/>
        <v>178412</v>
      </c>
      <c r="K488" s="121"/>
      <c r="L488" s="211"/>
      <c r="M488" s="212"/>
    </row>
    <row r="489" spans="2:14" ht="48.6" customHeight="1" x14ac:dyDescent="0.3">
      <c r="B489" s="225">
        <v>7.4</v>
      </c>
      <c r="C489" s="226" t="s">
        <v>267</v>
      </c>
      <c r="D489" s="205" t="s">
        <v>19</v>
      </c>
      <c r="E489" s="266">
        <v>3</v>
      </c>
      <c r="F489" s="277">
        <v>111721.94025390624</v>
      </c>
      <c r="G489" s="306">
        <f t="shared" si="82"/>
        <v>335166</v>
      </c>
      <c r="H489" s="208">
        <v>0.33</v>
      </c>
      <c r="I489" s="209">
        <f t="shared" si="83"/>
        <v>148590.1805376953</v>
      </c>
      <c r="J489" s="210">
        <f t="shared" si="84"/>
        <v>445771</v>
      </c>
      <c r="K489" s="121"/>
      <c r="L489" s="211"/>
      <c r="M489" s="212"/>
    </row>
    <row r="490" spans="2:14" ht="79.95" customHeight="1" x14ac:dyDescent="0.3">
      <c r="B490" s="225">
        <v>7.5</v>
      </c>
      <c r="C490" s="226" t="s">
        <v>243</v>
      </c>
      <c r="D490" s="205" t="s">
        <v>19</v>
      </c>
      <c r="E490" s="266">
        <v>6</v>
      </c>
      <c r="F490" s="277">
        <v>217940</v>
      </c>
      <c r="G490" s="306">
        <f t="shared" si="82"/>
        <v>1307640</v>
      </c>
      <c r="H490" s="208">
        <v>0.33</v>
      </c>
      <c r="I490" s="209">
        <f t="shared" si="83"/>
        <v>289860.2</v>
      </c>
      <c r="J490" s="210">
        <f t="shared" si="84"/>
        <v>1739161</v>
      </c>
      <c r="K490" s="121"/>
      <c r="L490" s="211"/>
      <c r="M490" s="212"/>
    </row>
    <row r="491" spans="2:14" ht="33" customHeight="1" x14ac:dyDescent="0.3">
      <c r="B491" s="225">
        <v>7.6</v>
      </c>
      <c r="C491" s="226" t="s">
        <v>244</v>
      </c>
      <c r="D491" s="205" t="s">
        <v>39</v>
      </c>
      <c r="E491" s="266">
        <v>15</v>
      </c>
      <c r="F491" s="277">
        <v>43198</v>
      </c>
      <c r="G491" s="306">
        <f t="shared" si="82"/>
        <v>647970</v>
      </c>
      <c r="H491" s="208">
        <v>0.33</v>
      </c>
      <c r="I491" s="209">
        <f t="shared" si="83"/>
        <v>57453.340000000004</v>
      </c>
      <c r="J491" s="210">
        <f t="shared" si="84"/>
        <v>861800</v>
      </c>
      <c r="K491" s="121"/>
      <c r="L491" s="211"/>
      <c r="M491" s="212"/>
    </row>
    <row r="492" spans="2:14" ht="46.8" x14ac:dyDescent="0.3">
      <c r="B492" s="225">
        <v>7.7</v>
      </c>
      <c r="C492" s="226" t="s">
        <v>323</v>
      </c>
      <c r="D492" s="205" t="s">
        <v>39</v>
      </c>
      <c r="E492" s="266">
        <v>15</v>
      </c>
      <c r="F492" s="277">
        <v>30617.478662109374</v>
      </c>
      <c r="G492" s="306">
        <f t="shared" si="82"/>
        <v>459262</v>
      </c>
      <c r="H492" s="208">
        <v>0.33</v>
      </c>
      <c r="I492" s="209">
        <f t="shared" si="83"/>
        <v>40721.246620605467</v>
      </c>
      <c r="J492" s="210">
        <f t="shared" si="84"/>
        <v>610819</v>
      </c>
      <c r="K492" s="121"/>
      <c r="L492" s="211"/>
      <c r="M492" s="212"/>
    </row>
    <row r="493" spans="2:14" s="202" customFormat="1" x14ac:dyDescent="0.3">
      <c r="B493" s="213">
        <v>8</v>
      </c>
      <c r="C493" s="214" t="s">
        <v>93</v>
      </c>
      <c r="D493" s="215"/>
      <c r="E493" s="216"/>
      <c r="F493" s="217"/>
      <c r="G493" s="309"/>
      <c r="H493" s="219"/>
      <c r="I493" s="220"/>
      <c r="J493" s="221"/>
      <c r="L493" s="223"/>
      <c r="M493" s="224"/>
    </row>
    <row r="494" spans="2:14" ht="31.2" x14ac:dyDescent="0.3">
      <c r="B494" s="225">
        <v>8.1</v>
      </c>
      <c r="C494" s="226" t="s">
        <v>297</v>
      </c>
      <c r="D494" s="205" t="s">
        <v>40</v>
      </c>
      <c r="E494" s="206">
        <v>223.04</v>
      </c>
      <c r="F494" s="207">
        <v>39103</v>
      </c>
      <c r="G494" s="306">
        <f t="shared" si="82"/>
        <v>8721533</v>
      </c>
      <c r="H494" s="208">
        <v>0.33</v>
      </c>
      <c r="I494" s="209">
        <f t="shared" si="83"/>
        <v>52006.990000000005</v>
      </c>
      <c r="J494" s="210">
        <f t="shared" si="84"/>
        <v>11599639</v>
      </c>
      <c r="K494" s="121"/>
      <c r="L494" s="211"/>
      <c r="M494" s="212"/>
    </row>
    <row r="495" spans="2:14" s="202" customFormat="1" x14ac:dyDescent="0.3">
      <c r="B495" s="213">
        <v>9</v>
      </c>
      <c r="C495" s="214" t="s">
        <v>94</v>
      </c>
      <c r="D495" s="215"/>
      <c r="E495" s="216"/>
      <c r="F495" s="217"/>
      <c r="G495" s="309"/>
      <c r="H495" s="219"/>
      <c r="I495" s="220"/>
      <c r="J495" s="221"/>
      <c r="L495" s="223"/>
      <c r="M495" s="224"/>
    </row>
    <row r="496" spans="2:14" ht="62.4" x14ac:dyDescent="0.3">
      <c r="B496" s="225">
        <v>9.1</v>
      </c>
      <c r="C496" s="226" t="s">
        <v>235</v>
      </c>
      <c r="D496" s="205" t="s">
        <v>40</v>
      </c>
      <c r="E496" s="206">
        <v>87.3</v>
      </c>
      <c r="F496" s="207">
        <v>76329</v>
      </c>
      <c r="G496" s="306">
        <f t="shared" si="82"/>
        <v>6663522</v>
      </c>
      <c r="H496" s="208">
        <v>0.33</v>
      </c>
      <c r="I496" s="209">
        <f t="shared" si="83"/>
        <v>101517.57</v>
      </c>
      <c r="J496" s="210">
        <f t="shared" si="84"/>
        <v>8862484</v>
      </c>
      <c r="K496" s="121"/>
      <c r="L496" s="211"/>
      <c r="M496" s="212"/>
    </row>
    <row r="497" spans="2:13" ht="46.8" x14ac:dyDescent="0.3">
      <c r="B497" s="225">
        <v>9.1999999999999993</v>
      </c>
      <c r="C497" s="226" t="s">
        <v>236</v>
      </c>
      <c r="D497" s="205" t="s">
        <v>371</v>
      </c>
      <c r="E497" s="206">
        <v>9.6999999999999993</v>
      </c>
      <c r="F497" s="207">
        <v>39523</v>
      </c>
      <c r="G497" s="306">
        <f t="shared" si="82"/>
        <v>383373</v>
      </c>
      <c r="H497" s="208">
        <v>0.33</v>
      </c>
      <c r="I497" s="209">
        <f t="shared" si="83"/>
        <v>52565.590000000004</v>
      </c>
      <c r="J497" s="210">
        <f t="shared" si="84"/>
        <v>509886</v>
      </c>
      <c r="K497" s="121"/>
      <c r="L497" s="211"/>
      <c r="M497" s="212"/>
    </row>
    <row r="498" spans="2:13" x14ac:dyDescent="0.3">
      <c r="B498" s="225">
        <v>9.3000000000000007</v>
      </c>
      <c r="C498" s="226" t="s">
        <v>324</v>
      </c>
      <c r="D498" s="205" t="s">
        <v>39</v>
      </c>
      <c r="E498" s="266">
        <v>97</v>
      </c>
      <c r="F498" s="277">
        <v>106522</v>
      </c>
      <c r="G498" s="306">
        <f t="shared" si="82"/>
        <v>10332634</v>
      </c>
      <c r="H498" s="208">
        <v>0.33</v>
      </c>
      <c r="I498" s="209">
        <f t="shared" si="83"/>
        <v>141674.26</v>
      </c>
      <c r="J498" s="210">
        <f t="shared" si="84"/>
        <v>13742403</v>
      </c>
      <c r="K498" s="121"/>
      <c r="L498" s="211"/>
      <c r="M498" s="212"/>
    </row>
    <row r="499" spans="2:13" s="202" customFormat="1" x14ac:dyDescent="0.3">
      <c r="B499" s="213">
        <v>10</v>
      </c>
      <c r="C499" s="214" t="s">
        <v>27</v>
      </c>
      <c r="D499" s="215"/>
      <c r="E499" s="216"/>
      <c r="F499" s="217"/>
      <c r="G499" s="309"/>
      <c r="H499" s="219"/>
      <c r="I499" s="220"/>
      <c r="J499" s="221"/>
      <c r="L499" s="223"/>
      <c r="M499" s="224"/>
    </row>
    <row r="500" spans="2:13" ht="31.2" x14ac:dyDescent="0.3">
      <c r="B500" s="225">
        <v>10.1</v>
      </c>
      <c r="C500" s="226" t="s">
        <v>325</v>
      </c>
      <c r="D500" s="205" t="s">
        <v>40</v>
      </c>
      <c r="E500" s="266">
        <v>53.12</v>
      </c>
      <c r="F500" s="277">
        <v>151303</v>
      </c>
      <c r="G500" s="306">
        <f t="shared" si="82"/>
        <v>8037215</v>
      </c>
      <c r="H500" s="208">
        <v>0.33</v>
      </c>
      <c r="I500" s="209">
        <f t="shared" si="83"/>
        <v>201232.99000000002</v>
      </c>
      <c r="J500" s="210">
        <f t="shared" si="84"/>
        <v>10689496</v>
      </c>
      <c r="K500" s="121"/>
      <c r="L500" s="211"/>
      <c r="M500" s="212"/>
    </row>
    <row r="501" spans="2:13" ht="31.2" x14ac:dyDescent="0.3">
      <c r="B501" s="225">
        <v>10.199999999999999</v>
      </c>
      <c r="C501" s="226" t="s">
        <v>285</v>
      </c>
      <c r="D501" s="205" t="s">
        <v>65</v>
      </c>
      <c r="E501" s="266">
        <v>53.19</v>
      </c>
      <c r="F501" s="207">
        <v>109920</v>
      </c>
      <c r="G501" s="306">
        <f t="shared" si="82"/>
        <v>5846645</v>
      </c>
      <c r="H501" s="208">
        <v>0.33</v>
      </c>
      <c r="I501" s="209">
        <f t="shared" si="83"/>
        <v>146193.60000000001</v>
      </c>
      <c r="J501" s="210">
        <f t="shared" si="84"/>
        <v>7776038</v>
      </c>
      <c r="K501" s="121"/>
      <c r="L501" s="211"/>
      <c r="M501" s="212"/>
    </row>
    <row r="502" spans="2:13" ht="37.950000000000003" customHeight="1" x14ac:dyDescent="0.3">
      <c r="B502" s="225">
        <v>10.3</v>
      </c>
      <c r="C502" s="226" t="s">
        <v>253</v>
      </c>
      <c r="D502" s="205" t="s">
        <v>40</v>
      </c>
      <c r="E502" s="206">
        <v>53.19</v>
      </c>
      <c r="F502" s="207">
        <v>42550</v>
      </c>
      <c r="G502" s="306">
        <f t="shared" si="82"/>
        <v>2263235</v>
      </c>
      <c r="H502" s="208">
        <v>0.33</v>
      </c>
      <c r="I502" s="209">
        <f t="shared" si="83"/>
        <v>56591.5</v>
      </c>
      <c r="J502" s="210">
        <f t="shared" si="84"/>
        <v>3010102</v>
      </c>
      <c r="K502" s="121"/>
      <c r="L502" s="211"/>
      <c r="M502" s="212"/>
    </row>
    <row r="503" spans="2:13" ht="31.2" x14ac:dyDescent="0.3">
      <c r="B503" s="225">
        <v>10.4</v>
      </c>
      <c r="C503" s="226" t="s">
        <v>278</v>
      </c>
      <c r="D503" s="205" t="s">
        <v>40</v>
      </c>
      <c r="E503" s="206">
        <v>53.19</v>
      </c>
      <c r="F503" s="207">
        <v>96223</v>
      </c>
      <c r="G503" s="306">
        <f t="shared" si="82"/>
        <v>5118101</v>
      </c>
      <c r="H503" s="208">
        <v>0.33</v>
      </c>
      <c r="I503" s="209">
        <f t="shared" si="83"/>
        <v>127976.59000000001</v>
      </c>
      <c r="J503" s="210">
        <f t="shared" si="84"/>
        <v>6807075</v>
      </c>
      <c r="K503" s="121"/>
      <c r="L503" s="211"/>
      <c r="M503" s="212"/>
    </row>
    <row r="504" spans="2:13" ht="46.8" x14ac:dyDescent="0.3">
      <c r="B504" s="225">
        <v>10.5</v>
      </c>
      <c r="C504" s="226" t="s">
        <v>306</v>
      </c>
      <c r="D504" s="205" t="s">
        <v>39</v>
      </c>
      <c r="E504" s="206">
        <v>30</v>
      </c>
      <c r="F504" s="207">
        <v>24437</v>
      </c>
      <c r="G504" s="306">
        <f t="shared" si="82"/>
        <v>733110</v>
      </c>
      <c r="H504" s="208">
        <v>0.33</v>
      </c>
      <c r="I504" s="209">
        <f t="shared" si="83"/>
        <v>32501.210000000003</v>
      </c>
      <c r="J504" s="210">
        <f t="shared" si="84"/>
        <v>975036</v>
      </c>
      <c r="K504" s="121"/>
      <c r="L504" s="211"/>
      <c r="M504" s="212"/>
    </row>
    <row r="505" spans="2:13" ht="31.2" x14ac:dyDescent="0.3">
      <c r="B505" s="225">
        <v>10.6</v>
      </c>
      <c r="C505" s="226" t="s">
        <v>268</v>
      </c>
      <c r="D505" s="205" t="s">
        <v>40</v>
      </c>
      <c r="E505" s="266">
        <v>25</v>
      </c>
      <c r="F505" s="277">
        <v>89552.621529947908</v>
      </c>
      <c r="G505" s="306">
        <f t="shared" si="82"/>
        <v>2238816</v>
      </c>
      <c r="H505" s="208">
        <v>0.33</v>
      </c>
      <c r="I505" s="209">
        <f t="shared" si="83"/>
        <v>119104.98663483073</v>
      </c>
      <c r="J505" s="210">
        <f t="shared" si="84"/>
        <v>2977625</v>
      </c>
      <c r="K505" s="121"/>
      <c r="L505" s="211"/>
      <c r="M505" s="212"/>
    </row>
    <row r="506" spans="2:13" s="202" customFormat="1" x14ac:dyDescent="0.3">
      <c r="B506" s="213">
        <v>11</v>
      </c>
      <c r="C506" s="214" t="s">
        <v>95</v>
      </c>
      <c r="D506" s="215"/>
      <c r="E506" s="216"/>
      <c r="F506" s="217"/>
      <c r="G506" s="309"/>
      <c r="H506" s="219"/>
      <c r="I506" s="220"/>
      <c r="J506" s="221"/>
      <c r="L506" s="223"/>
      <c r="M506" s="224"/>
    </row>
    <row r="507" spans="2:13" ht="46.8" x14ac:dyDescent="0.3">
      <c r="B507" s="225">
        <v>11.1</v>
      </c>
      <c r="C507" s="226" t="s">
        <v>326</v>
      </c>
      <c r="D507" s="205" t="s">
        <v>40</v>
      </c>
      <c r="E507" s="206">
        <v>17.25</v>
      </c>
      <c r="F507" s="207">
        <v>436152</v>
      </c>
      <c r="G507" s="306">
        <f t="shared" si="82"/>
        <v>7523622</v>
      </c>
      <c r="H507" s="208">
        <v>0.33</v>
      </c>
      <c r="I507" s="209">
        <f t="shared" si="83"/>
        <v>580082.16</v>
      </c>
      <c r="J507" s="210">
        <f t="shared" si="84"/>
        <v>10006417</v>
      </c>
      <c r="K507" s="121"/>
      <c r="L507" s="211"/>
      <c r="M507" s="212"/>
    </row>
    <row r="508" spans="2:13" ht="85.95" customHeight="1" x14ac:dyDescent="0.3">
      <c r="B508" s="225">
        <v>11.2</v>
      </c>
      <c r="C508" s="226" t="s">
        <v>327</v>
      </c>
      <c r="D508" s="205" t="s">
        <v>19</v>
      </c>
      <c r="E508" s="266">
        <v>1</v>
      </c>
      <c r="F508" s="207">
        <v>424139.66130208335</v>
      </c>
      <c r="G508" s="306">
        <f t="shared" si="82"/>
        <v>424140</v>
      </c>
      <c r="H508" s="208">
        <v>0.33</v>
      </c>
      <c r="I508" s="209">
        <f t="shared" si="83"/>
        <v>564105.74953177082</v>
      </c>
      <c r="J508" s="210">
        <f t="shared" si="84"/>
        <v>564106</v>
      </c>
      <c r="K508" s="121"/>
      <c r="L508" s="211"/>
      <c r="M508" s="212"/>
    </row>
    <row r="509" spans="2:13" ht="82.2" customHeight="1" x14ac:dyDescent="0.3">
      <c r="B509" s="225">
        <v>11.3</v>
      </c>
      <c r="C509" s="226" t="s">
        <v>328</v>
      </c>
      <c r="D509" s="205" t="s">
        <v>19</v>
      </c>
      <c r="E509" s="266">
        <v>2</v>
      </c>
      <c r="F509" s="207">
        <v>458636.36130208336</v>
      </c>
      <c r="G509" s="306">
        <f t="shared" si="82"/>
        <v>917273</v>
      </c>
      <c r="H509" s="208">
        <v>0.33</v>
      </c>
      <c r="I509" s="209">
        <f t="shared" si="83"/>
        <v>609986.36053177086</v>
      </c>
      <c r="J509" s="210">
        <f t="shared" si="84"/>
        <v>1219973</v>
      </c>
      <c r="K509" s="121"/>
      <c r="L509" s="211"/>
      <c r="M509" s="212"/>
    </row>
    <row r="510" spans="2:13" ht="85.95" customHeight="1" x14ac:dyDescent="0.3">
      <c r="B510" s="225">
        <v>11.4</v>
      </c>
      <c r="C510" s="226" t="s">
        <v>329</v>
      </c>
      <c r="D510" s="205" t="s">
        <v>19</v>
      </c>
      <c r="E510" s="266">
        <v>2</v>
      </c>
      <c r="F510" s="207">
        <v>477520.4013020834</v>
      </c>
      <c r="G510" s="306">
        <f t="shared" si="82"/>
        <v>955041</v>
      </c>
      <c r="H510" s="208">
        <v>0.33</v>
      </c>
      <c r="I510" s="209">
        <f t="shared" si="83"/>
        <v>635102.13373177091</v>
      </c>
      <c r="J510" s="210">
        <f t="shared" si="84"/>
        <v>1270204</v>
      </c>
      <c r="K510" s="121"/>
      <c r="L510" s="211"/>
      <c r="M510" s="212"/>
    </row>
    <row r="511" spans="2:13" s="202" customFormat="1" x14ac:dyDescent="0.3">
      <c r="B511" s="213">
        <v>12</v>
      </c>
      <c r="C511" s="214" t="s">
        <v>85</v>
      </c>
      <c r="D511" s="215"/>
      <c r="E511" s="216"/>
      <c r="F511" s="217"/>
      <c r="G511" s="309"/>
      <c r="H511" s="219"/>
      <c r="I511" s="220"/>
      <c r="J511" s="221"/>
      <c r="L511" s="223"/>
      <c r="M511" s="224"/>
    </row>
    <row r="512" spans="2:13" ht="31.2" x14ac:dyDescent="0.3">
      <c r="B512" s="225">
        <v>12.1</v>
      </c>
      <c r="C512" s="226" t="s">
        <v>272</v>
      </c>
      <c r="D512" s="205" t="s">
        <v>40</v>
      </c>
      <c r="E512" s="266">
        <v>67.650000000000006</v>
      </c>
      <c r="F512" s="277">
        <v>31341</v>
      </c>
      <c r="G512" s="306">
        <f t="shared" si="82"/>
        <v>2120219</v>
      </c>
      <c r="H512" s="208">
        <v>0.33</v>
      </c>
      <c r="I512" s="209">
        <f t="shared" si="83"/>
        <v>41683.53</v>
      </c>
      <c r="J512" s="210">
        <f t="shared" si="84"/>
        <v>2819891</v>
      </c>
      <c r="K512" s="121"/>
      <c r="L512" s="211"/>
      <c r="M512" s="212"/>
    </row>
    <row r="513" spans="2:13" ht="31.2" x14ac:dyDescent="0.3">
      <c r="B513" s="225">
        <v>12.2</v>
      </c>
      <c r="C513" s="226" t="s">
        <v>330</v>
      </c>
      <c r="D513" s="205" t="s">
        <v>40</v>
      </c>
      <c r="E513" s="266">
        <v>51.13</v>
      </c>
      <c r="F513" s="277">
        <v>45844</v>
      </c>
      <c r="G513" s="306">
        <f t="shared" si="82"/>
        <v>2344004</v>
      </c>
      <c r="H513" s="208">
        <v>0.33</v>
      </c>
      <c r="I513" s="209">
        <f t="shared" si="83"/>
        <v>60972.520000000004</v>
      </c>
      <c r="J513" s="210">
        <f t="shared" si="84"/>
        <v>3117525</v>
      </c>
      <c r="K513" s="121"/>
      <c r="L513" s="211"/>
      <c r="M513" s="212"/>
    </row>
    <row r="514" spans="2:13" x14ac:dyDescent="0.3">
      <c r="B514" s="225">
        <v>12.3</v>
      </c>
      <c r="C514" s="226" t="s">
        <v>273</v>
      </c>
      <c r="D514" s="205" t="s">
        <v>40</v>
      </c>
      <c r="E514" s="266">
        <v>24.96</v>
      </c>
      <c r="F514" s="277">
        <v>27454</v>
      </c>
      <c r="G514" s="306">
        <f t="shared" si="82"/>
        <v>685252</v>
      </c>
      <c r="H514" s="208">
        <v>0.33</v>
      </c>
      <c r="I514" s="209">
        <f t="shared" si="83"/>
        <v>36513.82</v>
      </c>
      <c r="J514" s="210">
        <f t="shared" si="84"/>
        <v>911385</v>
      </c>
      <c r="K514" s="121"/>
      <c r="L514" s="211"/>
      <c r="M514" s="212"/>
    </row>
    <row r="515" spans="2:13" x14ac:dyDescent="0.3">
      <c r="B515" s="225">
        <v>12.4</v>
      </c>
      <c r="C515" s="226" t="s">
        <v>274</v>
      </c>
      <c r="D515" s="205" t="s">
        <v>40</v>
      </c>
      <c r="E515" s="266">
        <v>34.51</v>
      </c>
      <c r="F515" s="277">
        <v>19735</v>
      </c>
      <c r="G515" s="306">
        <f t="shared" si="82"/>
        <v>681055</v>
      </c>
      <c r="H515" s="208">
        <v>0.33</v>
      </c>
      <c r="I515" s="209">
        <f t="shared" si="83"/>
        <v>26247.550000000003</v>
      </c>
      <c r="J515" s="210">
        <f t="shared" si="84"/>
        <v>905803</v>
      </c>
      <c r="K515" s="121"/>
      <c r="L515" s="211"/>
      <c r="M515" s="212"/>
    </row>
    <row r="516" spans="2:13" ht="31.2" x14ac:dyDescent="0.3">
      <c r="B516" s="225">
        <v>12.5</v>
      </c>
      <c r="C516" s="226" t="s">
        <v>331</v>
      </c>
      <c r="D516" s="205" t="s">
        <v>40</v>
      </c>
      <c r="E516" s="266">
        <v>20.440000000000001</v>
      </c>
      <c r="F516" s="277">
        <v>42050.385249999999</v>
      </c>
      <c r="G516" s="306">
        <f t="shared" si="82"/>
        <v>859510</v>
      </c>
      <c r="H516" s="208">
        <v>0.33</v>
      </c>
      <c r="I516" s="209">
        <f t="shared" si="83"/>
        <v>55927.012382500005</v>
      </c>
      <c r="J516" s="210">
        <f t="shared" si="84"/>
        <v>1143148</v>
      </c>
      <c r="K516" s="121"/>
      <c r="L516" s="211"/>
      <c r="M516" s="212"/>
    </row>
    <row r="517" spans="2:13" s="202" customFormat="1" x14ac:dyDescent="0.3">
      <c r="B517" s="213">
        <v>13</v>
      </c>
      <c r="C517" s="214" t="s">
        <v>96</v>
      </c>
      <c r="D517" s="215"/>
      <c r="E517" s="216"/>
      <c r="F517" s="217"/>
      <c r="G517" s="309"/>
      <c r="H517" s="219"/>
      <c r="I517" s="220"/>
      <c r="J517" s="221"/>
      <c r="L517" s="223"/>
      <c r="M517" s="224"/>
    </row>
    <row r="518" spans="2:13" ht="66.599999999999994" customHeight="1" x14ac:dyDescent="0.3">
      <c r="B518" s="225">
        <v>13.1</v>
      </c>
      <c r="C518" s="226" t="s">
        <v>332</v>
      </c>
      <c r="D518" s="205" t="s">
        <v>40</v>
      </c>
      <c r="E518" s="206">
        <v>21.2</v>
      </c>
      <c r="F518" s="207">
        <v>155819</v>
      </c>
      <c r="G518" s="306">
        <f t="shared" si="82"/>
        <v>3303363</v>
      </c>
      <c r="H518" s="208">
        <v>0.33</v>
      </c>
      <c r="I518" s="209">
        <f t="shared" si="83"/>
        <v>207239.27000000002</v>
      </c>
      <c r="J518" s="210">
        <f t="shared" si="84"/>
        <v>4393473</v>
      </c>
      <c r="K518" s="121"/>
      <c r="L518" s="211"/>
      <c r="M518" s="212"/>
    </row>
    <row r="519" spans="2:13" s="249" customFormat="1" x14ac:dyDescent="0.3">
      <c r="B519" s="213">
        <v>14</v>
      </c>
      <c r="C519" s="214" t="s">
        <v>41</v>
      </c>
      <c r="D519" s="215"/>
      <c r="E519" s="216"/>
      <c r="F519" s="217"/>
      <c r="G519" s="309"/>
      <c r="H519" s="219"/>
      <c r="I519" s="220"/>
      <c r="J519" s="221"/>
      <c r="K519" s="250"/>
      <c r="L519" s="223"/>
      <c r="M519" s="224"/>
    </row>
    <row r="520" spans="2:13" ht="62.4" x14ac:dyDescent="0.3">
      <c r="B520" s="225">
        <v>14.1</v>
      </c>
      <c r="C520" s="312" t="s">
        <v>333</v>
      </c>
      <c r="D520" s="228" t="s">
        <v>19</v>
      </c>
      <c r="E520" s="266">
        <v>1</v>
      </c>
      <c r="F520" s="277">
        <v>677153</v>
      </c>
      <c r="G520" s="306">
        <f t="shared" si="82"/>
        <v>677153</v>
      </c>
      <c r="H520" s="208">
        <v>0.33</v>
      </c>
      <c r="I520" s="209">
        <f t="shared" si="83"/>
        <v>900613.49</v>
      </c>
      <c r="J520" s="210">
        <f t="shared" si="84"/>
        <v>900613</v>
      </c>
      <c r="K520" s="121"/>
      <c r="L520" s="211"/>
      <c r="M520" s="212"/>
    </row>
    <row r="521" spans="2:13" ht="31.2" x14ac:dyDescent="0.3">
      <c r="B521" s="225">
        <v>14.2</v>
      </c>
      <c r="C521" s="312" t="s">
        <v>238</v>
      </c>
      <c r="D521" s="228" t="s">
        <v>371</v>
      </c>
      <c r="E521" s="266">
        <v>4.8</v>
      </c>
      <c r="F521" s="277">
        <v>39486</v>
      </c>
      <c r="G521" s="306">
        <f t="shared" si="82"/>
        <v>189533</v>
      </c>
      <c r="H521" s="208">
        <v>0.33</v>
      </c>
      <c r="I521" s="209">
        <f t="shared" si="83"/>
        <v>52516.380000000005</v>
      </c>
      <c r="J521" s="210">
        <f t="shared" si="84"/>
        <v>252079</v>
      </c>
      <c r="K521" s="121"/>
      <c r="L521" s="211"/>
      <c r="M521" s="212"/>
    </row>
    <row r="522" spans="2:13" ht="46.8" x14ac:dyDescent="0.3">
      <c r="B522" s="225">
        <v>14.3</v>
      </c>
      <c r="C522" s="312" t="s">
        <v>334</v>
      </c>
      <c r="D522" s="228" t="s">
        <v>19</v>
      </c>
      <c r="E522" s="266">
        <v>1</v>
      </c>
      <c r="F522" s="277">
        <v>514618.27632812504</v>
      </c>
      <c r="G522" s="306">
        <f t="shared" si="82"/>
        <v>514618</v>
      </c>
      <c r="H522" s="208">
        <v>0.33</v>
      </c>
      <c r="I522" s="209">
        <f t="shared" si="83"/>
        <v>684442.30751640629</v>
      </c>
      <c r="J522" s="210">
        <f t="shared" si="84"/>
        <v>684442</v>
      </c>
      <c r="K522" s="121"/>
      <c r="L522" s="211"/>
      <c r="M522" s="212"/>
    </row>
    <row r="523" spans="2:13" x14ac:dyDescent="0.3">
      <c r="B523" s="225">
        <v>14.4</v>
      </c>
      <c r="C523" s="312" t="s">
        <v>335</v>
      </c>
      <c r="D523" s="228" t="s">
        <v>19</v>
      </c>
      <c r="E523" s="266">
        <v>1</v>
      </c>
      <c r="F523" s="277">
        <v>204689.95574999999</v>
      </c>
      <c r="G523" s="306">
        <f t="shared" si="82"/>
        <v>204690</v>
      </c>
      <c r="H523" s="208">
        <v>0.33</v>
      </c>
      <c r="I523" s="209">
        <f t="shared" si="83"/>
        <v>272237.64114750002</v>
      </c>
      <c r="J523" s="210">
        <f t="shared" si="84"/>
        <v>272238</v>
      </c>
      <c r="K523" s="121"/>
      <c r="L523" s="211"/>
      <c r="M523" s="212"/>
    </row>
    <row r="524" spans="2:13" x14ac:dyDescent="0.3">
      <c r="B524" s="225">
        <v>14.5</v>
      </c>
      <c r="C524" s="312" t="s">
        <v>336</v>
      </c>
      <c r="D524" s="228" t="s">
        <v>19</v>
      </c>
      <c r="E524" s="266">
        <v>3</v>
      </c>
      <c r="F524" s="277">
        <v>137716.78828750001</v>
      </c>
      <c r="G524" s="306">
        <f t="shared" si="82"/>
        <v>413150</v>
      </c>
      <c r="H524" s="208">
        <v>0.33</v>
      </c>
      <c r="I524" s="209">
        <f t="shared" si="83"/>
        <v>183163.32842237502</v>
      </c>
      <c r="J524" s="210">
        <f t="shared" si="84"/>
        <v>549490</v>
      </c>
      <c r="K524" s="121"/>
      <c r="L524" s="211"/>
      <c r="M524" s="212"/>
    </row>
    <row r="525" spans="2:13" x14ac:dyDescent="0.3">
      <c r="B525" s="225">
        <v>14.6</v>
      </c>
      <c r="C525" s="312" t="s">
        <v>337</v>
      </c>
      <c r="D525" s="228" t="s">
        <v>19</v>
      </c>
      <c r="E525" s="266">
        <v>2</v>
      </c>
      <c r="F525" s="277">
        <v>69815.570500000002</v>
      </c>
      <c r="G525" s="306">
        <f t="shared" si="82"/>
        <v>139631</v>
      </c>
      <c r="H525" s="208">
        <v>0.33</v>
      </c>
      <c r="I525" s="209">
        <f t="shared" si="83"/>
        <v>92854.708765000003</v>
      </c>
      <c r="J525" s="210">
        <f t="shared" si="84"/>
        <v>185709</v>
      </c>
      <c r="K525" s="121"/>
      <c r="L525" s="211"/>
      <c r="M525" s="212"/>
    </row>
    <row r="526" spans="2:13" ht="31.2" x14ac:dyDescent="0.3">
      <c r="B526" s="225">
        <v>14.7</v>
      </c>
      <c r="C526" s="312" t="s">
        <v>338</v>
      </c>
      <c r="D526" s="228" t="s">
        <v>371</v>
      </c>
      <c r="E526" s="266">
        <v>1.85</v>
      </c>
      <c r="F526" s="277">
        <v>46036.728945312498</v>
      </c>
      <c r="G526" s="306">
        <f t="shared" si="82"/>
        <v>85168</v>
      </c>
      <c r="H526" s="208">
        <v>0.33</v>
      </c>
      <c r="I526" s="209">
        <f t="shared" si="83"/>
        <v>61228.849497265626</v>
      </c>
      <c r="J526" s="210">
        <f t="shared" si="84"/>
        <v>113273</v>
      </c>
      <c r="K526" s="121"/>
      <c r="L526" s="211"/>
      <c r="M526" s="212"/>
    </row>
    <row r="527" spans="2:13" ht="31.2" x14ac:dyDescent="0.3">
      <c r="B527" s="225">
        <v>14.8</v>
      </c>
      <c r="C527" s="312" t="s">
        <v>262</v>
      </c>
      <c r="D527" s="228" t="s">
        <v>19</v>
      </c>
      <c r="E527" s="266">
        <v>3</v>
      </c>
      <c r="F527" s="277">
        <v>32796.088937499997</v>
      </c>
      <c r="G527" s="306">
        <f t="shared" si="82"/>
        <v>98388</v>
      </c>
      <c r="H527" s="208">
        <v>0.33</v>
      </c>
      <c r="I527" s="209">
        <f t="shared" si="83"/>
        <v>43618.798286874997</v>
      </c>
      <c r="J527" s="210">
        <f t="shared" si="84"/>
        <v>130856</v>
      </c>
      <c r="K527" s="121"/>
      <c r="L527" s="211"/>
      <c r="M527" s="212"/>
    </row>
    <row r="528" spans="2:13" ht="31.2" x14ac:dyDescent="0.3">
      <c r="B528" s="225">
        <v>14.9</v>
      </c>
      <c r="C528" s="312" t="s">
        <v>237</v>
      </c>
      <c r="D528" s="228" t="s">
        <v>371</v>
      </c>
      <c r="E528" s="266">
        <v>19.399999999999999</v>
      </c>
      <c r="F528" s="277">
        <v>129953.48156249999</v>
      </c>
      <c r="G528" s="306">
        <f t="shared" si="82"/>
        <v>2521098</v>
      </c>
      <c r="H528" s="208">
        <v>0.33</v>
      </c>
      <c r="I528" s="209">
        <f t="shared" si="83"/>
        <v>172838.13047812501</v>
      </c>
      <c r="J528" s="210">
        <f t="shared" si="84"/>
        <v>3353060</v>
      </c>
      <c r="K528" s="121"/>
      <c r="L528" s="211"/>
      <c r="M528" s="212"/>
    </row>
    <row r="529" spans="2:13" s="249" customFormat="1" x14ac:dyDescent="0.3">
      <c r="B529" s="213">
        <v>15</v>
      </c>
      <c r="C529" s="214" t="s">
        <v>97</v>
      </c>
      <c r="D529" s="215"/>
      <c r="E529" s="216"/>
      <c r="F529" s="217"/>
      <c r="G529" s="309"/>
      <c r="H529" s="219"/>
      <c r="I529" s="220"/>
      <c r="J529" s="221"/>
      <c r="K529" s="250"/>
      <c r="L529" s="223"/>
      <c r="M529" s="224"/>
    </row>
    <row r="530" spans="2:13" x14ac:dyDescent="0.3">
      <c r="B530" s="225">
        <v>15.1</v>
      </c>
      <c r="C530" s="312" t="s">
        <v>339</v>
      </c>
      <c r="D530" s="228" t="s">
        <v>19</v>
      </c>
      <c r="E530" s="266">
        <v>5</v>
      </c>
      <c r="F530" s="277">
        <v>53618.548242187506</v>
      </c>
      <c r="G530" s="306">
        <f t="shared" ref="G530:G546" si="85">+ROUND(E530*F530,0)</f>
        <v>268093</v>
      </c>
      <c r="H530" s="208">
        <v>0.33</v>
      </c>
      <c r="I530" s="209">
        <f t="shared" ref="I530:I546" si="86">(F530*(1+H530))</f>
        <v>71312.669162109392</v>
      </c>
      <c r="J530" s="210">
        <f t="shared" ref="J530:J546" si="87">ROUND(I530*E530,0)</f>
        <v>356563</v>
      </c>
      <c r="K530" s="121"/>
      <c r="L530" s="211"/>
      <c r="M530" s="212"/>
    </row>
    <row r="531" spans="2:13" ht="31.2" x14ac:dyDescent="0.3">
      <c r="B531" s="225">
        <v>15.2</v>
      </c>
      <c r="C531" s="312" t="s">
        <v>260</v>
      </c>
      <c r="D531" s="228" t="s">
        <v>19</v>
      </c>
      <c r="E531" s="266">
        <v>1</v>
      </c>
      <c r="F531" s="277">
        <v>53304.819296875001</v>
      </c>
      <c r="G531" s="306">
        <f t="shared" si="85"/>
        <v>53305</v>
      </c>
      <c r="H531" s="208">
        <v>0.33</v>
      </c>
      <c r="I531" s="209">
        <f t="shared" si="86"/>
        <v>70895.409664843755</v>
      </c>
      <c r="J531" s="210">
        <f t="shared" si="87"/>
        <v>70895</v>
      </c>
      <c r="K531" s="121"/>
      <c r="L531" s="211"/>
      <c r="M531" s="212"/>
    </row>
    <row r="532" spans="2:13" ht="31.2" x14ac:dyDescent="0.3">
      <c r="B532" s="225">
        <v>15.3</v>
      </c>
      <c r="C532" s="312" t="s">
        <v>264</v>
      </c>
      <c r="D532" s="228" t="s">
        <v>39</v>
      </c>
      <c r="E532" s="266">
        <v>4</v>
      </c>
      <c r="F532" s="277">
        <v>9133.541140010002</v>
      </c>
      <c r="G532" s="306">
        <f t="shared" si="85"/>
        <v>36534</v>
      </c>
      <c r="H532" s="208">
        <v>0.33</v>
      </c>
      <c r="I532" s="209">
        <f t="shared" si="86"/>
        <v>12147.609716213303</v>
      </c>
      <c r="J532" s="210">
        <f t="shared" si="87"/>
        <v>48590</v>
      </c>
      <c r="K532" s="121"/>
      <c r="L532" s="211"/>
      <c r="M532" s="212"/>
    </row>
    <row r="533" spans="2:13" ht="46.8" x14ac:dyDescent="0.3">
      <c r="B533" s="225">
        <v>15.4</v>
      </c>
      <c r="C533" s="312" t="s">
        <v>249</v>
      </c>
      <c r="D533" s="228" t="s">
        <v>19</v>
      </c>
      <c r="E533" s="266">
        <v>1</v>
      </c>
      <c r="F533" s="277">
        <v>703118.92625000002</v>
      </c>
      <c r="G533" s="306">
        <f t="shared" si="85"/>
        <v>703119</v>
      </c>
      <c r="H533" s="208">
        <v>0.33</v>
      </c>
      <c r="I533" s="209">
        <f t="shared" si="86"/>
        <v>935148.17191250005</v>
      </c>
      <c r="J533" s="210">
        <f t="shared" si="87"/>
        <v>935148</v>
      </c>
      <c r="K533" s="121"/>
      <c r="L533" s="211"/>
      <c r="M533" s="212"/>
    </row>
    <row r="534" spans="2:13" x14ac:dyDescent="0.3">
      <c r="B534" s="225">
        <v>15.5</v>
      </c>
      <c r="C534" s="312" t="s">
        <v>340</v>
      </c>
      <c r="D534" s="228" t="s">
        <v>19</v>
      </c>
      <c r="E534" s="266">
        <v>1</v>
      </c>
      <c r="F534" s="277">
        <v>48414.625250000005</v>
      </c>
      <c r="G534" s="306">
        <f t="shared" si="85"/>
        <v>48415</v>
      </c>
      <c r="H534" s="208">
        <v>0.33</v>
      </c>
      <c r="I534" s="209">
        <f t="shared" si="86"/>
        <v>64391.451582500013</v>
      </c>
      <c r="J534" s="210">
        <f t="shared" si="87"/>
        <v>64391</v>
      </c>
      <c r="K534" s="121"/>
      <c r="L534" s="211"/>
      <c r="M534" s="212"/>
    </row>
    <row r="535" spans="2:13" s="249" customFormat="1" x14ac:dyDescent="0.3">
      <c r="B535" s="213">
        <v>16</v>
      </c>
      <c r="C535" s="214" t="s">
        <v>98</v>
      </c>
      <c r="D535" s="215"/>
      <c r="E535" s="216"/>
      <c r="F535" s="217"/>
      <c r="G535" s="309"/>
      <c r="H535" s="219"/>
      <c r="I535" s="220"/>
      <c r="J535" s="221"/>
      <c r="K535" s="250"/>
      <c r="L535" s="223"/>
      <c r="M535" s="224"/>
    </row>
    <row r="536" spans="2:13" ht="31.2" x14ac:dyDescent="0.3">
      <c r="B536" s="225">
        <v>16.100000000000001</v>
      </c>
      <c r="C536" s="312" t="s">
        <v>341</v>
      </c>
      <c r="D536" s="228" t="s">
        <v>19</v>
      </c>
      <c r="E536" s="266">
        <v>1</v>
      </c>
      <c r="F536" s="277">
        <v>189966.96312500001</v>
      </c>
      <c r="G536" s="306">
        <f t="shared" si="85"/>
        <v>189967</v>
      </c>
      <c r="H536" s="208">
        <v>0.33</v>
      </c>
      <c r="I536" s="209">
        <f t="shared" si="86"/>
        <v>252656.06095625003</v>
      </c>
      <c r="J536" s="210">
        <f t="shared" si="87"/>
        <v>252656</v>
      </c>
      <c r="K536" s="121"/>
      <c r="L536" s="211"/>
      <c r="M536" s="212"/>
    </row>
    <row r="537" spans="2:13" ht="62.4" x14ac:dyDescent="0.3">
      <c r="B537" s="225">
        <v>16.2</v>
      </c>
      <c r="C537" s="312" t="s">
        <v>342</v>
      </c>
      <c r="D537" s="228" t="s">
        <v>19</v>
      </c>
      <c r="E537" s="266">
        <v>1</v>
      </c>
      <c r="F537" s="277">
        <v>151005.81736328124</v>
      </c>
      <c r="G537" s="306">
        <f t="shared" si="85"/>
        <v>151006</v>
      </c>
      <c r="H537" s="208">
        <v>0.33</v>
      </c>
      <c r="I537" s="209">
        <f t="shared" si="86"/>
        <v>200837.73709316406</v>
      </c>
      <c r="J537" s="210">
        <f t="shared" si="87"/>
        <v>200838</v>
      </c>
      <c r="K537" s="121"/>
      <c r="L537" s="211"/>
      <c r="M537" s="212"/>
    </row>
    <row r="538" spans="2:13" ht="31.2" x14ac:dyDescent="0.3">
      <c r="B538" s="225">
        <v>16.3</v>
      </c>
      <c r="C538" s="312" t="s">
        <v>343</v>
      </c>
      <c r="D538" s="228" t="s">
        <v>19</v>
      </c>
      <c r="E538" s="266">
        <v>1</v>
      </c>
      <c r="F538" s="277">
        <v>193524.30375458984</v>
      </c>
      <c r="G538" s="306">
        <f t="shared" si="85"/>
        <v>193524</v>
      </c>
      <c r="H538" s="208">
        <v>0.33</v>
      </c>
      <c r="I538" s="209">
        <f t="shared" si="86"/>
        <v>257387.32399360451</v>
      </c>
      <c r="J538" s="210">
        <f t="shared" si="87"/>
        <v>257387</v>
      </c>
      <c r="K538" s="121"/>
      <c r="L538" s="211"/>
      <c r="M538" s="212"/>
    </row>
    <row r="539" spans="2:13" ht="31.2" x14ac:dyDescent="0.3">
      <c r="B539" s="225">
        <v>16.399999999999999</v>
      </c>
      <c r="C539" s="312" t="s">
        <v>265</v>
      </c>
      <c r="D539" s="228" t="s">
        <v>19</v>
      </c>
      <c r="E539" s="266">
        <v>1</v>
      </c>
      <c r="F539" s="277">
        <v>390728.67431249999</v>
      </c>
      <c r="G539" s="306">
        <f t="shared" si="85"/>
        <v>390729</v>
      </c>
      <c r="H539" s="208">
        <v>0.33</v>
      </c>
      <c r="I539" s="209">
        <f t="shared" si="86"/>
        <v>519669.13683562505</v>
      </c>
      <c r="J539" s="210">
        <f t="shared" si="87"/>
        <v>519669</v>
      </c>
      <c r="K539" s="121"/>
      <c r="L539" s="211"/>
      <c r="M539" s="212"/>
    </row>
    <row r="540" spans="2:13" ht="31.2" x14ac:dyDescent="0.3">
      <c r="B540" s="225">
        <v>16.5</v>
      </c>
      <c r="C540" s="312" t="s">
        <v>344</v>
      </c>
      <c r="D540" s="228" t="s">
        <v>19</v>
      </c>
      <c r="E540" s="266">
        <v>1</v>
      </c>
      <c r="F540" s="277">
        <v>585968</v>
      </c>
      <c r="G540" s="306">
        <f t="shared" si="85"/>
        <v>585968</v>
      </c>
      <c r="H540" s="208">
        <v>0.33</v>
      </c>
      <c r="I540" s="209">
        <f t="shared" si="86"/>
        <v>779337.44000000006</v>
      </c>
      <c r="J540" s="210">
        <f t="shared" si="87"/>
        <v>779337</v>
      </c>
      <c r="K540" s="121"/>
      <c r="L540" s="211"/>
      <c r="M540" s="212"/>
    </row>
    <row r="541" spans="2:13" ht="31.2" x14ac:dyDescent="0.3">
      <c r="B541" s="225">
        <v>16.600000000000001</v>
      </c>
      <c r="C541" s="312" t="s">
        <v>345</v>
      </c>
      <c r="D541" s="228" t="s">
        <v>19</v>
      </c>
      <c r="E541" s="266">
        <v>1</v>
      </c>
      <c r="F541" s="277">
        <v>235033</v>
      </c>
      <c r="G541" s="306">
        <f t="shared" si="85"/>
        <v>235033</v>
      </c>
      <c r="H541" s="208">
        <v>0.33</v>
      </c>
      <c r="I541" s="209">
        <f t="shared" si="86"/>
        <v>312593.89</v>
      </c>
      <c r="J541" s="210">
        <f t="shared" si="87"/>
        <v>312594</v>
      </c>
      <c r="K541" s="121"/>
      <c r="L541" s="211"/>
      <c r="M541" s="212"/>
    </row>
    <row r="542" spans="2:13" ht="44.4" customHeight="1" x14ac:dyDescent="0.3">
      <c r="B542" s="225">
        <v>16.7</v>
      </c>
      <c r="C542" s="312" t="s">
        <v>346</v>
      </c>
      <c r="D542" s="228" t="s">
        <v>39</v>
      </c>
      <c r="E542" s="266">
        <v>4.6265000000000001</v>
      </c>
      <c r="F542" s="277">
        <v>448570.67918613931</v>
      </c>
      <c r="G542" s="306">
        <f t="shared" si="85"/>
        <v>2075312</v>
      </c>
      <c r="H542" s="208">
        <v>0.33</v>
      </c>
      <c r="I542" s="209">
        <f t="shared" si="86"/>
        <v>596599.00331756531</v>
      </c>
      <c r="J542" s="210">
        <f t="shared" si="87"/>
        <v>2760165</v>
      </c>
      <c r="K542" s="121"/>
      <c r="L542" s="211"/>
      <c r="M542" s="212"/>
    </row>
    <row r="543" spans="2:13" ht="46.8" x14ac:dyDescent="0.3">
      <c r="B543" s="225">
        <v>16.8</v>
      </c>
      <c r="C543" s="312" t="s">
        <v>347</v>
      </c>
      <c r="D543" s="228" t="s">
        <v>39</v>
      </c>
      <c r="E543" s="266">
        <v>3.15</v>
      </c>
      <c r="F543" s="277">
        <v>396455</v>
      </c>
      <c r="G543" s="306">
        <f t="shared" si="85"/>
        <v>1248833</v>
      </c>
      <c r="H543" s="208">
        <v>0.33</v>
      </c>
      <c r="I543" s="209">
        <f t="shared" si="86"/>
        <v>527285.15</v>
      </c>
      <c r="J543" s="210">
        <f t="shared" si="87"/>
        <v>1660948</v>
      </c>
      <c r="K543" s="121"/>
      <c r="L543" s="211"/>
      <c r="M543" s="212"/>
    </row>
    <row r="544" spans="2:13" s="249" customFormat="1" x14ac:dyDescent="0.3">
      <c r="B544" s="213">
        <v>15</v>
      </c>
      <c r="C544" s="214" t="s">
        <v>99</v>
      </c>
      <c r="D544" s="215"/>
      <c r="E544" s="216"/>
      <c r="F544" s="217"/>
      <c r="G544" s="309"/>
      <c r="H544" s="219"/>
      <c r="I544" s="220"/>
      <c r="J544" s="221"/>
      <c r="K544" s="250"/>
      <c r="L544" s="223"/>
      <c r="M544" s="224"/>
    </row>
    <row r="545" spans="2:18" x14ac:dyDescent="0.3">
      <c r="B545" s="225">
        <v>15.1</v>
      </c>
      <c r="C545" s="312" t="s">
        <v>100</v>
      </c>
      <c r="D545" s="228" t="s">
        <v>19</v>
      </c>
      <c r="E545" s="266">
        <v>1</v>
      </c>
      <c r="F545" s="277">
        <v>180000</v>
      </c>
      <c r="G545" s="306">
        <f t="shared" si="85"/>
        <v>180000</v>
      </c>
      <c r="H545" s="208">
        <v>0.33</v>
      </c>
      <c r="I545" s="209">
        <f t="shared" si="86"/>
        <v>239400</v>
      </c>
      <c r="J545" s="210">
        <f t="shared" si="87"/>
        <v>239400</v>
      </c>
      <c r="K545" s="121"/>
      <c r="L545" s="211"/>
      <c r="M545" s="212"/>
    </row>
    <row r="546" spans="2:18" ht="16.2" thickBot="1" x14ac:dyDescent="0.35">
      <c r="B546" s="318">
        <v>15.2</v>
      </c>
      <c r="C546" s="319" t="s">
        <v>101</v>
      </c>
      <c r="D546" s="263" t="s">
        <v>19</v>
      </c>
      <c r="E546" s="320">
        <v>3</v>
      </c>
      <c r="F546" s="321">
        <v>220000</v>
      </c>
      <c r="G546" s="322">
        <f t="shared" si="85"/>
        <v>660000</v>
      </c>
      <c r="H546" s="234">
        <v>0.33</v>
      </c>
      <c r="I546" s="235">
        <f t="shared" si="86"/>
        <v>292600</v>
      </c>
      <c r="J546" s="236">
        <f t="shared" si="87"/>
        <v>877800</v>
      </c>
      <c r="K546" s="121"/>
      <c r="L546" s="211"/>
      <c r="M546" s="212"/>
    </row>
    <row r="547" spans="2:18" x14ac:dyDescent="0.3">
      <c r="B547" s="121"/>
      <c r="C547" s="122"/>
      <c r="D547" s="123"/>
      <c r="E547" s="238"/>
      <c r="F547" s="239"/>
      <c r="G547" s="239"/>
      <c r="H547" s="252"/>
      <c r="I547" s="133"/>
      <c r="J547" s="133"/>
      <c r="K547" s="121"/>
      <c r="L547" s="211"/>
    </row>
    <row r="548" spans="2:18" s="119" customFormat="1" ht="18" customHeight="1" x14ac:dyDescent="0.3">
      <c r="B548" s="253"/>
      <c r="C548" s="118"/>
      <c r="D548" s="121"/>
      <c r="E548" s="124"/>
      <c r="F548" s="125"/>
      <c r="G548" s="125"/>
      <c r="H548" s="125"/>
      <c r="I548" s="125"/>
      <c r="J548" s="254"/>
      <c r="L548" s="211"/>
      <c r="M548" s="117"/>
      <c r="N548" s="126"/>
      <c r="O548" s="126"/>
      <c r="P548" s="126"/>
    </row>
    <row r="549" spans="2:18" x14ac:dyDescent="0.3">
      <c r="B549" s="242"/>
      <c r="C549" s="243"/>
      <c r="D549" s="483" t="s">
        <v>215</v>
      </c>
      <c r="E549" s="483"/>
      <c r="F549" s="483"/>
      <c r="G549" s="255">
        <f>SUM(G459:G547)</f>
        <v>151820992</v>
      </c>
      <c r="H549" s="245"/>
      <c r="I549" s="141"/>
      <c r="J549" s="256">
        <f>SUM(J459:J546)</f>
        <v>201921909</v>
      </c>
      <c r="L549" s="133"/>
      <c r="M549" s="133"/>
    </row>
    <row r="550" spans="2:18" x14ac:dyDescent="0.3">
      <c r="B550" s="139"/>
      <c r="C550" s="243"/>
      <c r="D550" s="135"/>
      <c r="E550" s="247"/>
      <c r="F550" s="135"/>
      <c r="G550" s="141"/>
      <c r="H550" s="245"/>
      <c r="I550" s="141"/>
      <c r="J550" s="141"/>
      <c r="L550" s="211"/>
    </row>
    <row r="551" spans="2:18" ht="16.2" thickBot="1" x14ac:dyDescent="0.35">
      <c r="B551" s="139"/>
      <c r="C551" s="243"/>
      <c r="D551" s="135"/>
      <c r="E551" s="247"/>
      <c r="F551" s="135"/>
      <c r="G551" s="141"/>
      <c r="H551" s="245"/>
      <c r="I551" s="141"/>
      <c r="J551" s="141"/>
      <c r="L551" s="211"/>
    </row>
    <row r="552" spans="2:18" s="323" customFormat="1" ht="36" customHeight="1" thickBot="1" x14ac:dyDescent="0.35">
      <c r="B552" s="480" t="s">
        <v>102</v>
      </c>
      <c r="C552" s="481"/>
      <c r="D552" s="481"/>
      <c r="E552" s="481"/>
      <c r="F552" s="481"/>
      <c r="G552" s="481"/>
      <c r="H552" s="481"/>
      <c r="I552" s="481"/>
      <c r="J552" s="482"/>
      <c r="L552" s="211"/>
      <c r="M552" s="117"/>
    </row>
    <row r="553" spans="2:18" s="119" customFormat="1" ht="46.2" customHeight="1" thickBot="1" x14ac:dyDescent="0.35">
      <c r="B553" s="187" t="s">
        <v>6</v>
      </c>
      <c r="C553" s="188" t="s">
        <v>7</v>
      </c>
      <c r="D553" s="189" t="s">
        <v>8</v>
      </c>
      <c r="E553" s="190" t="s">
        <v>9</v>
      </c>
      <c r="F553" s="191" t="s">
        <v>10</v>
      </c>
      <c r="G553" s="192" t="s">
        <v>11</v>
      </c>
      <c r="H553" s="192" t="s">
        <v>12</v>
      </c>
      <c r="I553" s="192" t="s">
        <v>13</v>
      </c>
      <c r="J553" s="193" t="s">
        <v>14</v>
      </c>
      <c r="L553" s="211"/>
      <c r="M553" s="117"/>
    </row>
    <row r="554" spans="2:18" s="202" customFormat="1" ht="15.75" customHeight="1" x14ac:dyDescent="0.3">
      <c r="B554" s="195">
        <v>1</v>
      </c>
      <c r="C554" s="248" t="s">
        <v>15</v>
      </c>
      <c r="D554" s="197"/>
      <c r="E554" s="198"/>
      <c r="F554" s="199"/>
      <c r="G554" s="199"/>
      <c r="H554" s="286"/>
      <c r="I554" s="287"/>
      <c r="J554" s="288"/>
      <c r="L554" s="223"/>
      <c r="M554" s="249"/>
    </row>
    <row r="555" spans="2:18" ht="31.95" customHeight="1" x14ac:dyDescent="0.3">
      <c r="B555" s="203">
        <v>1.1000000000000001</v>
      </c>
      <c r="C555" s="226" t="s">
        <v>309</v>
      </c>
      <c r="D555" s="205" t="s">
        <v>39</v>
      </c>
      <c r="E555" s="206">
        <v>115.44</v>
      </c>
      <c r="F555" s="207">
        <v>3251</v>
      </c>
      <c r="G555" s="207">
        <f>+ROUND(E555*F555,0)</f>
        <v>375295</v>
      </c>
      <c r="H555" s="208">
        <v>0.33</v>
      </c>
      <c r="I555" s="209">
        <f>(F555*(1+H555))</f>
        <v>4323.83</v>
      </c>
      <c r="J555" s="210">
        <f>ROUND(I555*E555,0)</f>
        <v>499143</v>
      </c>
      <c r="L555" s="211"/>
    </row>
    <row r="556" spans="2:18" ht="39.6" customHeight="1" x14ac:dyDescent="0.3">
      <c r="B556" s="203">
        <v>1.2</v>
      </c>
      <c r="C556" s="226" t="s">
        <v>348</v>
      </c>
      <c r="D556" s="205" t="s">
        <v>40</v>
      </c>
      <c r="E556" s="206">
        <f>E555*0.3</f>
        <v>34.631999999999998</v>
      </c>
      <c r="F556" s="207">
        <v>16745</v>
      </c>
      <c r="G556" s="207">
        <f t="shared" ref="G556:G558" si="88">+ROUND(E556*F556,0)</f>
        <v>579913</v>
      </c>
      <c r="H556" s="208">
        <v>0.33</v>
      </c>
      <c r="I556" s="209">
        <f t="shared" ref="I556:I558" si="89">(F556*(1+H556))</f>
        <v>22270.850000000002</v>
      </c>
      <c r="J556" s="210">
        <f t="shared" ref="J556:J558" si="90">ROUND(I556*E556,0)</f>
        <v>771284</v>
      </c>
      <c r="L556" s="211"/>
    </row>
    <row r="557" spans="2:18" s="202" customFormat="1" x14ac:dyDescent="0.3">
      <c r="B557" s="213">
        <v>2</v>
      </c>
      <c r="C557" s="214" t="s">
        <v>64</v>
      </c>
      <c r="D557" s="215"/>
      <c r="E557" s="216"/>
      <c r="F557" s="217"/>
      <c r="G557" s="218"/>
      <c r="H557" s="219"/>
      <c r="I557" s="220"/>
      <c r="J557" s="221"/>
      <c r="L557" s="223"/>
      <c r="M557" s="249"/>
    </row>
    <row r="558" spans="2:18" ht="33" customHeight="1" x14ac:dyDescent="0.3">
      <c r="B558" s="225">
        <v>2.1</v>
      </c>
      <c r="C558" s="226" t="s">
        <v>284</v>
      </c>
      <c r="D558" s="205" t="s">
        <v>65</v>
      </c>
      <c r="E558" s="206">
        <f>E555*0.6*0.3</f>
        <v>20.779199999999999</v>
      </c>
      <c r="F558" s="207">
        <v>58785</v>
      </c>
      <c r="G558" s="207">
        <f t="shared" si="88"/>
        <v>1221505</v>
      </c>
      <c r="H558" s="208">
        <v>0.33</v>
      </c>
      <c r="I558" s="209">
        <f t="shared" si="89"/>
        <v>78184.05</v>
      </c>
      <c r="J558" s="210">
        <f t="shared" si="90"/>
        <v>1624602</v>
      </c>
      <c r="L558" s="211"/>
    </row>
    <row r="559" spans="2:18" s="202" customFormat="1" x14ac:dyDescent="0.3">
      <c r="B559" s="213">
        <v>3</v>
      </c>
      <c r="C559" s="214" t="s">
        <v>92</v>
      </c>
      <c r="D559" s="215"/>
      <c r="E559" s="216"/>
      <c r="F559" s="217"/>
      <c r="G559" s="218"/>
      <c r="H559" s="219"/>
      <c r="I559" s="220"/>
      <c r="J559" s="221"/>
      <c r="L559" s="223"/>
      <c r="M559" s="249"/>
      <c r="P559" s="202" t="s">
        <v>103</v>
      </c>
      <c r="Q559" s="324">
        <f>(115.44-15.2)/2.6</f>
        <v>38.553846153846152</v>
      </c>
      <c r="R559" s="249" t="s">
        <v>104</v>
      </c>
    </row>
    <row r="560" spans="2:18" ht="31.95" customHeight="1" x14ac:dyDescent="0.3">
      <c r="B560" s="225">
        <v>3.1</v>
      </c>
      <c r="C560" s="226" t="s">
        <v>301</v>
      </c>
      <c r="D560" s="205" t="s">
        <v>65</v>
      </c>
      <c r="E560" s="206">
        <f>E555*0.3*0.4</f>
        <v>13.8528</v>
      </c>
      <c r="F560" s="207">
        <v>487233</v>
      </c>
      <c r="G560" s="207">
        <f t="shared" ref="G560:G574" si="91">+ROUND(E560*F560,0)</f>
        <v>6749541</v>
      </c>
      <c r="H560" s="208">
        <v>0.33</v>
      </c>
      <c r="I560" s="209">
        <f t="shared" ref="I560:I574" si="92">(F560*(1+H560))</f>
        <v>648019.89</v>
      </c>
      <c r="J560" s="210">
        <f t="shared" ref="J560:J574" si="93">ROUND(I560*E560,0)</f>
        <v>8976890</v>
      </c>
      <c r="L560" s="211"/>
      <c r="Q560" s="325">
        <f>15.2/2.6</f>
        <v>5.8461538461538458</v>
      </c>
      <c r="R560" s="119" t="s">
        <v>105</v>
      </c>
    </row>
    <row r="561" spans="2:20" ht="36" customHeight="1" x14ac:dyDescent="0.3">
      <c r="B561" s="225">
        <v>3.2</v>
      </c>
      <c r="C561" s="226" t="s">
        <v>302</v>
      </c>
      <c r="D561" s="205" t="s">
        <v>39</v>
      </c>
      <c r="E561" s="206">
        <f>E555</f>
        <v>115.44</v>
      </c>
      <c r="F561" s="207">
        <v>43791</v>
      </c>
      <c r="G561" s="207">
        <f t="shared" si="91"/>
        <v>5055233</v>
      </c>
      <c r="H561" s="208">
        <v>0.33</v>
      </c>
      <c r="I561" s="209">
        <f t="shared" si="92"/>
        <v>58242.030000000006</v>
      </c>
      <c r="J561" s="210">
        <f t="shared" si="93"/>
        <v>6723460</v>
      </c>
      <c r="L561" s="211"/>
      <c r="O561" s="118"/>
      <c r="P561" s="325">
        <f>4*0.996*E561</f>
        <v>459.91296</v>
      </c>
      <c r="Q561" s="117">
        <f>((0.15*4+0.075*2)*0.56)*R561</f>
        <v>242.42400000000001</v>
      </c>
      <c r="R561" s="326">
        <f>+E555/0.2</f>
        <v>577.19999999999993</v>
      </c>
    </row>
    <row r="562" spans="2:20" s="202" customFormat="1" x14ac:dyDescent="0.3">
      <c r="B562" s="213">
        <v>4</v>
      </c>
      <c r="C562" s="214" t="s">
        <v>75</v>
      </c>
      <c r="D562" s="215"/>
      <c r="E562" s="216"/>
      <c r="F562" s="217"/>
      <c r="G562" s="218"/>
      <c r="H562" s="219"/>
      <c r="I562" s="220"/>
      <c r="J562" s="221"/>
      <c r="L562" s="223"/>
      <c r="M562" s="249"/>
    </row>
    <row r="563" spans="2:20" ht="33" customHeight="1" x14ac:dyDescent="0.3">
      <c r="B563" s="225">
        <v>4.0999999999999996</v>
      </c>
      <c r="C563" s="226" t="s">
        <v>293</v>
      </c>
      <c r="D563" s="228" t="s">
        <v>39</v>
      </c>
      <c r="E563" s="206">
        <f>47*0.6+8*0.7</f>
        <v>33.799999999999997</v>
      </c>
      <c r="F563" s="207">
        <v>91167</v>
      </c>
      <c r="G563" s="207">
        <f t="shared" si="91"/>
        <v>3081445</v>
      </c>
      <c r="H563" s="208">
        <v>0.33</v>
      </c>
      <c r="I563" s="209">
        <f t="shared" si="92"/>
        <v>121252.11</v>
      </c>
      <c r="J563" s="210">
        <f t="shared" si="93"/>
        <v>4098321</v>
      </c>
      <c r="L563" s="211"/>
      <c r="O563" s="327"/>
      <c r="P563" s="328" t="s">
        <v>106</v>
      </c>
      <c r="Q563" s="118" t="s">
        <v>107</v>
      </c>
      <c r="R563" s="117">
        <f>4*0.996*E563</f>
        <v>134.6592</v>
      </c>
      <c r="S563" s="117">
        <f>((0.15*4+2*0.075)*0.56)*T563</f>
        <v>94.64</v>
      </c>
      <c r="T563" s="326">
        <f>E563/0.15</f>
        <v>225.33333333333331</v>
      </c>
    </row>
    <row r="564" spans="2:20" ht="33.6" customHeight="1" x14ac:dyDescent="0.3">
      <c r="B564" s="225">
        <v>4.2</v>
      </c>
      <c r="C564" s="226" t="s">
        <v>296</v>
      </c>
      <c r="D564" s="228" t="s">
        <v>83</v>
      </c>
      <c r="E564" s="206">
        <f>+P561+Q561+R563+S563+S566+S567</f>
        <v>1139.85096</v>
      </c>
      <c r="F564" s="207">
        <v>9582</v>
      </c>
      <c r="G564" s="207">
        <f t="shared" si="91"/>
        <v>10922052</v>
      </c>
      <c r="H564" s="208">
        <v>0.33</v>
      </c>
      <c r="I564" s="209">
        <f t="shared" si="92"/>
        <v>12744.060000000001</v>
      </c>
      <c r="J564" s="210">
        <f t="shared" si="93"/>
        <v>14526329</v>
      </c>
      <c r="L564" s="211"/>
    </row>
    <row r="565" spans="2:20" s="202" customFormat="1" x14ac:dyDescent="0.3">
      <c r="B565" s="213">
        <v>5</v>
      </c>
      <c r="C565" s="214" t="s">
        <v>108</v>
      </c>
      <c r="D565" s="215"/>
      <c r="E565" s="216"/>
      <c r="F565" s="217"/>
      <c r="G565" s="218"/>
      <c r="H565" s="219"/>
      <c r="I565" s="220"/>
      <c r="J565" s="221"/>
      <c r="L565" s="223"/>
      <c r="M565" s="249"/>
      <c r="P565" s="202" t="s">
        <v>216</v>
      </c>
      <c r="S565" s="202" t="s">
        <v>175</v>
      </c>
    </row>
    <row r="566" spans="2:20" s="330" customFormat="1" ht="22.95" customHeight="1" x14ac:dyDescent="0.3">
      <c r="B566" s="294">
        <v>5.0999999999999996</v>
      </c>
      <c r="C566" s="204" t="s">
        <v>349</v>
      </c>
      <c r="D566" s="296" t="s">
        <v>40</v>
      </c>
      <c r="E566" s="329">
        <f>45*2.4*0.6</f>
        <v>64.8</v>
      </c>
      <c r="F566" s="297">
        <v>121559</v>
      </c>
      <c r="G566" s="207">
        <f t="shared" si="91"/>
        <v>7877023</v>
      </c>
      <c r="H566" s="208">
        <v>0.33</v>
      </c>
      <c r="I566" s="209">
        <f t="shared" si="92"/>
        <v>161673.47</v>
      </c>
      <c r="J566" s="210">
        <f t="shared" si="93"/>
        <v>10476441</v>
      </c>
      <c r="L566" s="211"/>
      <c r="M566" s="117"/>
      <c r="P566" s="330" t="s">
        <v>217</v>
      </c>
      <c r="Q566" s="330">
        <v>0.56000000000000005</v>
      </c>
      <c r="R566" s="330">
        <f>+Q566*2</f>
        <v>1.1200000000000001</v>
      </c>
      <c r="S566" s="331">
        <f>+(R566*E555)+1</f>
        <v>130.2928</v>
      </c>
    </row>
    <row r="567" spans="2:20" s="330" customFormat="1" ht="37.200000000000003" customHeight="1" x14ac:dyDescent="0.3">
      <c r="B567" s="294">
        <v>5.2</v>
      </c>
      <c r="C567" s="204" t="s">
        <v>319</v>
      </c>
      <c r="D567" s="296" t="s">
        <v>39</v>
      </c>
      <c r="E567" s="329">
        <f>+E555</f>
        <v>115.44</v>
      </c>
      <c r="F567" s="297">
        <v>46745</v>
      </c>
      <c r="G567" s="207">
        <f t="shared" si="91"/>
        <v>5396243</v>
      </c>
      <c r="H567" s="208">
        <v>0.33</v>
      </c>
      <c r="I567" s="209">
        <f t="shared" si="92"/>
        <v>62170.850000000006</v>
      </c>
      <c r="J567" s="210">
        <f t="shared" si="93"/>
        <v>7177003</v>
      </c>
      <c r="L567" s="211"/>
      <c r="M567" s="117"/>
      <c r="P567" s="330" t="s">
        <v>218</v>
      </c>
      <c r="Q567" s="330">
        <v>0.25</v>
      </c>
      <c r="R567" s="330">
        <f>+Q567*((0.11+0.11+0.05)*10)</f>
        <v>0.67500000000000004</v>
      </c>
      <c r="S567" s="332">
        <f>+R567*E555</f>
        <v>77.921999999999997</v>
      </c>
    </row>
    <row r="568" spans="2:20" s="202" customFormat="1" ht="15.75" customHeight="1" x14ac:dyDescent="0.3">
      <c r="B568" s="213">
        <v>6</v>
      </c>
      <c r="C568" s="276" t="s">
        <v>60</v>
      </c>
      <c r="D568" s="215"/>
      <c r="E568" s="216"/>
      <c r="F568" s="217"/>
      <c r="G568" s="218"/>
      <c r="H568" s="219"/>
      <c r="I568" s="220"/>
      <c r="J568" s="221"/>
      <c r="L568" s="223"/>
      <c r="M568" s="249"/>
    </row>
    <row r="569" spans="2:20" s="119" customFormat="1" ht="79.95" customHeight="1" x14ac:dyDescent="0.3">
      <c r="B569" s="225">
        <v>6.1</v>
      </c>
      <c r="C569" s="226" t="s">
        <v>350</v>
      </c>
      <c r="D569" s="228" t="s">
        <v>39</v>
      </c>
      <c r="E569" s="206">
        <f>47*3.05+8*3</f>
        <v>167.35</v>
      </c>
      <c r="F569" s="207">
        <v>68440</v>
      </c>
      <c r="G569" s="207">
        <f t="shared" si="91"/>
        <v>11453434</v>
      </c>
      <c r="H569" s="208">
        <v>0.33</v>
      </c>
      <c r="I569" s="209">
        <f t="shared" si="92"/>
        <v>91025.200000000012</v>
      </c>
      <c r="J569" s="210">
        <f t="shared" si="93"/>
        <v>15233067</v>
      </c>
      <c r="L569" s="211"/>
      <c r="M569" s="117"/>
    </row>
    <row r="570" spans="2:20" s="119" customFormat="1" ht="90.6" customHeight="1" x14ac:dyDescent="0.3">
      <c r="B570" s="225">
        <v>6.2</v>
      </c>
      <c r="C570" s="226" t="s">
        <v>351</v>
      </c>
      <c r="D570" s="228" t="s">
        <v>40</v>
      </c>
      <c r="E570" s="206">
        <f>45*2.5*1.8</f>
        <v>202.5</v>
      </c>
      <c r="F570" s="207">
        <v>125602</v>
      </c>
      <c r="G570" s="207">
        <f t="shared" si="91"/>
        <v>25434405</v>
      </c>
      <c r="H570" s="208">
        <v>0.33</v>
      </c>
      <c r="I570" s="209">
        <f t="shared" si="92"/>
        <v>167050.66</v>
      </c>
      <c r="J570" s="210">
        <f t="shared" si="93"/>
        <v>33827759</v>
      </c>
      <c r="L570" s="211"/>
      <c r="M570" s="117"/>
      <c r="O570" s="333"/>
    </row>
    <row r="571" spans="2:20" s="119" customFormat="1" ht="31.2" x14ac:dyDescent="0.3">
      <c r="B571" s="225">
        <v>6.3</v>
      </c>
      <c r="C571" s="226" t="s">
        <v>352</v>
      </c>
      <c r="D571" s="228" t="s">
        <v>39</v>
      </c>
      <c r="E571" s="206">
        <f>E555</f>
        <v>115.44</v>
      </c>
      <c r="F571" s="297">
        <v>17498</v>
      </c>
      <c r="G571" s="207">
        <f t="shared" si="91"/>
        <v>2019969</v>
      </c>
      <c r="H571" s="208">
        <v>0.33</v>
      </c>
      <c r="I571" s="209">
        <f t="shared" si="92"/>
        <v>23272.34</v>
      </c>
      <c r="J571" s="210">
        <f t="shared" si="93"/>
        <v>2686559</v>
      </c>
      <c r="L571" s="211"/>
      <c r="M571" s="117"/>
    </row>
    <row r="572" spans="2:20" s="202" customFormat="1" x14ac:dyDescent="0.3">
      <c r="B572" s="213">
        <v>7</v>
      </c>
      <c r="C572" s="214" t="s">
        <v>17</v>
      </c>
      <c r="D572" s="215"/>
      <c r="E572" s="216"/>
      <c r="F572" s="217"/>
      <c r="G572" s="218"/>
      <c r="H572" s="219"/>
      <c r="I572" s="220"/>
      <c r="J572" s="221"/>
      <c r="L572" s="223"/>
      <c r="M572" s="249"/>
    </row>
    <row r="573" spans="2:20" x14ac:dyDescent="0.3">
      <c r="B573" s="225">
        <v>7.1</v>
      </c>
      <c r="C573" s="226" t="s">
        <v>18</v>
      </c>
      <c r="D573" s="228" t="s">
        <v>19</v>
      </c>
      <c r="E573" s="206">
        <v>1</v>
      </c>
      <c r="F573" s="207">
        <v>150000</v>
      </c>
      <c r="G573" s="207">
        <f t="shared" si="91"/>
        <v>150000</v>
      </c>
      <c r="H573" s="208">
        <v>0.33</v>
      </c>
      <c r="I573" s="209">
        <f t="shared" si="92"/>
        <v>199500</v>
      </c>
      <c r="J573" s="210">
        <f t="shared" si="93"/>
        <v>199500</v>
      </c>
      <c r="L573" s="211"/>
    </row>
    <row r="574" spans="2:20" ht="16.2" thickBot="1" x14ac:dyDescent="0.35">
      <c r="B574" s="229">
        <v>7.2</v>
      </c>
      <c r="C574" s="251" t="s">
        <v>101</v>
      </c>
      <c r="D574" s="263" t="s">
        <v>19</v>
      </c>
      <c r="E574" s="232">
        <v>1</v>
      </c>
      <c r="F574" s="233">
        <v>250000</v>
      </c>
      <c r="G574" s="233">
        <f t="shared" si="91"/>
        <v>250000</v>
      </c>
      <c r="H574" s="234">
        <v>0.33</v>
      </c>
      <c r="I574" s="235">
        <f t="shared" si="92"/>
        <v>332500</v>
      </c>
      <c r="J574" s="236">
        <f t="shared" si="93"/>
        <v>332500</v>
      </c>
      <c r="L574" s="211"/>
    </row>
    <row r="575" spans="2:20" x14ac:dyDescent="0.3">
      <c r="B575" s="121"/>
      <c r="C575" s="122"/>
      <c r="D575" s="123"/>
      <c r="E575" s="238"/>
      <c r="F575" s="239"/>
      <c r="G575" s="239"/>
      <c r="H575" s="252"/>
      <c r="I575" s="133"/>
      <c r="J575" s="133"/>
      <c r="K575" s="121"/>
      <c r="L575" s="211"/>
    </row>
    <row r="576" spans="2:20" s="119" customFormat="1" ht="18" customHeight="1" x14ac:dyDescent="0.3">
      <c r="B576" s="289"/>
      <c r="C576" s="118"/>
      <c r="D576" s="121"/>
      <c r="E576" s="124"/>
      <c r="F576" s="125"/>
      <c r="G576" s="125"/>
      <c r="H576" s="125"/>
      <c r="I576" s="125"/>
      <c r="J576" s="254"/>
      <c r="L576" s="211"/>
      <c r="M576" s="117"/>
      <c r="N576" s="126"/>
      <c r="O576" s="126"/>
      <c r="P576" s="126"/>
    </row>
    <row r="577" spans="1:13" x14ac:dyDescent="0.3">
      <c r="B577" s="139"/>
      <c r="C577" s="243"/>
      <c r="D577" s="520" t="s">
        <v>87</v>
      </c>
      <c r="E577" s="520"/>
      <c r="F577" s="520"/>
      <c r="G577" s="290">
        <f>SUM(G553:G575)</f>
        <v>80566058</v>
      </c>
      <c r="H577" s="245"/>
      <c r="I577" s="141"/>
      <c r="J577" s="290">
        <f>SUM(J553:J574)</f>
        <v>107152858</v>
      </c>
      <c r="L577" s="133"/>
      <c r="M577" s="133"/>
    </row>
    <row r="578" spans="1:13" x14ac:dyDescent="0.3">
      <c r="B578" s="139"/>
      <c r="C578" s="243"/>
      <c r="D578" s="135"/>
      <c r="E578" s="247"/>
      <c r="F578" s="135"/>
      <c r="G578" s="141"/>
      <c r="H578" s="245"/>
      <c r="I578" s="141"/>
      <c r="J578" s="141"/>
      <c r="L578" s="211"/>
    </row>
    <row r="579" spans="1:13" ht="16.2" thickBot="1" x14ac:dyDescent="0.35">
      <c r="B579" s="139"/>
      <c r="C579" s="243"/>
      <c r="D579" s="135"/>
      <c r="E579" s="247"/>
      <c r="F579" s="135"/>
      <c r="G579" s="141"/>
      <c r="H579" s="245"/>
      <c r="I579" s="141"/>
      <c r="J579" s="141"/>
      <c r="L579" s="211"/>
    </row>
    <row r="580" spans="1:13" ht="30" customHeight="1" thickBot="1" x14ac:dyDescent="0.35">
      <c r="A580" s="334"/>
      <c r="B580" s="524" t="s">
        <v>110</v>
      </c>
      <c r="C580" s="525"/>
      <c r="D580" s="525"/>
      <c r="E580" s="525"/>
      <c r="F580" s="525"/>
      <c r="G580" s="525"/>
      <c r="H580" s="525"/>
      <c r="I580" s="525"/>
      <c r="J580" s="526"/>
      <c r="L580" s="211"/>
    </row>
    <row r="581" spans="1:13" s="119" customFormat="1" ht="47.4" customHeight="1" thickBot="1" x14ac:dyDescent="0.35">
      <c r="A581" s="335"/>
      <c r="B581" s="336" t="s">
        <v>6</v>
      </c>
      <c r="C581" s="337" t="s">
        <v>7</v>
      </c>
      <c r="D581" s="338" t="s">
        <v>8</v>
      </c>
      <c r="E581" s="339" t="s">
        <v>9</v>
      </c>
      <c r="F581" s="340" t="s">
        <v>111</v>
      </c>
      <c r="G581" s="340" t="s">
        <v>112</v>
      </c>
      <c r="H581" s="341" t="s">
        <v>12</v>
      </c>
      <c r="I581" s="341" t="s">
        <v>13</v>
      </c>
      <c r="J581" s="342" t="s">
        <v>14</v>
      </c>
      <c r="L581" s="211"/>
      <c r="M581" s="117"/>
    </row>
    <row r="582" spans="1:13" s="202" customFormat="1" ht="14.25" customHeight="1" x14ac:dyDescent="0.3">
      <c r="B582" s="343">
        <v>1</v>
      </c>
      <c r="C582" s="344" t="s">
        <v>15</v>
      </c>
      <c r="D582" s="345"/>
      <c r="E582" s="346"/>
      <c r="F582" s="347"/>
      <c r="G582" s="347"/>
      <c r="H582" s="348"/>
      <c r="I582" s="349"/>
      <c r="J582" s="350"/>
      <c r="L582" s="223"/>
      <c r="M582" s="249"/>
    </row>
    <row r="583" spans="1:13" ht="30.6" customHeight="1" x14ac:dyDescent="0.3">
      <c r="A583" s="334"/>
      <c r="B583" s="351">
        <v>1.1000000000000001</v>
      </c>
      <c r="C583" s="352" t="s">
        <v>231</v>
      </c>
      <c r="D583" s="353" t="s">
        <v>40</v>
      </c>
      <c r="E583" s="354">
        <v>365</v>
      </c>
      <c r="F583" s="355">
        <v>10813</v>
      </c>
      <c r="G583" s="355">
        <f>+ROUND(E583*F583,0)</f>
        <v>3946745</v>
      </c>
      <c r="H583" s="356">
        <v>0.33</v>
      </c>
      <c r="I583" s="357">
        <f>(F583*(1+H583))</f>
        <v>14381.29</v>
      </c>
      <c r="J583" s="358">
        <f t="shared" ref="J583:J600" si="94">ROUND(I583*E583,0)</f>
        <v>5249171</v>
      </c>
      <c r="L583" s="211"/>
    </row>
    <row r="584" spans="1:13" ht="31.95" customHeight="1" x14ac:dyDescent="0.3">
      <c r="B584" s="203">
        <v>1.2</v>
      </c>
      <c r="C584" s="204" t="s">
        <v>234</v>
      </c>
      <c r="D584" s="205" t="s">
        <v>39</v>
      </c>
      <c r="E584" s="206">
        <f>10</f>
        <v>10</v>
      </c>
      <c r="F584" s="207">
        <v>20883</v>
      </c>
      <c r="G584" s="355">
        <f t="shared" ref="G584:G600" si="95">+ROUND(E584*F584,0)</f>
        <v>208830</v>
      </c>
      <c r="H584" s="356">
        <v>0.33</v>
      </c>
      <c r="I584" s="357">
        <f t="shared" ref="I584:I600" si="96">(F584*(1+H584))</f>
        <v>27774.390000000003</v>
      </c>
      <c r="J584" s="358">
        <f t="shared" si="94"/>
        <v>277744</v>
      </c>
      <c r="L584" s="211"/>
    </row>
    <row r="585" spans="1:13" s="202" customFormat="1" x14ac:dyDescent="0.3">
      <c r="B585" s="359">
        <v>2</v>
      </c>
      <c r="C585" s="360" t="s">
        <v>16</v>
      </c>
      <c r="D585" s="361"/>
      <c r="E585" s="362"/>
      <c r="F585" s="363"/>
      <c r="G585" s="364"/>
      <c r="H585" s="365"/>
      <c r="I585" s="366"/>
      <c r="J585" s="367"/>
      <c r="K585" s="222"/>
      <c r="L585" s="223"/>
      <c r="M585" s="249"/>
    </row>
    <row r="586" spans="1:13" ht="62.4" x14ac:dyDescent="0.3">
      <c r="A586" s="334"/>
      <c r="B586" s="368">
        <v>2.1</v>
      </c>
      <c r="C586" s="352" t="s">
        <v>235</v>
      </c>
      <c r="D586" s="353" t="s">
        <v>40</v>
      </c>
      <c r="E586" s="354">
        <v>365</v>
      </c>
      <c r="F586" s="355">
        <v>76329</v>
      </c>
      <c r="G586" s="355">
        <f t="shared" si="95"/>
        <v>27860085</v>
      </c>
      <c r="H586" s="356">
        <v>0.33</v>
      </c>
      <c r="I586" s="357">
        <f t="shared" si="96"/>
        <v>101517.57</v>
      </c>
      <c r="J586" s="358">
        <f t="shared" si="94"/>
        <v>37053913</v>
      </c>
      <c r="K586" s="133"/>
      <c r="L586" s="211"/>
    </row>
    <row r="587" spans="1:13" ht="65.400000000000006" customHeight="1" x14ac:dyDescent="0.3">
      <c r="A587" s="334"/>
      <c r="B587" s="368">
        <v>2.2000000000000002</v>
      </c>
      <c r="C587" s="226" t="s">
        <v>246</v>
      </c>
      <c r="D587" s="228" t="s">
        <v>39</v>
      </c>
      <c r="E587" s="354">
        <v>160</v>
      </c>
      <c r="F587" s="207">
        <v>66157</v>
      </c>
      <c r="G587" s="355">
        <f t="shared" si="95"/>
        <v>10585120</v>
      </c>
      <c r="H587" s="356">
        <v>0.33</v>
      </c>
      <c r="I587" s="357">
        <f t="shared" si="96"/>
        <v>87988.81</v>
      </c>
      <c r="J587" s="358">
        <f t="shared" si="94"/>
        <v>14078210</v>
      </c>
      <c r="K587" s="121"/>
      <c r="L587" s="211"/>
    </row>
    <row r="588" spans="1:13" ht="46.8" x14ac:dyDescent="0.3">
      <c r="A588" s="334"/>
      <c r="B588" s="368">
        <v>2.2999999999999998</v>
      </c>
      <c r="C588" s="352" t="s">
        <v>236</v>
      </c>
      <c r="D588" s="353" t="s">
        <v>371</v>
      </c>
      <c r="E588" s="354">
        <v>57</v>
      </c>
      <c r="F588" s="355">
        <v>39523</v>
      </c>
      <c r="G588" s="355">
        <f t="shared" si="95"/>
        <v>2252811</v>
      </c>
      <c r="H588" s="356">
        <v>0.33</v>
      </c>
      <c r="I588" s="357">
        <f t="shared" si="96"/>
        <v>52565.590000000004</v>
      </c>
      <c r="J588" s="358">
        <f t="shared" si="94"/>
        <v>2996239</v>
      </c>
      <c r="K588" s="121"/>
      <c r="L588" s="211"/>
    </row>
    <row r="589" spans="1:13" ht="31.2" x14ac:dyDescent="0.3">
      <c r="A589" s="334"/>
      <c r="B589" s="368">
        <v>2.4</v>
      </c>
      <c r="C589" s="369" t="s">
        <v>237</v>
      </c>
      <c r="D589" s="353" t="s">
        <v>371</v>
      </c>
      <c r="E589" s="354">
        <v>37.5</v>
      </c>
      <c r="F589" s="355">
        <v>129953</v>
      </c>
      <c r="G589" s="355">
        <f t="shared" si="95"/>
        <v>4873238</v>
      </c>
      <c r="H589" s="356">
        <v>0.33</v>
      </c>
      <c r="I589" s="357">
        <f t="shared" si="96"/>
        <v>172837.49000000002</v>
      </c>
      <c r="J589" s="358">
        <f t="shared" si="94"/>
        <v>6481406</v>
      </c>
      <c r="K589" s="121"/>
      <c r="L589" s="211"/>
    </row>
    <row r="590" spans="1:13" s="249" customFormat="1" x14ac:dyDescent="0.3">
      <c r="B590" s="359">
        <v>3</v>
      </c>
      <c r="C590" s="360" t="s">
        <v>113</v>
      </c>
      <c r="D590" s="361"/>
      <c r="E590" s="362"/>
      <c r="F590" s="363"/>
      <c r="G590" s="364"/>
      <c r="H590" s="365"/>
      <c r="I590" s="366"/>
      <c r="J590" s="367"/>
      <c r="K590" s="250"/>
      <c r="L590" s="223"/>
    </row>
    <row r="591" spans="1:13" ht="31.2" x14ac:dyDescent="0.3">
      <c r="A591" s="334"/>
      <c r="B591" s="368">
        <v>3.1</v>
      </c>
      <c r="C591" s="370" t="s">
        <v>298</v>
      </c>
      <c r="D591" s="353" t="s">
        <v>40</v>
      </c>
      <c r="E591" s="371">
        <v>327</v>
      </c>
      <c r="F591" s="355">
        <v>66399</v>
      </c>
      <c r="G591" s="355">
        <f t="shared" si="95"/>
        <v>21712473</v>
      </c>
      <c r="H591" s="356">
        <v>0.33</v>
      </c>
      <c r="I591" s="357">
        <f t="shared" si="96"/>
        <v>88310.67</v>
      </c>
      <c r="J591" s="358">
        <f t="shared" si="94"/>
        <v>28877589</v>
      </c>
      <c r="K591" s="121"/>
      <c r="L591" s="211"/>
    </row>
    <row r="592" spans="1:13" s="249" customFormat="1" x14ac:dyDescent="0.3">
      <c r="B592" s="359">
        <v>4</v>
      </c>
      <c r="C592" s="360" t="s">
        <v>27</v>
      </c>
      <c r="D592" s="361"/>
      <c r="E592" s="362"/>
      <c r="F592" s="363"/>
      <c r="G592" s="364"/>
      <c r="H592" s="365"/>
      <c r="I592" s="366"/>
      <c r="J592" s="367"/>
      <c r="K592" s="250"/>
      <c r="L592" s="223"/>
    </row>
    <row r="593" spans="1:16" ht="48.6" customHeight="1" x14ac:dyDescent="0.3">
      <c r="A593" s="334"/>
      <c r="B593" s="368">
        <v>4.0999999999999996</v>
      </c>
      <c r="C593" s="370" t="s">
        <v>285</v>
      </c>
      <c r="D593" s="353" t="s">
        <v>65</v>
      </c>
      <c r="E593" s="371">
        <v>32.700000000000003</v>
      </c>
      <c r="F593" s="372">
        <v>109920</v>
      </c>
      <c r="G593" s="355">
        <f t="shared" si="95"/>
        <v>3594384</v>
      </c>
      <c r="H593" s="356">
        <v>0.33</v>
      </c>
      <c r="I593" s="357">
        <f t="shared" si="96"/>
        <v>146193.60000000001</v>
      </c>
      <c r="J593" s="358">
        <f t="shared" si="94"/>
        <v>4780531</v>
      </c>
      <c r="K593" s="121"/>
      <c r="L593" s="211"/>
    </row>
    <row r="594" spans="1:16" ht="31.2" x14ac:dyDescent="0.3">
      <c r="A594" s="334"/>
      <c r="B594" s="373">
        <v>4.2</v>
      </c>
      <c r="C594" s="374" t="s">
        <v>304</v>
      </c>
      <c r="D594" s="353" t="s">
        <v>40</v>
      </c>
      <c r="E594" s="375">
        <v>336</v>
      </c>
      <c r="F594" s="376">
        <v>32633</v>
      </c>
      <c r="G594" s="355">
        <f t="shared" si="95"/>
        <v>10964688</v>
      </c>
      <c r="H594" s="356">
        <v>0.33</v>
      </c>
      <c r="I594" s="357">
        <f t="shared" si="96"/>
        <v>43401.89</v>
      </c>
      <c r="J594" s="358">
        <f t="shared" si="94"/>
        <v>14583035</v>
      </c>
      <c r="K594" s="121"/>
      <c r="L594" s="211"/>
    </row>
    <row r="595" spans="1:16" ht="36.6" customHeight="1" x14ac:dyDescent="0.3">
      <c r="A595" s="334"/>
      <c r="B595" s="368">
        <v>4.3</v>
      </c>
      <c r="C595" s="370" t="s">
        <v>305</v>
      </c>
      <c r="D595" s="353" t="s">
        <v>40</v>
      </c>
      <c r="E595" s="354">
        <v>327</v>
      </c>
      <c r="F595" s="355">
        <v>123208</v>
      </c>
      <c r="G595" s="355">
        <f t="shared" si="95"/>
        <v>40289016</v>
      </c>
      <c r="H595" s="356">
        <v>0.33</v>
      </c>
      <c r="I595" s="357">
        <f t="shared" si="96"/>
        <v>163866.64000000001</v>
      </c>
      <c r="J595" s="358">
        <f t="shared" si="94"/>
        <v>53584391</v>
      </c>
      <c r="K595" s="121"/>
      <c r="L595" s="211"/>
    </row>
    <row r="596" spans="1:16" ht="49.2" customHeight="1" x14ac:dyDescent="0.3">
      <c r="A596" s="334"/>
      <c r="B596" s="368">
        <v>4.4000000000000004</v>
      </c>
      <c r="C596" s="370" t="s">
        <v>278</v>
      </c>
      <c r="D596" s="353" t="s">
        <v>40</v>
      </c>
      <c r="E596" s="354">
        <v>327</v>
      </c>
      <c r="F596" s="355">
        <v>96223</v>
      </c>
      <c r="G596" s="355">
        <f t="shared" si="95"/>
        <v>31464921</v>
      </c>
      <c r="H596" s="356">
        <v>0.33</v>
      </c>
      <c r="I596" s="357">
        <f t="shared" si="96"/>
        <v>127976.59000000001</v>
      </c>
      <c r="J596" s="358">
        <f t="shared" si="94"/>
        <v>41848345</v>
      </c>
      <c r="K596" s="121"/>
      <c r="L596" s="211"/>
    </row>
    <row r="597" spans="1:16" ht="46.8" x14ac:dyDescent="0.3">
      <c r="A597" s="334"/>
      <c r="B597" s="368">
        <v>4.5</v>
      </c>
      <c r="C597" s="370" t="s">
        <v>353</v>
      </c>
      <c r="D597" s="353" t="s">
        <v>39</v>
      </c>
      <c r="E597" s="354">
        <v>182</v>
      </c>
      <c r="F597" s="355">
        <v>14774</v>
      </c>
      <c r="G597" s="355">
        <f t="shared" si="95"/>
        <v>2688868</v>
      </c>
      <c r="H597" s="356">
        <v>0.33</v>
      </c>
      <c r="I597" s="357">
        <f t="shared" si="96"/>
        <v>19649.420000000002</v>
      </c>
      <c r="J597" s="358">
        <f t="shared" si="94"/>
        <v>3576194</v>
      </c>
      <c r="K597" s="121"/>
      <c r="L597" s="211"/>
    </row>
    <row r="598" spans="1:16" s="202" customFormat="1" x14ac:dyDescent="0.3">
      <c r="B598" s="359">
        <v>5</v>
      </c>
      <c r="C598" s="360" t="s">
        <v>17</v>
      </c>
      <c r="D598" s="361"/>
      <c r="E598" s="362"/>
      <c r="F598" s="363"/>
      <c r="G598" s="364"/>
      <c r="H598" s="365"/>
      <c r="I598" s="366"/>
      <c r="J598" s="367"/>
      <c r="K598" s="222"/>
      <c r="L598" s="223"/>
      <c r="M598" s="249"/>
    </row>
    <row r="599" spans="1:16" x14ac:dyDescent="0.3">
      <c r="A599" s="334"/>
      <c r="B599" s="368">
        <v>5.0999999999999996</v>
      </c>
      <c r="C599" s="352" t="s">
        <v>18</v>
      </c>
      <c r="D599" s="377" t="s">
        <v>19</v>
      </c>
      <c r="E599" s="354">
        <v>1</v>
      </c>
      <c r="F599" s="355">
        <v>150000</v>
      </c>
      <c r="G599" s="355">
        <f t="shared" si="95"/>
        <v>150000</v>
      </c>
      <c r="H599" s="356">
        <v>0.33</v>
      </c>
      <c r="I599" s="357">
        <f t="shared" si="96"/>
        <v>199500</v>
      </c>
      <c r="J599" s="358">
        <f t="shared" si="94"/>
        <v>199500</v>
      </c>
      <c r="K599" s="121"/>
      <c r="L599" s="211"/>
    </row>
    <row r="600" spans="1:16" ht="79.95" customHeight="1" thickBot="1" x14ac:dyDescent="0.35">
      <c r="A600" s="334"/>
      <c r="B600" s="378">
        <v>5.2</v>
      </c>
      <c r="C600" s="379" t="s">
        <v>245</v>
      </c>
      <c r="D600" s="380" t="s">
        <v>65</v>
      </c>
      <c r="E600" s="381">
        <v>25</v>
      </c>
      <c r="F600" s="382">
        <v>49760</v>
      </c>
      <c r="G600" s="382">
        <f t="shared" si="95"/>
        <v>1244000</v>
      </c>
      <c r="H600" s="383">
        <v>0.33</v>
      </c>
      <c r="I600" s="384">
        <f t="shared" si="96"/>
        <v>66180.800000000003</v>
      </c>
      <c r="J600" s="385">
        <f t="shared" si="94"/>
        <v>1654520</v>
      </c>
      <c r="K600" s="121"/>
      <c r="L600" s="211"/>
    </row>
    <row r="601" spans="1:16" x14ac:dyDescent="0.3">
      <c r="B601" s="121"/>
      <c r="C601" s="122"/>
      <c r="D601" s="123"/>
      <c r="E601" s="238"/>
      <c r="F601" s="239"/>
      <c r="G601" s="239"/>
      <c r="H601" s="252"/>
      <c r="I601" s="133"/>
      <c r="J601" s="133"/>
      <c r="K601" s="121"/>
      <c r="L601" s="211"/>
    </row>
    <row r="602" spans="1:16" s="119" customFormat="1" ht="18" customHeight="1" x14ac:dyDescent="0.3">
      <c r="B602" s="289"/>
      <c r="C602" s="118"/>
      <c r="D602" s="121"/>
      <c r="E602" s="386"/>
      <c r="F602" s="387"/>
      <c r="G602" s="387"/>
      <c r="H602" s="125"/>
      <c r="I602" s="125"/>
      <c r="J602" s="125"/>
      <c r="L602" s="211"/>
      <c r="M602" s="117"/>
      <c r="N602" s="126"/>
      <c r="O602" s="126"/>
      <c r="P602" s="126"/>
    </row>
    <row r="603" spans="1:16" x14ac:dyDescent="0.3">
      <c r="B603" s="139"/>
      <c r="C603" s="243"/>
      <c r="D603" s="520" t="s">
        <v>89</v>
      </c>
      <c r="E603" s="520"/>
      <c r="F603" s="520"/>
      <c r="G603" s="290">
        <f>SUM(G581:G601)</f>
        <v>161835179</v>
      </c>
      <c r="H603" s="245"/>
      <c r="I603" s="141"/>
      <c r="J603" s="290">
        <f>SUM(J581:J600)</f>
        <v>215240788</v>
      </c>
      <c r="L603" s="211"/>
      <c r="M603" s="142"/>
    </row>
    <row r="604" spans="1:16" x14ac:dyDescent="0.3">
      <c r="B604" s="139"/>
      <c r="C604" s="243"/>
      <c r="D604" s="135"/>
      <c r="E604" s="247"/>
      <c r="F604" s="135"/>
      <c r="G604" s="141"/>
      <c r="H604" s="245"/>
      <c r="I604" s="141"/>
      <c r="J604" s="141"/>
      <c r="L604" s="211"/>
    </row>
    <row r="605" spans="1:16" ht="16.2" thickBot="1" x14ac:dyDescent="0.35">
      <c r="B605" s="139"/>
      <c r="C605" s="243"/>
      <c r="D605" s="135"/>
      <c r="E605" s="247"/>
      <c r="F605" s="135"/>
      <c r="G605" s="141"/>
      <c r="H605" s="245"/>
      <c r="I605" s="141"/>
      <c r="J605" s="141"/>
      <c r="L605" s="211"/>
    </row>
    <row r="606" spans="1:16" ht="30" customHeight="1" thickBot="1" x14ac:dyDescent="0.35">
      <c r="A606" s="334"/>
      <c r="B606" s="527" t="s">
        <v>115</v>
      </c>
      <c r="C606" s="528"/>
      <c r="D606" s="528"/>
      <c r="E606" s="528"/>
      <c r="F606" s="528"/>
      <c r="G606" s="528"/>
      <c r="H606" s="528"/>
      <c r="I606" s="528"/>
      <c r="J606" s="529"/>
      <c r="L606" s="211"/>
    </row>
    <row r="607" spans="1:16" s="119" customFormat="1" ht="43.95" customHeight="1" thickBot="1" x14ac:dyDescent="0.35">
      <c r="A607" s="335"/>
      <c r="B607" s="388" t="s">
        <v>6</v>
      </c>
      <c r="C607" s="188" t="s">
        <v>7</v>
      </c>
      <c r="D607" s="189" t="s">
        <v>8</v>
      </c>
      <c r="E607" s="190" t="s">
        <v>9</v>
      </c>
      <c r="F607" s="191" t="s">
        <v>10</v>
      </c>
      <c r="G607" s="192" t="s">
        <v>11</v>
      </c>
      <c r="H607" s="192" t="s">
        <v>12</v>
      </c>
      <c r="I607" s="192" t="s">
        <v>13</v>
      </c>
      <c r="J607" s="389" t="s">
        <v>14</v>
      </c>
      <c r="L607" s="211"/>
      <c r="M607" s="117"/>
    </row>
    <row r="608" spans="1:16" s="390" customFormat="1" x14ac:dyDescent="0.3">
      <c r="B608" s="391">
        <v>1</v>
      </c>
      <c r="C608" s="248" t="s">
        <v>15</v>
      </c>
      <c r="D608" s="392"/>
      <c r="E608" s="393"/>
      <c r="F608" s="394"/>
      <c r="G608" s="395"/>
      <c r="H608" s="286"/>
      <c r="I608" s="287"/>
      <c r="J608" s="288"/>
      <c r="L608" s="223"/>
      <c r="M608" s="249"/>
    </row>
    <row r="609" spans="1:13" customFormat="1" ht="33" customHeight="1" x14ac:dyDescent="0.3">
      <c r="A609" s="396"/>
      <c r="B609" s="397">
        <v>1.1000000000000001</v>
      </c>
      <c r="C609" s="303" t="s">
        <v>309</v>
      </c>
      <c r="D609" s="398" t="s">
        <v>40</v>
      </c>
      <c r="E609" s="310">
        <v>18</v>
      </c>
      <c r="F609" s="399">
        <v>4349</v>
      </c>
      <c r="G609" s="400">
        <f>+ROUND(E609*F609,0)</f>
        <v>78282</v>
      </c>
      <c r="H609" s="208">
        <v>0.33</v>
      </c>
      <c r="I609" s="209">
        <f>(F609*(1+H609))</f>
        <v>5784.17</v>
      </c>
      <c r="J609" s="210">
        <f t="shared" ref="J609:J612" si="97">ROUND(I609*E609,0)</f>
        <v>104115</v>
      </c>
      <c r="L609" s="211"/>
      <c r="M609" s="117"/>
    </row>
    <row r="610" spans="1:13" customFormat="1" ht="31.2" x14ac:dyDescent="0.3">
      <c r="A610" s="396"/>
      <c r="B610" s="397">
        <v>1.2</v>
      </c>
      <c r="C610" s="226" t="s">
        <v>234</v>
      </c>
      <c r="D610" s="205" t="s">
        <v>39</v>
      </c>
      <c r="E610" s="401">
        <v>30</v>
      </c>
      <c r="F610" s="402">
        <v>20883</v>
      </c>
      <c r="G610" s="400">
        <f t="shared" ref="G610:G612" si="98">+ROUND(E610*F610,0)</f>
        <v>626490</v>
      </c>
      <c r="H610" s="208">
        <v>0.33</v>
      </c>
      <c r="I610" s="209">
        <f t="shared" ref="I610:I612" si="99">(F610*(1+H610))</f>
        <v>27774.390000000003</v>
      </c>
      <c r="J610" s="210">
        <f t="shared" si="97"/>
        <v>833232</v>
      </c>
      <c r="L610" s="211"/>
      <c r="M610" s="117"/>
    </row>
    <row r="611" spans="1:13" s="390" customFormat="1" x14ac:dyDescent="0.3">
      <c r="B611" s="403">
        <v>2</v>
      </c>
      <c r="C611" s="214" t="s">
        <v>113</v>
      </c>
      <c r="D611" s="404"/>
      <c r="E611" s="405"/>
      <c r="F611" s="406"/>
      <c r="G611" s="407"/>
      <c r="H611" s="219"/>
      <c r="I611" s="220"/>
      <c r="J611" s="221"/>
      <c r="L611" s="223"/>
      <c r="M611" s="249"/>
    </row>
    <row r="612" spans="1:13" customFormat="1" ht="62.4" x14ac:dyDescent="0.3">
      <c r="A612" s="396"/>
      <c r="B612" s="408">
        <v>2.1</v>
      </c>
      <c r="C612" s="226" t="s">
        <v>354</v>
      </c>
      <c r="D612" s="409" t="s">
        <v>65</v>
      </c>
      <c r="E612" s="410">
        <v>19.559999999999999</v>
      </c>
      <c r="F612" s="411">
        <v>210704</v>
      </c>
      <c r="G612" s="400">
        <f t="shared" si="98"/>
        <v>4121370</v>
      </c>
      <c r="H612" s="208">
        <v>0.33</v>
      </c>
      <c r="I612" s="209">
        <f t="shared" si="99"/>
        <v>280236.32</v>
      </c>
      <c r="J612" s="210">
        <f t="shared" si="97"/>
        <v>5481422</v>
      </c>
      <c r="L612" s="211"/>
      <c r="M612" s="117"/>
    </row>
    <row r="613" spans="1:13" s="390" customFormat="1" x14ac:dyDescent="0.3">
      <c r="B613" s="403">
        <v>3</v>
      </c>
      <c r="C613" s="214" t="s">
        <v>91</v>
      </c>
      <c r="D613" s="404"/>
      <c r="E613" s="405"/>
      <c r="F613" s="406"/>
      <c r="G613" s="407"/>
      <c r="H613" s="219"/>
      <c r="I613" s="220"/>
      <c r="J613" s="221"/>
      <c r="L613" s="223"/>
      <c r="M613" s="249"/>
    </row>
    <row r="614" spans="1:13" customFormat="1" ht="31.2" x14ac:dyDescent="0.3">
      <c r="A614" s="396"/>
      <c r="B614" s="397">
        <v>3.1</v>
      </c>
      <c r="C614" s="226" t="s">
        <v>284</v>
      </c>
      <c r="D614" s="205" t="s">
        <v>65</v>
      </c>
      <c r="E614" s="310">
        <v>30</v>
      </c>
      <c r="F614" s="412">
        <v>58785</v>
      </c>
      <c r="G614" s="400">
        <f t="shared" ref="G614:G638" si="100">+ROUND(E614*F614,0)</f>
        <v>1763550</v>
      </c>
      <c r="H614" s="208">
        <v>0.33</v>
      </c>
      <c r="I614" s="209">
        <f t="shared" ref="I614:I638" si="101">(F614*(1+H614))</f>
        <v>78184.05</v>
      </c>
      <c r="J614" s="210">
        <f t="shared" ref="J614:J638" si="102">ROUND(I614*E614,0)</f>
        <v>2345522</v>
      </c>
      <c r="L614" s="211"/>
      <c r="M614" s="117"/>
    </row>
    <row r="615" spans="1:13" customFormat="1" ht="54" customHeight="1" x14ac:dyDescent="0.3">
      <c r="A615" s="396"/>
      <c r="B615" s="397">
        <v>3.2</v>
      </c>
      <c r="C615" s="226" t="s">
        <v>311</v>
      </c>
      <c r="D615" s="205" t="s">
        <v>65</v>
      </c>
      <c r="E615" s="401">
        <v>0.6</v>
      </c>
      <c r="F615" s="402">
        <v>173408</v>
      </c>
      <c r="G615" s="400">
        <f t="shared" si="100"/>
        <v>104045</v>
      </c>
      <c r="H615" s="208">
        <v>0.33</v>
      </c>
      <c r="I615" s="209">
        <f t="shared" si="101"/>
        <v>230632.64</v>
      </c>
      <c r="J615" s="210">
        <f t="shared" si="102"/>
        <v>138380</v>
      </c>
      <c r="L615" s="211"/>
      <c r="M615" s="117"/>
    </row>
    <row r="616" spans="1:13" customFormat="1" ht="31.2" x14ac:dyDescent="0.3">
      <c r="A616" s="396"/>
      <c r="B616" s="397">
        <v>3.3</v>
      </c>
      <c r="C616" s="226" t="s">
        <v>355</v>
      </c>
      <c r="D616" s="205" t="s">
        <v>65</v>
      </c>
      <c r="E616" s="401">
        <v>4</v>
      </c>
      <c r="F616" s="402">
        <v>38159</v>
      </c>
      <c r="G616" s="400">
        <f t="shared" si="100"/>
        <v>152636</v>
      </c>
      <c r="H616" s="208">
        <v>0.33</v>
      </c>
      <c r="I616" s="209">
        <f t="shared" si="101"/>
        <v>50751.47</v>
      </c>
      <c r="J616" s="210">
        <f t="shared" si="102"/>
        <v>203006</v>
      </c>
      <c r="L616" s="211"/>
      <c r="M616" s="117"/>
    </row>
    <row r="617" spans="1:13" s="390" customFormat="1" x14ac:dyDescent="0.3">
      <c r="B617" s="413">
        <v>4</v>
      </c>
      <c r="C617" s="214" t="s">
        <v>116</v>
      </c>
      <c r="D617" s="404"/>
      <c r="E617" s="405"/>
      <c r="F617" s="406"/>
      <c r="G617" s="407"/>
      <c r="H617" s="219"/>
      <c r="I617" s="220"/>
      <c r="J617" s="221"/>
      <c r="L617" s="223"/>
      <c r="M617" s="249"/>
    </row>
    <row r="618" spans="1:13" customFormat="1" ht="31.2" x14ac:dyDescent="0.3">
      <c r="A618" s="396"/>
      <c r="B618" s="414">
        <v>4.0999999999999996</v>
      </c>
      <c r="C618" s="226" t="s">
        <v>312</v>
      </c>
      <c r="D618" s="205" t="s">
        <v>40</v>
      </c>
      <c r="E618" s="401">
        <v>9.4</v>
      </c>
      <c r="F618" s="402">
        <v>39378</v>
      </c>
      <c r="G618" s="400">
        <f t="shared" si="100"/>
        <v>370153</v>
      </c>
      <c r="H618" s="208">
        <v>0.33</v>
      </c>
      <c r="I618" s="209">
        <f t="shared" si="101"/>
        <v>52372.740000000005</v>
      </c>
      <c r="J618" s="210">
        <f t="shared" si="102"/>
        <v>492304</v>
      </c>
      <c r="L618" s="211"/>
      <c r="M618" s="117"/>
    </row>
    <row r="619" spans="1:13" customFormat="1" ht="50.4" customHeight="1" x14ac:dyDescent="0.3">
      <c r="A619" s="396"/>
      <c r="B619" s="414">
        <v>4.2</v>
      </c>
      <c r="C619" s="226" t="s">
        <v>356</v>
      </c>
      <c r="D619" s="205" t="s">
        <v>39</v>
      </c>
      <c r="E619" s="401">
        <v>14</v>
      </c>
      <c r="F619" s="402">
        <v>148884</v>
      </c>
      <c r="G619" s="400">
        <f t="shared" si="100"/>
        <v>2084376</v>
      </c>
      <c r="H619" s="208">
        <v>0.33</v>
      </c>
      <c r="I619" s="209">
        <f t="shared" si="101"/>
        <v>198015.72</v>
      </c>
      <c r="J619" s="210">
        <f t="shared" si="102"/>
        <v>2772220</v>
      </c>
      <c r="L619" s="211"/>
      <c r="M619" s="117"/>
    </row>
    <row r="620" spans="1:13" customFormat="1" ht="49.95" customHeight="1" x14ac:dyDescent="0.3">
      <c r="A620" s="396"/>
      <c r="B620" s="414">
        <v>4.3</v>
      </c>
      <c r="C620" s="226" t="s">
        <v>357</v>
      </c>
      <c r="D620" s="205" t="s">
        <v>39</v>
      </c>
      <c r="E620" s="401">
        <v>10.8</v>
      </c>
      <c r="F620" s="402">
        <v>142221</v>
      </c>
      <c r="G620" s="400">
        <f t="shared" si="100"/>
        <v>1535987</v>
      </c>
      <c r="H620" s="208">
        <v>0.33</v>
      </c>
      <c r="I620" s="209">
        <f t="shared" si="101"/>
        <v>189153.93000000002</v>
      </c>
      <c r="J620" s="210">
        <f t="shared" si="102"/>
        <v>2042862</v>
      </c>
      <c r="L620" s="211"/>
      <c r="M620" s="117"/>
    </row>
    <row r="621" spans="1:13" s="417" customFormat="1" ht="84" customHeight="1" x14ac:dyDescent="0.3">
      <c r="A621" s="396"/>
      <c r="B621" s="414">
        <v>4.4000000000000004</v>
      </c>
      <c r="C621" s="204" t="s">
        <v>358</v>
      </c>
      <c r="D621" s="409" t="s">
        <v>40</v>
      </c>
      <c r="E621" s="415">
        <f>2.3*4.1</f>
        <v>9.4299999999999979</v>
      </c>
      <c r="F621" s="416">
        <v>332793</v>
      </c>
      <c r="G621" s="400">
        <f t="shared" si="100"/>
        <v>3138238</v>
      </c>
      <c r="H621" s="208">
        <v>0.33</v>
      </c>
      <c r="I621" s="209">
        <f t="shared" si="101"/>
        <v>442614.69</v>
      </c>
      <c r="J621" s="210">
        <f t="shared" si="102"/>
        <v>4173857</v>
      </c>
      <c r="L621" s="211"/>
      <c r="M621" s="117"/>
    </row>
    <row r="622" spans="1:13" s="417" customFormat="1" ht="62.4" x14ac:dyDescent="0.3">
      <c r="A622" s="396"/>
      <c r="B622" s="414">
        <v>4.5</v>
      </c>
      <c r="C622" s="204" t="s">
        <v>359</v>
      </c>
      <c r="D622" s="409" t="s">
        <v>40</v>
      </c>
      <c r="E622" s="415">
        <v>1</v>
      </c>
      <c r="F622" s="416">
        <v>200583</v>
      </c>
      <c r="G622" s="400">
        <f t="shared" si="100"/>
        <v>200583</v>
      </c>
      <c r="H622" s="208">
        <v>0.33</v>
      </c>
      <c r="I622" s="209">
        <f t="shared" si="101"/>
        <v>266775.39</v>
      </c>
      <c r="J622" s="210">
        <f t="shared" si="102"/>
        <v>266775</v>
      </c>
      <c r="L622" s="211"/>
      <c r="M622" s="117"/>
    </row>
    <row r="623" spans="1:13" s="417" customFormat="1" ht="62.4" x14ac:dyDescent="0.3">
      <c r="A623" s="396"/>
      <c r="B623" s="414">
        <v>4.5999999999999996</v>
      </c>
      <c r="C623" s="204" t="s">
        <v>360</v>
      </c>
      <c r="D623" s="409" t="s">
        <v>19</v>
      </c>
      <c r="E623" s="415">
        <v>1</v>
      </c>
      <c r="F623" s="416">
        <v>135141</v>
      </c>
      <c r="G623" s="400">
        <f t="shared" si="100"/>
        <v>135141</v>
      </c>
      <c r="H623" s="208">
        <v>0.33</v>
      </c>
      <c r="I623" s="209">
        <f t="shared" si="101"/>
        <v>179737.53</v>
      </c>
      <c r="J623" s="210">
        <f t="shared" si="102"/>
        <v>179738</v>
      </c>
      <c r="L623" s="211"/>
      <c r="M623" s="117"/>
    </row>
    <row r="624" spans="1:13" customFormat="1" ht="62.4" x14ac:dyDescent="0.3">
      <c r="A624" s="396"/>
      <c r="B624" s="414">
        <v>4.7</v>
      </c>
      <c r="C624" s="226" t="s">
        <v>361</v>
      </c>
      <c r="D624" s="205" t="s">
        <v>19</v>
      </c>
      <c r="E624" s="401">
        <v>1</v>
      </c>
      <c r="F624" s="402">
        <v>178974</v>
      </c>
      <c r="G624" s="400">
        <f t="shared" si="100"/>
        <v>178974</v>
      </c>
      <c r="H624" s="208">
        <v>0.33</v>
      </c>
      <c r="I624" s="209">
        <f t="shared" si="101"/>
        <v>238035.42</v>
      </c>
      <c r="J624" s="210">
        <f t="shared" si="102"/>
        <v>238035</v>
      </c>
      <c r="L624" s="211"/>
      <c r="M624" s="117"/>
    </row>
    <row r="625" spans="1:16" customFormat="1" ht="46.8" x14ac:dyDescent="0.3">
      <c r="A625" s="396"/>
      <c r="B625" s="414">
        <v>4.8</v>
      </c>
      <c r="C625" s="226" t="s">
        <v>362</v>
      </c>
      <c r="D625" s="205" t="s">
        <v>40</v>
      </c>
      <c r="E625" s="401">
        <f>4.05*2.3</f>
        <v>9.3149999999999995</v>
      </c>
      <c r="F625" s="402">
        <v>318321</v>
      </c>
      <c r="G625" s="400">
        <f t="shared" si="100"/>
        <v>2965160</v>
      </c>
      <c r="H625" s="208">
        <v>0.33</v>
      </c>
      <c r="I625" s="209">
        <f t="shared" si="101"/>
        <v>423366.93000000005</v>
      </c>
      <c r="J625" s="210">
        <f t="shared" si="102"/>
        <v>3943663</v>
      </c>
      <c r="L625" s="211"/>
      <c r="M625" s="117"/>
    </row>
    <row r="626" spans="1:16" customFormat="1" ht="46.8" x14ac:dyDescent="0.3">
      <c r="A626" s="396"/>
      <c r="B626" s="414">
        <v>4.9000000000000004</v>
      </c>
      <c r="C626" s="226" t="s">
        <v>334</v>
      </c>
      <c r="D626" s="205" t="s">
        <v>19</v>
      </c>
      <c r="E626" s="401">
        <v>1</v>
      </c>
      <c r="F626" s="402">
        <v>514618</v>
      </c>
      <c r="G626" s="400">
        <f t="shared" si="100"/>
        <v>514618</v>
      </c>
      <c r="H626" s="208">
        <v>0.33</v>
      </c>
      <c r="I626" s="209">
        <f t="shared" si="101"/>
        <v>684441.94000000006</v>
      </c>
      <c r="J626" s="210">
        <f t="shared" si="102"/>
        <v>684442</v>
      </c>
      <c r="L626" s="211"/>
      <c r="M626" s="117"/>
    </row>
    <row r="627" spans="1:16" s="390" customFormat="1" x14ac:dyDescent="0.3">
      <c r="B627" s="413">
        <v>5</v>
      </c>
      <c r="C627" s="214" t="s">
        <v>68</v>
      </c>
      <c r="D627" s="404"/>
      <c r="E627" s="405"/>
      <c r="F627" s="406"/>
      <c r="G627" s="407"/>
      <c r="H627" s="219"/>
      <c r="I627" s="220"/>
      <c r="J627" s="221"/>
      <c r="L627" s="223"/>
      <c r="M627" s="249"/>
    </row>
    <row r="628" spans="1:16" s="417" customFormat="1" ht="31.2" x14ac:dyDescent="0.3">
      <c r="A628" s="396"/>
      <c r="B628" s="418">
        <v>5.0999999999999996</v>
      </c>
      <c r="C628" s="204" t="s">
        <v>363</v>
      </c>
      <c r="D628" s="409" t="s">
        <v>40</v>
      </c>
      <c r="E628" s="415">
        <v>23.6</v>
      </c>
      <c r="F628" s="416">
        <v>135366</v>
      </c>
      <c r="G628" s="400">
        <f t="shared" si="100"/>
        <v>3194638</v>
      </c>
      <c r="H628" s="208">
        <v>0.33</v>
      </c>
      <c r="I628" s="209">
        <f t="shared" si="101"/>
        <v>180036.78</v>
      </c>
      <c r="J628" s="210">
        <f t="shared" si="102"/>
        <v>4248868</v>
      </c>
      <c r="L628" s="211"/>
      <c r="M628" s="117"/>
    </row>
    <row r="629" spans="1:16" s="390" customFormat="1" x14ac:dyDescent="0.3">
      <c r="B629" s="413">
        <v>6</v>
      </c>
      <c r="C629" s="214" t="s">
        <v>93</v>
      </c>
      <c r="D629" s="404"/>
      <c r="E629" s="405"/>
      <c r="F629" s="406"/>
      <c r="G629" s="407"/>
      <c r="H629" s="219"/>
      <c r="I629" s="220"/>
      <c r="J629" s="221"/>
      <c r="L629" s="223"/>
      <c r="M629" s="249"/>
    </row>
    <row r="630" spans="1:16" s="417" customFormat="1" ht="31.2" x14ac:dyDescent="0.3">
      <c r="A630" s="396"/>
      <c r="B630" s="418">
        <v>6.1</v>
      </c>
      <c r="C630" s="419" t="s">
        <v>364</v>
      </c>
      <c r="D630" s="420" t="s">
        <v>40</v>
      </c>
      <c r="E630" s="415">
        <v>27.4</v>
      </c>
      <c r="F630" s="416">
        <v>44222</v>
      </c>
      <c r="G630" s="400">
        <f t="shared" si="100"/>
        <v>1211683</v>
      </c>
      <c r="H630" s="208">
        <v>0.33</v>
      </c>
      <c r="I630" s="209">
        <f t="shared" si="101"/>
        <v>58815.26</v>
      </c>
      <c r="J630" s="210">
        <f t="shared" si="102"/>
        <v>1611538</v>
      </c>
      <c r="L630" s="211"/>
      <c r="M630" s="117"/>
    </row>
    <row r="631" spans="1:16" customFormat="1" ht="31.2" x14ac:dyDescent="0.3">
      <c r="A631" s="396"/>
      <c r="B631" s="418">
        <v>6.2</v>
      </c>
      <c r="C631" s="419" t="s">
        <v>365</v>
      </c>
      <c r="D631" s="420" t="s">
        <v>40</v>
      </c>
      <c r="E631" s="415">
        <v>27.4</v>
      </c>
      <c r="F631" s="416">
        <v>22034</v>
      </c>
      <c r="G631" s="400">
        <f t="shared" si="100"/>
        <v>603732</v>
      </c>
      <c r="H631" s="208">
        <v>0.33</v>
      </c>
      <c r="I631" s="209">
        <f t="shared" si="101"/>
        <v>29305.22</v>
      </c>
      <c r="J631" s="210">
        <f t="shared" si="102"/>
        <v>802963</v>
      </c>
      <c r="L631" s="211"/>
      <c r="M631" s="117"/>
    </row>
    <row r="632" spans="1:16" s="390" customFormat="1" x14ac:dyDescent="0.3">
      <c r="B632" s="413">
        <v>7</v>
      </c>
      <c r="C632" s="214" t="s">
        <v>117</v>
      </c>
      <c r="D632" s="404"/>
      <c r="E632" s="405"/>
      <c r="F632" s="406"/>
      <c r="G632" s="407"/>
      <c r="H632" s="219"/>
      <c r="I632" s="220"/>
      <c r="J632" s="221"/>
      <c r="L632" s="223"/>
      <c r="M632" s="249"/>
    </row>
    <row r="633" spans="1:16" customFormat="1" ht="46.8" x14ac:dyDescent="0.3">
      <c r="A633" s="396"/>
      <c r="B633" s="314">
        <v>7.1</v>
      </c>
      <c r="C633" s="312" t="s">
        <v>366</v>
      </c>
      <c r="D633" s="205" t="s">
        <v>372</v>
      </c>
      <c r="E633" s="401">
        <v>1</v>
      </c>
      <c r="F633" s="402">
        <v>1211545</v>
      </c>
      <c r="G633" s="400">
        <f t="shared" si="100"/>
        <v>1211545</v>
      </c>
      <c r="H633" s="208">
        <v>0.33</v>
      </c>
      <c r="I633" s="209">
        <f t="shared" si="101"/>
        <v>1611354.85</v>
      </c>
      <c r="J633" s="210">
        <f t="shared" si="102"/>
        <v>1611355</v>
      </c>
      <c r="L633" s="211"/>
      <c r="M633" s="117"/>
    </row>
    <row r="634" spans="1:16" customFormat="1" ht="31.2" x14ac:dyDescent="0.3">
      <c r="A634" s="396"/>
      <c r="B634" s="314">
        <v>7.2</v>
      </c>
      <c r="C634" s="312" t="s">
        <v>367</v>
      </c>
      <c r="D634" s="205" t="s">
        <v>371</v>
      </c>
      <c r="E634" s="401">
        <v>30</v>
      </c>
      <c r="F634" s="402">
        <v>46037</v>
      </c>
      <c r="G634" s="400">
        <f t="shared" si="100"/>
        <v>1381110</v>
      </c>
      <c r="H634" s="208">
        <v>0.33</v>
      </c>
      <c r="I634" s="209">
        <f t="shared" si="101"/>
        <v>61229.210000000006</v>
      </c>
      <c r="J634" s="210">
        <f t="shared" si="102"/>
        <v>1836876</v>
      </c>
      <c r="L634" s="211"/>
      <c r="M634" s="117"/>
    </row>
    <row r="635" spans="1:16" customFormat="1" ht="46.8" x14ac:dyDescent="0.3">
      <c r="A635" s="396"/>
      <c r="B635" s="314">
        <v>7.3</v>
      </c>
      <c r="C635" s="312" t="s">
        <v>368</v>
      </c>
      <c r="D635" s="205" t="s">
        <v>372</v>
      </c>
      <c r="E635" s="401">
        <v>1</v>
      </c>
      <c r="F635" s="402">
        <v>621809</v>
      </c>
      <c r="G635" s="400">
        <f t="shared" si="100"/>
        <v>621809</v>
      </c>
      <c r="H635" s="208">
        <v>0.33</v>
      </c>
      <c r="I635" s="209">
        <f t="shared" si="101"/>
        <v>827005.97000000009</v>
      </c>
      <c r="J635" s="210">
        <f t="shared" si="102"/>
        <v>827006</v>
      </c>
      <c r="L635" s="211"/>
      <c r="M635" s="117"/>
    </row>
    <row r="636" spans="1:16" s="390" customFormat="1" x14ac:dyDescent="0.3">
      <c r="B636" s="413">
        <v>9</v>
      </c>
      <c r="C636" s="214" t="s">
        <v>99</v>
      </c>
      <c r="D636" s="404"/>
      <c r="E636" s="405"/>
      <c r="F636" s="406"/>
      <c r="G636" s="407"/>
      <c r="H636" s="219"/>
      <c r="I636" s="220"/>
      <c r="J636" s="221"/>
      <c r="L636" s="223"/>
      <c r="M636" s="249"/>
    </row>
    <row r="637" spans="1:16" customFormat="1" x14ac:dyDescent="0.3">
      <c r="A637" s="396"/>
      <c r="B637" s="414">
        <v>9.1</v>
      </c>
      <c r="C637" s="312" t="s">
        <v>100</v>
      </c>
      <c r="D637" s="421" t="s">
        <v>19</v>
      </c>
      <c r="E637" s="292">
        <v>1</v>
      </c>
      <c r="F637" s="412">
        <v>150000</v>
      </c>
      <c r="G637" s="400">
        <f t="shared" si="100"/>
        <v>150000</v>
      </c>
      <c r="H637" s="208">
        <v>0.33</v>
      </c>
      <c r="I637" s="209">
        <f t="shared" si="101"/>
        <v>199500</v>
      </c>
      <c r="J637" s="210">
        <f t="shared" si="102"/>
        <v>199500</v>
      </c>
      <c r="L637" s="211"/>
      <c r="M637" s="117"/>
    </row>
    <row r="638" spans="1:16" customFormat="1" ht="16.2" thickBot="1" x14ac:dyDescent="0.35">
      <c r="A638" s="396"/>
      <c r="B638" s="422">
        <v>9.1999999999999993</v>
      </c>
      <c r="C638" s="319" t="s">
        <v>101</v>
      </c>
      <c r="D638" s="423" t="s">
        <v>118</v>
      </c>
      <c r="E638" s="424">
        <v>1</v>
      </c>
      <c r="F638" s="425">
        <v>250000</v>
      </c>
      <c r="G638" s="426">
        <f t="shared" si="100"/>
        <v>250000</v>
      </c>
      <c r="H638" s="234">
        <v>0.33</v>
      </c>
      <c r="I638" s="235">
        <f t="shared" si="101"/>
        <v>332500</v>
      </c>
      <c r="J638" s="236">
        <f t="shared" si="102"/>
        <v>332500</v>
      </c>
      <c r="L638" s="211"/>
      <c r="M638" s="117"/>
    </row>
    <row r="639" spans="1:16" x14ac:dyDescent="0.3">
      <c r="B639" s="121"/>
      <c r="C639" s="122"/>
      <c r="D639" s="123"/>
      <c r="E639" s="238"/>
      <c r="F639" s="239"/>
      <c r="G639" s="239"/>
      <c r="H639" s="252"/>
      <c r="I639" s="133"/>
      <c r="J639" s="133"/>
      <c r="K639" s="121"/>
      <c r="L639" s="211"/>
    </row>
    <row r="640" spans="1:16" s="119" customFormat="1" ht="18" customHeight="1" x14ac:dyDescent="0.3">
      <c r="B640" s="253"/>
      <c r="C640" s="118"/>
      <c r="D640" s="121"/>
      <c r="E640" s="124"/>
      <c r="F640" s="125"/>
      <c r="G640" s="125"/>
      <c r="H640" s="125"/>
      <c r="I640" s="125"/>
      <c r="J640" s="125"/>
      <c r="L640" s="211"/>
      <c r="M640" s="117"/>
      <c r="N640" s="126"/>
      <c r="O640" s="126"/>
      <c r="P640" s="126"/>
    </row>
    <row r="641" spans="1:13" x14ac:dyDescent="0.3">
      <c r="B641" s="242"/>
      <c r="C641" s="243"/>
      <c r="D641" s="520" t="s">
        <v>219</v>
      </c>
      <c r="E641" s="520"/>
      <c r="F641" s="520"/>
      <c r="G641" s="290">
        <f>SUM(G608:G638)</f>
        <v>26594120</v>
      </c>
      <c r="H641" s="245"/>
      <c r="I641" s="141"/>
      <c r="J641" s="290">
        <f>SUM(J609:J638)</f>
        <v>35370179</v>
      </c>
      <c r="L641" s="133"/>
      <c r="M641" s="133"/>
    </row>
    <row r="642" spans="1:13" x14ac:dyDescent="0.3">
      <c r="B642" s="139"/>
      <c r="C642" s="243"/>
      <c r="D642" s="135"/>
      <c r="E642" s="247"/>
      <c r="F642" s="135"/>
      <c r="G642" s="141"/>
      <c r="H642" s="245"/>
      <c r="I642" s="141"/>
      <c r="J642" s="141"/>
      <c r="L642" s="211"/>
    </row>
    <row r="643" spans="1:13" ht="16.2" thickBot="1" x14ac:dyDescent="0.35">
      <c r="B643" s="139"/>
      <c r="C643" s="243"/>
      <c r="D643" s="135"/>
      <c r="E643" s="247"/>
      <c r="F643" s="135"/>
      <c r="G643" s="141"/>
      <c r="H643" s="245"/>
      <c r="I643" s="141"/>
      <c r="J643" s="141"/>
      <c r="L643" s="211"/>
    </row>
    <row r="644" spans="1:13" ht="30" customHeight="1" thickBot="1" x14ac:dyDescent="0.35">
      <c r="A644" s="334"/>
      <c r="B644" s="480" t="s">
        <v>373</v>
      </c>
      <c r="C644" s="481"/>
      <c r="D644" s="481"/>
      <c r="E644" s="481"/>
      <c r="F644" s="481"/>
      <c r="G644" s="481"/>
      <c r="H644" s="481"/>
      <c r="I644" s="481"/>
      <c r="J644" s="482"/>
      <c r="L644" s="211"/>
    </row>
    <row r="645" spans="1:13" s="119" customFormat="1" ht="45" customHeight="1" thickBot="1" x14ac:dyDescent="0.35">
      <c r="A645" s="335"/>
      <c r="B645" s="187" t="s">
        <v>6</v>
      </c>
      <c r="C645" s="188" t="s">
        <v>7</v>
      </c>
      <c r="D645" s="189" t="s">
        <v>8</v>
      </c>
      <c r="E645" s="190" t="s">
        <v>9</v>
      </c>
      <c r="F645" s="191" t="s">
        <v>10</v>
      </c>
      <c r="G645" s="192" t="s">
        <v>11</v>
      </c>
      <c r="H645" s="192" t="s">
        <v>12</v>
      </c>
      <c r="I645" s="192" t="s">
        <v>13</v>
      </c>
      <c r="J645" s="193" t="s">
        <v>14</v>
      </c>
      <c r="L645" s="211"/>
      <c r="M645" s="117"/>
    </row>
    <row r="646" spans="1:13" s="202" customFormat="1" ht="14.25" customHeight="1" x14ac:dyDescent="0.3">
      <c r="B646" s="195">
        <v>1</v>
      </c>
      <c r="C646" s="248" t="s">
        <v>15</v>
      </c>
      <c r="D646" s="197"/>
      <c r="E646" s="198"/>
      <c r="F646" s="199"/>
      <c r="G646" s="199"/>
      <c r="H646" s="200"/>
      <c r="I646" s="196"/>
      <c r="J646" s="201"/>
      <c r="L646" s="223"/>
      <c r="M646" s="249"/>
    </row>
    <row r="647" spans="1:13" ht="37.200000000000003" customHeight="1" x14ac:dyDescent="0.3">
      <c r="A647" s="334"/>
      <c r="B647" s="203">
        <v>1.1000000000000001</v>
      </c>
      <c r="C647" s="204" t="s">
        <v>231</v>
      </c>
      <c r="D647" s="205" t="s">
        <v>40</v>
      </c>
      <c r="E647" s="206">
        <v>200</v>
      </c>
      <c r="F647" s="207">
        <v>10813</v>
      </c>
      <c r="G647" s="207">
        <f>+ROUND(E647*F647,0)</f>
        <v>2162600</v>
      </c>
      <c r="H647" s="208">
        <v>0.33</v>
      </c>
      <c r="I647" s="209">
        <f>(F647*(1+H647))</f>
        <v>14381.29</v>
      </c>
      <c r="J647" s="210">
        <f t="shared" ref="J647:J650" si="103">ROUND(I647*E647,0)</f>
        <v>2876258</v>
      </c>
      <c r="L647" s="211"/>
    </row>
    <row r="648" spans="1:13" ht="31.95" customHeight="1" x14ac:dyDescent="0.3">
      <c r="B648" s="203">
        <v>1.2</v>
      </c>
      <c r="C648" s="204" t="s">
        <v>232</v>
      </c>
      <c r="D648" s="205" t="s">
        <v>40</v>
      </c>
      <c r="E648" s="206">
        <f>+E647/3</f>
        <v>66.666666666666671</v>
      </c>
      <c r="F648" s="207">
        <v>9810</v>
      </c>
      <c r="G648" s="207">
        <f t="shared" ref="G648:G650" si="104">+ROUND(E648*F648,0)</f>
        <v>654000</v>
      </c>
      <c r="H648" s="208">
        <v>0.33</v>
      </c>
      <c r="I648" s="209">
        <f t="shared" ref="I648:I650" si="105">(F648*(1+H648))</f>
        <v>13047.300000000001</v>
      </c>
      <c r="J648" s="210">
        <f t="shared" si="103"/>
        <v>869820</v>
      </c>
      <c r="L648" s="211"/>
    </row>
    <row r="649" spans="1:13" ht="31.95" customHeight="1" x14ac:dyDescent="0.3">
      <c r="B649" s="203">
        <v>1.3</v>
      </c>
      <c r="C649" s="204" t="s">
        <v>233</v>
      </c>
      <c r="D649" s="205" t="s">
        <v>370</v>
      </c>
      <c r="E649" s="206">
        <f>(9+8+8+10)*2</f>
        <v>70</v>
      </c>
      <c r="F649" s="207">
        <v>9610</v>
      </c>
      <c r="G649" s="207">
        <f t="shared" si="104"/>
        <v>672700</v>
      </c>
      <c r="H649" s="208">
        <v>0.33</v>
      </c>
      <c r="I649" s="209">
        <f t="shared" si="105"/>
        <v>12781.300000000001</v>
      </c>
      <c r="J649" s="210">
        <f t="shared" si="103"/>
        <v>894691</v>
      </c>
      <c r="L649" s="211"/>
    </row>
    <row r="650" spans="1:13" ht="31.95" customHeight="1" x14ac:dyDescent="0.3">
      <c r="B650" s="203">
        <v>1.4</v>
      </c>
      <c r="C650" s="204" t="s">
        <v>234</v>
      </c>
      <c r="D650" s="205" t="s">
        <v>39</v>
      </c>
      <c r="E650" s="206">
        <f>9+9+9+9+8+8</f>
        <v>52</v>
      </c>
      <c r="F650" s="207">
        <v>20883</v>
      </c>
      <c r="G650" s="207">
        <f t="shared" si="104"/>
        <v>1085916</v>
      </c>
      <c r="H650" s="208">
        <v>0.33</v>
      </c>
      <c r="I650" s="209">
        <f t="shared" si="105"/>
        <v>27774.390000000003</v>
      </c>
      <c r="J650" s="210">
        <f t="shared" si="103"/>
        <v>1444268</v>
      </c>
      <c r="L650" s="211"/>
    </row>
    <row r="651" spans="1:13" s="202" customFormat="1" x14ac:dyDescent="0.3">
      <c r="B651" s="427">
        <v>2</v>
      </c>
      <c r="C651" s="428" t="s">
        <v>16</v>
      </c>
      <c r="D651" s="429"/>
      <c r="E651" s="430"/>
      <c r="F651" s="431"/>
      <c r="G651" s="218"/>
      <c r="H651" s="219"/>
      <c r="I651" s="220"/>
      <c r="J651" s="221"/>
      <c r="K651" s="222"/>
      <c r="L651" s="223"/>
      <c r="M651" s="249"/>
    </row>
    <row r="652" spans="1:13" s="202" customFormat="1" ht="70.95" customHeight="1" x14ac:dyDescent="0.3">
      <c r="A652" s="335"/>
      <c r="B652" s="368">
        <v>9.4</v>
      </c>
      <c r="C652" s="352" t="s">
        <v>247</v>
      </c>
      <c r="D652" s="353" t="s">
        <v>39</v>
      </c>
      <c r="E652" s="354">
        <v>10.5</v>
      </c>
      <c r="F652" s="355">
        <v>270384</v>
      </c>
      <c r="G652" s="207">
        <f t="shared" ref="G652:G666" si="106">+ROUND(E652*F652,0)</f>
        <v>2839032</v>
      </c>
      <c r="H652" s="208">
        <v>0.33</v>
      </c>
      <c r="I652" s="209">
        <f t="shared" ref="I652:I666" si="107">(F652*(1+H652))</f>
        <v>359610.72000000003</v>
      </c>
      <c r="J652" s="210">
        <f t="shared" ref="J652:J666" si="108">ROUND(I652*E652,0)</f>
        <v>3775913</v>
      </c>
      <c r="K652" s="222"/>
      <c r="L652" s="211"/>
      <c r="M652" s="117"/>
    </row>
    <row r="653" spans="1:13" ht="62.4" x14ac:dyDescent="0.3">
      <c r="A653" s="334"/>
      <c r="B653" s="432">
        <v>2.1</v>
      </c>
      <c r="C653" s="433" t="s">
        <v>235</v>
      </c>
      <c r="D653" s="434" t="s">
        <v>40</v>
      </c>
      <c r="E653" s="435">
        <v>200</v>
      </c>
      <c r="F653" s="436">
        <v>76329</v>
      </c>
      <c r="G653" s="207">
        <f t="shared" si="106"/>
        <v>15265800</v>
      </c>
      <c r="H653" s="208">
        <v>0.33</v>
      </c>
      <c r="I653" s="209">
        <f t="shared" si="107"/>
        <v>101517.57</v>
      </c>
      <c r="J653" s="210">
        <f t="shared" si="108"/>
        <v>20303514</v>
      </c>
      <c r="K653" s="121"/>
      <c r="L653" s="211"/>
    </row>
    <row r="654" spans="1:13" ht="66.599999999999994" customHeight="1" x14ac:dyDescent="0.3">
      <c r="A654" s="334"/>
      <c r="B654" s="225">
        <v>2.2000000000000002</v>
      </c>
      <c r="C654" s="226" t="s">
        <v>246</v>
      </c>
      <c r="D654" s="228" t="s">
        <v>39</v>
      </c>
      <c r="E654" s="206">
        <v>49</v>
      </c>
      <c r="F654" s="207">
        <v>66157</v>
      </c>
      <c r="G654" s="207">
        <f>+ROUND(E654*F654,0)</f>
        <v>3241693</v>
      </c>
      <c r="H654" s="208">
        <v>0.33</v>
      </c>
      <c r="I654" s="209">
        <f t="shared" si="107"/>
        <v>87988.81</v>
      </c>
      <c r="J654" s="210">
        <f t="shared" si="108"/>
        <v>4311452</v>
      </c>
      <c r="K654" s="121"/>
      <c r="L654" s="211"/>
    </row>
    <row r="655" spans="1:13" ht="46.8" x14ac:dyDescent="0.3">
      <c r="A655" s="334"/>
      <c r="B655" s="225">
        <v>2.2999999999999998</v>
      </c>
      <c r="C655" s="204" t="s">
        <v>236</v>
      </c>
      <c r="D655" s="205" t="s">
        <v>371</v>
      </c>
      <c r="E655" s="206">
        <v>19</v>
      </c>
      <c r="F655" s="207">
        <v>39523</v>
      </c>
      <c r="G655" s="207">
        <f t="shared" si="106"/>
        <v>750937</v>
      </c>
      <c r="H655" s="208">
        <v>0.33</v>
      </c>
      <c r="I655" s="209">
        <f t="shared" si="107"/>
        <v>52565.590000000004</v>
      </c>
      <c r="J655" s="210">
        <f t="shared" si="108"/>
        <v>998746</v>
      </c>
      <c r="K655" s="121"/>
      <c r="L655" s="211"/>
    </row>
    <row r="656" spans="1:13" ht="30.75" customHeight="1" x14ac:dyDescent="0.3">
      <c r="A656" s="334"/>
      <c r="B656" s="225">
        <v>2.4</v>
      </c>
      <c r="C656" s="204" t="s">
        <v>237</v>
      </c>
      <c r="D656" s="205" t="s">
        <v>371</v>
      </c>
      <c r="E656" s="206">
        <v>37.299999999999997</v>
      </c>
      <c r="F656" s="207">
        <v>129953</v>
      </c>
      <c r="G656" s="207">
        <f t="shared" si="106"/>
        <v>4847247</v>
      </c>
      <c r="H656" s="208">
        <v>0.33</v>
      </c>
      <c r="I656" s="209">
        <f t="shared" si="107"/>
        <v>172837.49000000002</v>
      </c>
      <c r="J656" s="210">
        <f t="shared" si="108"/>
        <v>6446838</v>
      </c>
      <c r="K656" s="121"/>
      <c r="L656" s="211"/>
    </row>
    <row r="657" spans="1:16" ht="32.25" customHeight="1" x14ac:dyDescent="0.3">
      <c r="B657" s="225">
        <v>2.7</v>
      </c>
      <c r="C657" s="204" t="s">
        <v>239</v>
      </c>
      <c r="D657" s="205" t="s">
        <v>40</v>
      </c>
      <c r="E657" s="206">
        <f>+E658*2</f>
        <v>31.92</v>
      </c>
      <c r="F657" s="207">
        <v>75728</v>
      </c>
      <c r="G657" s="207">
        <f t="shared" si="106"/>
        <v>2417238</v>
      </c>
      <c r="H657" s="208">
        <v>0.33</v>
      </c>
      <c r="I657" s="209">
        <f t="shared" si="107"/>
        <v>100718.24</v>
      </c>
      <c r="J657" s="210">
        <f t="shared" si="108"/>
        <v>3214926</v>
      </c>
      <c r="K657" s="121"/>
      <c r="L657" s="211"/>
    </row>
    <row r="658" spans="1:16" ht="32.25" customHeight="1" x14ac:dyDescent="0.3">
      <c r="B658" s="225">
        <v>2.8</v>
      </c>
      <c r="C658" s="204" t="s">
        <v>240</v>
      </c>
      <c r="D658" s="205" t="s">
        <v>40</v>
      </c>
      <c r="E658" s="206">
        <f>10.64*1.5</f>
        <v>15.96</v>
      </c>
      <c r="F658" s="207">
        <v>58969</v>
      </c>
      <c r="G658" s="207">
        <f t="shared" si="106"/>
        <v>941145</v>
      </c>
      <c r="H658" s="208">
        <v>0.33</v>
      </c>
      <c r="I658" s="209">
        <f t="shared" si="107"/>
        <v>78428.77</v>
      </c>
      <c r="J658" s="210">
        <f t="shared" si="108"/>
        <v>1251723</v>
      </c>
      <c r="K658" s="121"/>
      <c r="L658" s="211"/>
    </row>
    <row r="659" spans="1:16" s="202" customFormat="1" x14ac:dyDescent="0.3">
      <c r="B659" s="213">
        <v>3</v>
      </c>
      <c r="C659" s="214" t="s">
        <v>43</v>
      </c>
      <c r="D659" s="215"/>
      <c r="E659" s="216"/>
      <c r="F659" s="217"/>
      <c r="G659" s="218"/>
      <c r="H659" s="219"/>
      <c r="I659" s="220"/>
      <c r="J659" s="221"/>
      <c r="K659" s="222"/>
      <c r="L659" s="223"/>
      <c r="M659" s="249"/>
    </row>
    <row r="660" spans="1:16" ht="31.2" x14ac:dyDescent="0.3">
      <c r="B660" s="225">
        <v>3.1</v>
      </c>
      <c r="C660" s="227" t="s">
        <v>242</v>
      </c>
      <c r="D660" s="228" t="s">
        <v>19</v>
      </c>
      <c r="E660" s="206">
        <v>2</v>
      </c>
      <c r="F660" s="207">
        <v>134144</v>
      </c>
      <c r="G660" s="207">
        <f t="shared" si="106"/>
        <v>268288</v>
      </c>
      <c r="H660" s="208">
        <v>0.33</v>
      </c>
      <c r="I660" s="209">
        <f t="shared" si="107"/>
        <v>178411.52000000002</v>
      </c>
      <c r="J660" s="210">
        <f t="shared" si="108"/>
        <v>356823</v>
      </c>
      <c r="K660" s="121"/>
      <c r="L660" s="211"/>
    </row>
    <row r="661" spans="1:16" ht="75" customHeight="1" x14ac:dyDescent="0.3">
      <c r="B661" s="225">
        <v>3.2</v>
      </c>
      <c r="C661" s="227" t="s">
        <v>243</v>
      </c>
      <c r="D661" s="228" t="s">
        <v>19</v>
      </c>
      <c r="E661" s="206">
        <v>8</v>
      </c>
      <c r="F661" s="207">
        <v>217940</v>
      </c>
      <c r="G661" s="207">
        <f t="shared" si="106"/>
        <v>1743520</v>
      </c>
      <c r="H661" s="208">
        <v>0.33</v>
      </c>
      <c r="I661" s="209">
        <f t="shared" si="107"/>
        <v>289860.2</v>
      </c>
      <c r="J661" s="210">
        <f t="shared" si="108"/>
        <v>2318882</v>
      </c>
      <c r="K661" s="121"/>
      <c r="L661" s="211"/>
    </row>
    <row r="662" spans="1:16" ht="31.2" x14ac:dyDescent="0.3">
      <c r="B662" s="225">
        <v>3.3</v>
      </c>
      <c r="C662" s="227" t="s">
        <v>244</v>
      </c>
      <c r="D662" s="228" t="s">
        <v>39</v>
      </c>
      <c r="E662" s="206">
        <f>15.5*2</f>
        <v>31</v>
      </c>
      <c r="F662" s="207">
        <v>43198</v>
      </c>
      <c r="G662" s="207">
        <f t="shared" si="106"/>
        <v>1339138</v>
      </c>
      <c r="H662" s="208">
        <v>0.33</v>
      </c>
      <c r="I662" s="209">
        <f t="shared" si="107"/>
        <v>57453.340000000004</v>
      </c>
      <c r="J662" s="210">
        <f t="shared" si="108"/>
        <v>1781054</v>
      </c>
      <c r="K662" s="121"/>
      <c r="L662" s="211"/>
    </row>
    <row r="663" spans="1:16" s="202" customFormat="1" x14ac:dyDescent="0.3">
      <c r="B663" s="213">
        <v>4</v>
      </c>
      <c r="C663" s="214" t="s">
        <v>17</v>
      </c>
      <c r="D663" s="215"/>
      <c r="E663" s="216"/>
      <c r="F663" s="217"/>
      <c r="G663" s="218"/>
      <c r="H663" s="219"/>
      <c r="I663" s="220"/>
      <c r="J663" s="221"/>
      <c r="K663" s="222"/>
      <c r="L663" s="223"/>
      <c r="M663" s="249"/>
    </row>
    <row r="664" spans="1:16" x14ac:dyDescent="0.3">
      <c r="A664" s="334"/>
      <c r="B664" s="225">
        <v>4.0999999999999996</v>
      </c>
      <c r="C664" s="226" t="s">
        <v>18</v>
      </c>
      <c r="D664" s="228" t="s">
        <v>19</v>
      </c>
      <c r="E664" s="206">
        <v>1</v>
      </c>
      <c r="F664" s="207">
        <v>150000</v>
      </c>
      <c r="G664" s="207">
        <f t="shared" si="106"/>
        <v>150000</v>
      </c>
      <c r="H664" s="208">
        <v>0.33</v>
      </c>
      <c r="I664" s="209">
        <f t="shared" si="107"/>
        <v>199500</v>
      </c>
      <c r="J664" s="210">
        <f t="shared" si="108"/>
        <v>199500</v>
      </c>
      <c r="K664" s="121"/>
      <c r="L664" s="211"/>
    </row>
    <row r="665" spans="1:16" x14ac:dyDescent="0.3">
      <c r="A665" s="334"/>
      <c r="B665" s="225">
        <v>4.2</v>
      </c>
      <c r="C665" s="226" t="s">
        <v>20</v>
      </c>
      <c r="D665" s="228" t="s">
        <v>19</v>
      </c>
      <c r="E665" s="206">
        <v>1</v>
      </c>
      <c r="F665" s="207">
        <v>250000</v>
      </c>
      <c r="G665" s="207">
        <f t="shared" si="106"/>
        <v>250000</v>
      </c>
      <c r="H665" s="208">
        <v>0.33</v>
      </c>
      <c r="I665" s="209">
        <f t="shared" si="107"/>
        <v>332500</v>
      </c>
      <c r="J665" s="210">
        <f t="shared" si="108"/>
        <v>332500</v>
      </c>
      <c r="K665" s="121"/>
      <c r="L665" s="211"/>
    </row>
    <row r="666" spans="1:16" ht="78.599999999999994" customHeight="1" thickBot="1" x14ac:dyDescent="0.35">
      <c r="A666" s="334"/>
      <c r="B666" s="229">
        <v>4.3</v>
      </c>
      <c r="C666" s="251" t="s">
        <v>245</v>
      </c>
      <c r="D666" s="231" t="s">
        <v>65</v>
      </c>
      <c r="E666" s="232">
        <v>12</v>
      </c>
      <c r="F666" s="233">
        <v>49760</v>
      </c>
      <c r="G666" s="233">
        <f t="shared" si="106"/>
        <v>597120</v>
      </c>
      <c r="H666" s="234">
        <v>0.33</v>
      </c>
      <c r="I666" s="235">
        <f t="shared" si="107"/>
        <v>66180.800000000003</v>
      </c>
      <c r="J666" s="236">
        <f t="shared" si="108"/>
        <v>794170</v>
      </c>
      <c r="K666" s="121"/>
      <c r="L666" s="211"/>
    </row>
    <row r="667" spans="1:16" x14ac:dyDescent="0.3">
      <c r="B667" s="121"/>
      <c r="C667" s="122"/>
      <c r="D667" s="123"/>
      <c r="E667" s="238"/>
      <c r="F667" s="239"/>
      <c r="G667" s="239"/>
      <c r="H667" s="252"/>
      <c r="I667" s="133"/>
      <c r="J667" s="133"/>
      <c r="K667" s="121"/>
      <c r="L667" s="211"/>
    </row>
    <row r="668" spans="1:16" s="119" customFormat="1" ht="18" customHeight="1" x14ac:dyDescent="0.3">
      <c r="B668" s="289"/>
      <c r="C668" s="118"/>
      <c r="D668" s="121"/>
      <c r="E668" s="124"/>
      <c r="F668" s="125"/>
      <c r="G668" s="125"/>
      <c r="H668" s="125"/>
      <c r="I668" s="125"/>
      <c r="J668" s="125"/>
      <c r="L668" s="211"/>
      <c r="M668" s="117"/>
      <c r="N668" s="126"/>
      <c r="O668" s="126"/>
      <c r="P668" s="126"/>
    </row>
    <row r="669" spans="1:16" x14ac:dyDescent="0.3">
      <c r="B669" s="139"/>
      <c r="C669" s="243"/>
      <c r="D669" s="520" t="s">
        <v>109</v>
      </c>
      <c r="E669" s="520"/>
      <c r="F669" s="520"/>
      <c r="G669" s="290">
        <f>SUM(G646:G666)</f>
        <v>39226374</v>
      </c>
      <c r="H669" s="245"/>
      <c r="I669" s="141"/>
      <c r="J669" s="290">
        <f>SUM(J646:J666)</f>
        <v>52171078</v>
      </c>
      <c r="L669" s="211"/>
      <c r="M669" s="142"/>
    </row>
    <row r="670" spans="1:16" x14ac:dyDescent="0.3">
      <c r="B670" s="139"/>
      <c r="C670" s="243"/>
      <c r="D670" s="135"/>
      <c r="E670" s="247"/>
      <c r="F670" s="135"/>
      <c r="G670" s="141"/>
      <c r="H670" s="245"/>
      <c r="I670" s="141"/>
      <c r="J670" s="141"/>
      <c r="L670" s="211"/>
    </row>
    <row r="671" spans="1:16" ht="16.2" thickBot="1" x14ac:dyDescent="0.35">
      <c r="B671" s="139"/>
      <c r="C671" s="243"/>
      <c r="D671" s="135"/>
      <c r="E671" s="247"/>
      <c r="F671" s="135"/>
      <c r="G671" s="141"/>
      <c r="H671" s="245"/>
      <c r="I671" s="141"/>
      <c r="J671" s="141"/>
      <c r="L671" s="211"/>
    </row>
    <row r="672" spans="1:16" ht="30" customHeight="1" thickBot="1" x14ac:dyDescent="0.35">
      <c r="B672" s="517" t="s">
        <v>122</v>
      </c>
      <c r="C672" s="518"/>
      <c r="D672" s="518"/>
      <c r="E672" s="518"/>
      <c r="F672" s="518"/>
      <c r="G672" s="518"/>
      <c r="H672" s="518"/>
      <c r="I672" s="518"/>
      <c r="J672" s="519"/>
      <c r="L672" s="211"/>
    </row>
    <row r="673" spans="1:13" s="119" customFormat="1" ht="49.2" customHeight="1" thickBot="1" x14ac:dyDescent="0.35">
      <c r="B673" s="437" t="s">
        <v>6</v>
      </c>
      <c r="C673" s="438" t="s">
        <v>7</v>
      </c>
      <c r="D673" s="439" t="s">
        <v>8</v>
      </c>
      <c r="E673" s="440" t="s">
        <v>9</v>
      </c>
      <c r="F673" s="441" t="s">
        <v>10</v>
      </c>
      <c r="G673" s="442" t="s">
        <v>11</v>
      </c>
      <c r="H673" s="442" t="s">
        <v>12</v>
      </c>
      <c r="I673" s="442" t="s">
        <v>13</v>
      </c>
      <c r="J673" s="443" t="s">
        <v>14</v>
      </c>
      <c r="L673" s="211"/>
      <c r="M673" s="117"/>
    </row>
    <row r="674" spans="1:13" s="202" customFormat="1" ht="14.25" customHeight="1" x14ac:dyDescent="0.3">
      <c r="A674" s="119"/>
      <c r="B674" s="444">
        <v>1</v>
      </c>
      <c r="C674" s="214" t="s">
        <v>220</v>
      </c>
      <c r="D674" s="215"/>
      <c r="E674" s="216"/>
      <c r="F674" s="217"/>
      <c r="G674" s="445"/>
      <c r="H674" s="200"/>
      <c r="I674" s="196"/>
      <c r="J674" s="446"/>
      <c r="L674" s="223"/>
      <c r="M674" s="249"/>
    </row>
    <row r="675" spans="1:13" ht="31.2" x14ac:dyDescent="0.3">
      <c r="B675" s="447">
        <v>1.1000000000000001</v>
      </c>
      <c r="C675" s="204" t="s">
        <v>234</v>
      </c>
      <c r="D675" s="205" t="s">
        <v>39</v>
      </c>
      <c r="E675" s="206">
        <v>16</v>
      </c>
      <c r="F675" s="207">
        <v>20883</v>
      </c>
      <c r="G675" s="207">
        <f>+ROUND(E675*F675,0)</f>
        <v>334128</v>
      </c>
      <c r="H675" s="208">
        <v>0.33</v>
      </c>
      <c r="I675" s="209">
        <f>(F675*(1+H675))</f>
        <v>27774.390000000003</v>
      </c>
      <c r="J675" s="448">
        <f>ROUND(I675*E675,0)</f>
        <v>444390</v>
      </c>
      <c r="K675" s="121"/>
      <c r="L675" s="211"/>
    </row>
    <row r="676" spans="1:13" s="249" customFormat="1" x14ac:dyDescent="0.3">
      <c r="A676" s="117"/>
      <c r="B676" s="444">
        <v>2</v>
      </c>
      <c r="C676" s="214" t="s">
        <v>113</v>
      </c>
      <c r="D676" s="215"/>
      <c r="E676" s="216"/>
      <c r="F676" s="217"/>
      <c r="G676" s="218"/>
      <c r="H676" s="219"/>
      <c r="I676" s="220"/>
      <c r="J676" s="449"/>
      <c r="K676" s="250"/>
      <c r="L676" s="223"/>
    </row>
    <row r="677" spans="1:13" ht="31.2" x14ac:dyDescent="0.3">
      <c r="B677" s="450">
        <v>2.1</v>
      </c>
      <c r="C677" s="227" t="s">
        <v>298</v>
      </c>
      <c r="D677" s="205" t="s">
        <v>40</v>
      </c>
      <c r="E677" s="206">
        <v>165</v>
      </c>
      <c r="F677" s="207">
        <v>66399</v>
      </c>
      <c r="G677" s="207">
        <f t="shared" ref="G677" si="109">+ROUND(E677*F677,0)</f>
        <v>10955835</v>
      </c>
      <c r="H677" s="208">
        <v>0.33</v>
      </c>
      <c r="I677" s="209">
        <f t="shared" ref="I677" si="110">(F677*(1+H677))</f>
        <v>88310.67</v>
      </c>
      <c r="J677" s="448">
        <f t="shared" ref="J677" si="111">ROUND(I677*E677,0)</f>
        <v>14571261</v>
      </c>
      <c r="K677" s="121"/>
      <c r="L677" s="211"/>
    </row>
    <row r="678" spans="1:13" s="249" customFormat="1" x14ac:dyDescent="0.3">
      <c r="A678" s="117"/>
      <c r="B678" s="444">
        <v>3</v>
      </c>
      <c r="C678" s="214" t="s">
        <v>27</v>
      </c>
      <c r="D678" s="215"/>
      <c r="E678" s="216"/>
      <c r="F678" s="217"/>
      <c r="G678" s="218"/>
      <c r="H678" s="219"/>
      <c r="I678" s="220"/>
      <c r="J678" s="449"/>
      <c r="K678" s="250"/>
      <c r="L678" s="223"/>
    </row>
    <row r="679" spans="1:13" ht="31.2" x14ac:dyDescent="0.3">
      <c r="B679" s="450">
        <v>3.1</v>
      </c>
      <c r="C679" s="227" t="s">
        <v>285</v>
      </c>
      <c r="D679" s="205" t="s">
        <v>65</v>
      </c>
      <c r="E679" s="206">
        <v>17</v>
      </c>
      <c r="F679" s="207">
        <v>109920</v>
      </c>
      <c r="G679" s="207">
        <f t="shared" ref="G679:G688" si="112">+ROUND(E679*F679,0)</f>
        <v>1868640</v>
      </c>
      <c r="H679" s="208">
        <v>0.33</v>
      </c>
      <c r="I679" s="209">
        <f t="shared" ref="I679:I688" si="113">(F679*(1+H679))</f>
        <v>146193.60000000001</v>
      </c>
      <c r="J679" s="448">
        <f t="shared" ref="J679:J688" si="114">ROUND(I679*E679,0)</f>
        <v>2485291</v>
      </c>
      <c r="K679" s="121"/>
      <c r="L679" s="211"/>
    </row>
    <row r="680" spans="1:13" ht="31.2" x14ac:dyDescent="0.3">
      <c r="B680" s="451">
        <v>3.2</v>
      </c>
      <c r="C680" s="315" t="s">
        <v>304</v>
      </c>
      <c r="D680" s="205" t="s">
        <v>40</v>
      </c>
      <c r="E680" s="452">
        <v>175</v>
      </c>
      <c r="F680" s="316">
        <v>32633</v>
      </c>
      <c r="G680" s="207">
        <f t="shared" si="112"/>
        <v>5710775</v>
      </c>
      <c r="H680" s="208">
        <v>0.33</v>
      </c>
      <c r="I680" s="209">
        <f t="shared" si="113"/>
        <v>43401.89</v>
      </c>
      <c r="J680" s="448">
        <f t="shared" si="114"/>
        <v>7595331</v>
      </c>
      <c r="K680" s="121"/>
      <c r="L680" s="211"/>
    </row>
    <row r="681" spans="1:13" x14ac:dyDescent="0.3">
      <c r="B681" s="450">
        <v>3.3</v>
      </c>
      <c r="C681" s="227" t="s">
        <v>305</v>
      </c>
      <c r="D681" s="205" t="s">
        <v>40</v>
      </c>
      <c r="E681" s="206">
        <v>165</v>
      </c>
      <c r="F681" s="207">
        <v>123208</v>
      </c>
      <c r="G681" s="207">
        <f t="shared" si="112"/>
        <v>20329320</v>
      </c>
      <c r="H681" s="208">
        <v>0.33</v>
      </c>
      <c r="I681" s="209">
        <f t="shared" si="113"/>
        <v>163866.64000000001</v>
      </c>
      <c r="J681" s="448">
        <f t="shared" si="114"/>
        <v>27037996</v>
      </c>
      <c r="K681" s="121"/>
      <c r="L681" s="211"/>
    </row>
    <row r="682" spans="1:13" ht="31.2" x14ac:dyDescent="0.3">
      <c r="B682" s="451">
        <v>3.4</v>
      </c>
      <c r="C682" s="227" t="s">
        <v>278</v>
      </c>
      <c r="D682" s="205" t="s">
        <v>40</v>
      </c>
      <c r="E682" s="206">
        <v>165</v>
      </c>
      <c r="F682" s="207">
        <v>96223</v>
      </c>
      <c r="G682" s="207">
        <f t="shared" si="112"/>
        <v>15876795</v>
      </c>
      <c r="H682" s="208">
        <v>0.33</v>
      </c>
      <c r="I682" s="209">
        <f t="shared" si="113"/>
        <v>127976.59000000001</v>
      </c>
      <c r="J682" s="448">
        <f t="shared" si="114"/>
        <v>21116137</v>
      </c>
      <c r="K682" s="121"/>
      <c r="L682" s="211"/>
    </row>
    <row r="683" spans="1:13" s="202" customFormat="1" ht="46.8" x14ac:dyDescent="0.3">
      <c r="A683" s="119"/>
      <c r="B683" s="450">
        <v>3.5</v>
      </c>
      <c r="C683" s="227" t="s">
        <v>353</v>
      </c>
      <c r="D683" s="205" t="s">
        <v>39</v>
      </c>
      <c r="E683" s="206">
        <v>110</v>
      </c>
      <c r="F683" s="207">
        <v>14774</v>
      </c>
      <c r="G683" s="207">
        <f t="shared" si="112"/>
        <v>1625140</v>
      </c>
      <c r="H683" s="208">
        <v>0.33</v>
      </c>
      <c r="I683" s="209">
        <f t="shared" si="113"/>
        <v>19649.420000000002</v>
      </c>
      <c r="J683" s="448">
        <f t="shared" si="114"/>
        <v>2161436</v>
      </c>
      <c r="K683" s="222"/>
      <c r="L683" s="211"/>
      <c r="M683" s="117"/>
    </row>
    <row r="684" spans="1:13" x14ac:dyDescent="0.3">
      <c r="B684" s="451">
        <v>3.6</v>
      </c>
      <c r="C684" s="227" t="s">
        <v>253</v>
      </c>
      <c r="D684" s="205" t="s">
        <v>40</v>
      </c>
      <c r="E684" s="206">
        <v>165</v>
      </c>
      <c r="F684" s="207">
        <v>42550</v>
      </c>
      <c r="G684" s="207">
        <f t="shared" si="112"/>
        <v>7020750</v>
      </c>
      <c r="H684" s="208">
        <v>0.33</v>
      </c>
      <c r="I684" s="209">
        <f t="shared" si="113"/>
        <v>56591.5</v>
      </c>
      <c r="J684" s="448">
        <f t="shared" si="114"/>
        <v>9337598</v>
      </c>
      <c r="K684" s="121"/>
      <c r="L684" s="211"/>
    </row>
    <row r="685" spans="1:13" s="249" customFormat="1" x14ac:dyDescent="0.3">
      <c r="A685" s="117"/>
      <c r="B685" s="444">
        <v>4</v>
      </c>
      <c r="C685" s="214" t="s">
        <v>17</v>
      </c>
      <c r="D685" s="215"/>
      <c r="E685" s="216"/>
      <c r="F685" s="217"/>
      <c r="G685" s="218"/>
      <c r="H685" s="219"/>
      <c r="I685" s="220"/>
      <c r="J685" s="449"/>
      <c r="K685" s="250"/>
      <c r="L685" s="223"/>
    </row>
    <row r="686" spans="1:13" x14ac:dyDescent="0.3">
      <c r="B686" s="450">
        <v>4.0999999999999996</v>
      </c>
      <c r="C686" s="226" t="s">
        <v>18</v>
      </c>
      <c r="D686" s="228" t="s">
        <v>19</v>
      </c>
      <c r="E686" s="206">
        <v>1</v>
      </c>
      <c r="F686" s="207">
        <v>150000</v>
      </c>
      <c r="G686" s="207">
        <f t="shared" si="112"/>
        <v>150000</v>
      </c>
      <c r="H686" s="208">
        <v>0.33</v>
      </c>
      <c r="I686" s="209">
        <f t="shared" si="113"/>
        <v>199500</v>
      </c>
      <c r="J686" s="448">
        <f t="shared" si="114"/>
        <v>199500</v>
      </c>
      <c r="K686" s="121"/>
      <c r="L686" s="211"/>
    </row>
    <row r="687" spans="1:13" x14ac:dyDescent="0.3">
      <c r="B687" s="450">
        <v>4.2</v>
      </c>
      <c r="C687" s="226" t="s">
        <v>101</v>
      </c>
      <c r="D687" s="228" t="s">
        <v>118</v>
      </c>
      <c r="E687" s="206">
        <v>4</v>
      </c>
      <c r="F687" s="207">
        <v>250000</v>
      </c>
      <c r="G687" s="207">
        <f t="shared" si="112"/>
        <v>1000000</v>
      </c>
      <c r="H687" s="208">
        <v>0.33</v>
      </c>
      <c r="I687" s="209">
        <f t="shared" si="113"/>
        <v>332500</v>
      </c>
      <c r="J687" s="448">
        <f t="shared" si="114"/>
        <v>1330000</v>
      </c>
      <c r="K687" s="121"/>
      <c r="L687" s="211"/>
    </row>
    <row r="688" spans="1:13" ht="63" thickBot="1" x14ac:dyDescent="0.35">
      <c r="B688" s="453">
        <v>4.3</v>
      </c>
      <c r="C688" s="454" t="s">
        <v>245</v>
      </c>
      <c r="D688" s="455" t="s">
        <v>65</v>
      </c>
      <c r="E688" s="456">
        <v>25</v>
      </c>
      <c r="F688" s="457">
        <v>49760</v>
      </c>
      <c r="G688" s="457">
        <f t="shared" si="112"/>
        <v>1244000</v>
      </c>
      <c r="H688" s="458">
        <v>0.33</v>
      </c>
      <c r="I688" s="459">
        <f t="shared" si="113"/>
        <v>66180.800000000003</v>
      </c>
      <c r="J688" s="460">
        <f t="shared" si="114"/>
        <v>1654520</v>
      </c>
      <c r="K688" s="121"/>
      <c r="L688" s="211"/>
    </row>
    <row r="689" spans="1:16" s="119" customFormat="1" ht="18" customHeight="1" x14ac:dyDescent="0.3">
      <c r="B689" s="253"/>
      <c r="C689" s="118"/>
      <c r="D689" s="121"/>
      <c r="E689" s="124"/>
      <c r="F689" s="125"/>
      <c r="G689" s="125"/>
      <c r="H689" s="125"/>
      <c r="I689" s="125"/>
      <c r="J689" s="125"/>
      <c r="L689" s="211"/>
      <c r="M689" s="117"/>
      <c r="N689" s="126"/>
      <c r="O689" s="126"/>
      <c r="P689" s="126"/>
    </row>
    <row r="690" spans="1:16" x14ac:dyDescent="0.3">
      <c r="B690" s="242"/>
      <c r="C690" s="243"/>
      <c r="D690" s="520" t="s">
        <v>221</v>
      </c>
      <c r="E690" s="520"/>
      <c r="F690" s="520"/>
      <c r="G690" s="290">
        <f>SUM(G675:G688)</f>
        <v>66115383</v>
      </c>
      <c r="H690" s="245"/>
      <c r="I690" s="141"/>
      <c r="J690" s="290">
        <f>SUM(J674:J688)</f>
        <v>87933460</v>
      </c>
      <c r="L690" s="211"/>
      <c r="M690" s="142"/>
    </row>
    <row r="691" spans="1:16" x14ac:dyDescent="0.3">
      <c r="B691" s="139"/>
      <c r="C691" s="243"/>
      <c r="D691" s="135"/>
      <c r="E691" s="247"/>
      <c r="F691" s="135"/>
      <c r="G691" s="141"/>
      <c r="H691" s="245"/>
      <c r="I691" s="141"/>
      <c r="J691" s="141"/>
      <c r="L691" s="211"/>
    </row>
    <row r="692" spans="1:16" ht="16.2" thickBot="1" x14ac:dyDescent="0.35">
      <c r="B692" s="139"/>
      <c r="C692" s="243"/>
      <c r="D692" s="135"/>
      <c r="E692" s="247"/>
      <c r="F692" s="135"/>
      <c r="G692" s="141"/>
      <c r="H692" s="245"/>
      <c r="I692" s="141"/>
      <c r="J692" s="141"/>
      <c r="L692" s="211"/>
    </row>
    <row r="693" spans="1:16" ht="30" customHeight="1" thickBot="1" x14ac:dyDescent="0.35">
      <c r="A693" s="334"/>
      <c r="B693" s="480" t="s">
        <v>222</v>
      </c>
      <c r="C693" s="481"/>
      <c r="D693" s="481"/>
      <c r="E693" s="481"/>
      <c r="F693" s="481"/>
      <c r="G693" s="481"/>
      <c r="H693" s="481"/>
      <c r="I693" s="481"/>
      <c r="J693" s="482"/>
      <c r="L693" s="211"/>
    </row>
    <row r="694" spans="1:16" s="119" customFormat="1" ht="49.2" customHeight="1" thickBot="1" x14ac:dyDescent="0.35">
      <c r="A694" s="335"/>
      <c r="B694" s="187" t="s">
        <v>6</v>
      </c>
      <c r="C694" s="188" t="s">
        <v>7</v>
      </c>
      <c r="D694" s="189" t="s">
        <v>8</v>
      </c>
      <c r="E694" s="190" t="s">
        <v>9</v>
      </c>
      <c r="F694" s="191" t="s">
        <v>10</v>
      </c>
      <c r="G694" s="192" t="s">
        <v>11</v>
      </c>
      <c r="H694" s="192" t="s">
        <v>12</v>
      </c>
      <c r="I694" s="192" t="s">
        <v>13</v>
      </c>
      <c r="J694" s="193" t="s">
        <v>14</v>
      </c>
      <c r="L694" s="211"/>
      <c r="M694" s="117"/>
    </row>
    <row r="695" spans="1:16" s="202" customFormat="1" ht="14.25" customHeight="1" x14ac:dyDescent="0.3">
      <c r="B695" s="195">
        <v>1</v>
      </c>
      <c r="C695" s="248" t="s">
        <v>15</v>
      </c>
      <c r="D695" s="197"/>
      <c r="E695" s="198"/>
      <c r="F695" s="199"/>
      <c r="G695" s="199"/>
      <c r="H695" s="200"/>
      <c r="I695" s="196"/>
      <c r="J695" s="201"/>
      <c r="L695" s="223"/>
      <c r="M695" s="249"/>
    </row>
    <row r="696" spans="1:16" x14ac:dyDescent="0.3">
      <c r="B696" s="203">
        <v>1.1000000000000001</v>
      </c>
      <c r="C696" s="204" t="s">
        <v>231</v>
      </c>
      <c r="D696" s="205" t="s">
        <v>40</v>
      </c>
      <c r="E696" s="206">
        <v>226</v>
      </c>
      <c r="F696" s="207">
        <v>10813</v>
      </c>
      <c r="G696" s="207">
        <f>+ROUND(E696*F696,0)</f>
        <v>2443738</v>
      </c>
      <c r="H696" s="208">
        <v>0.33</v>
      </c>
      <c r="I696" s="209">
        <f>(F696*(1+H696))</f>
        <v>14381.29</v>
      </c>
      <c r="J696" s="210">
        <f t="shared" ref="J696:J699" si="115">ROUND(I696*E696,0)</f>
        <v>3250172</v>
      </c>
      <c r="L696" s="211"/>
    </row>
    <row r="697" spans="1:16" ht="31.2" x14ac:dyDescent="0.3">
      <c r="B697" s="203">
        <v>1.2</v>
      </c>
      <c r="C697" s="204" t="s">
        <v>234</v>
      </c>
      <c r="D697" s="205" t="s">
        <v>39</v>
      </c>
      <c r="E697" s="206">
        <v>58.787201225114856</v>
      </c>
      <c r="F697" s="207">
        <v>20883</v>
      </c>
      <c r="G697" s="207">
        <f t="shared" ref="G697:G699" si="116">+ROUND(E697*F697,0)</f>
        <v>1227653</v>
      </c>
      <c r="H697" s="208">
        <v>0.33</v>
      </c>
      <c r="I697" s="209">
        <f t="shared" ref="I697:I699" si="117">(F697*(1+H697))</f>
        <v>27774.390000000003</v>
      </c>
      <c r="J697" s="210">
        <f t="shared" si="115"/>
        <v>1632779</v>
      </c>
      <c r="L697" s="211"/>
    </row>
    <row r="698" spans="1:16" ht="31.95" customHeight="1" x14ac:dyDescent="0.3">
      <c r="B698" s="203">
        <v>1.3</v>
      </c>
      <c r="C698" s="204" t="s">
        <v>232</v>
      </c>
      <c r="D698" s="205" t="s">
        <v>40</v>
      </c>
      <c r="E698" s="206">
        <f>+E696</f>
        <v>226</v>
      </c>
      <c r="F698" s="207">
        <v>9810</v>
      </c>
      <c r="G698" s="207">
        <f t="shared" si="116"/>
        <v>2217060</v>
      </c>
      <c r="H698" s="208">
        <v>0.33</v>
      </c>
      <c r="I698" s="209">
        <f t="shared" si="117"/>
        <v>13047.300000000001</v>
      </c>
      <c r="J698" s="210">
        <f t="shared" si="115"/>
        <v>2948690</v>
      </c>
      <c r="L698" s="211"/>
    </row>
    <row r="699" spans="1:16" ht="31.95" customHeight="1" x14ac:dyDescent="0.3">
      <c r="B699" s="203">
        <v>1.4</v>
      </c>
      <c r="C699" s="204" t="s">
        <v>233</v>
      </c>
      <c r="D699" s="205" t="s">
        <v>370</v>
      </c>
      <c r="E699" s="206">
        <f>(9+8+8+10)*2</f>
        <v>70</v>
      </c>
      <c r="F699" s="207">
        <v>9610</v>
      </c>
      <c r="G699" s="207">
        <f t="shared" si="116"/>
        <v>672700</v>
      </c>
      <c r="H699" s="208">
        <v>0.33</v>
      </c>
      <c r="I699" s="209">
        <f t="shared" si="117"/>
        <v>12781.300000000001</v>
      </c>
      <c r="J699" s="210">
        <f t="shared" si="115"/>
        <v>894691</v>
      </c>
      <c r="L699" s="211"/>
    </row>
    <row r="700" spans="1:16" s="202" customFormat="1" x14ac:dyDescent="0.3">
      <c r="B700" s="213">
        <v>2</v>
      </c>
      <c r="C700" s="214" t="s">
        <v>16</v>
      </c>
      <c r="D700" s="215"/>
      <c r="E700" s="216"/>
      <c r="F700" s="217"/>
      <c r="G700" s="218"/>
      <c r="H700" s="219"/>
      <c r="I700" s="220"/>
      <c r="J700" s="221"/>
      <c r="K700" s="222"/>
      <c r="L700" s="223"/>
      <c r="M700" s="249"/>
    </row>
    <row r="701" spans="1:16" ht="62.4" x14ac:dyDescent="0.3">
      <c r="B701" s="225">
        <v>2.1</v>
      </c>
      <c r="C701" s="204" t="s">
        <v>235</v>
      </c>
      <c r="D701" s="205" t="s">
        <v>40</v>
      </c>
      <c r="E701" s="206">
        <v>227</v>
      </c>
      <c r="F701" s="207">
        <v>76329</v>
      </c>
      <c r="G701" s="207">
        <f t="shared" ref="G701:G716" si="118">+ROUND(E701*F701,0)</f>
        <v>17326683</v>
      </c>
      <c r="H701" s="208">
        <v>0.33</v>
      </c>
      <c r="I701" s="209">
        <f t="shared" ref="I701:I716" si="119">(F701*(1+H701))</f>
        <v>101517.57</v>
      </c>
      <c r="J701" s="210">
        <f t="shared" ref="J701:J716" si="120">ROUND(I701*E701,0)</f>
        <v>23044488</v>
      </c>
      <c r="K701" s="121"/>
      <c r="L701" s="211"/>
    </row>
    <row r="702" spans="1:16" s="293" customFormat="1" ht="49.2" customHeight="1" x14ac:dyDescent="0.3">
      <c r="B702" s="294">
        <v>2.2000000000000002</v>
      </c>
      <c r="C702" s="204" t="s">
        <v>246</v>
      </c>
      <c r="D702" s="296" t="s">
        <v>39</v>
      </c>
      <c r="E702" s="329">
        <v>229</v>
      </c>
      <c r="F702" s="297">
        <v>66157</v>
      </c>
      <c r="G702" s="207">
        <f t="shared" si="118"/>
        <v>15149953</v>
      </c>
      <c r="H702" s="208">
        <v>0.33</v>
      </c>
      <c r="I702" s="209">
        <f t="shared" si="119"/>
        <v>87988.81</v>
      </c>
      <c r="J702" s="210">
        <f t="shared" si="120"/>
        <v>20149437</v>
      </c>
      <c r="K702" s="461"/>
      <c r="L702" s="211"/>
      <c r="M702" s="117"/>
    </row>
    <row r="703" spans="1:16" ht="46.8" x14ac:dyDescent="0.3">
      <c r="B703" s="225">
        <v>2.2999999999999998</v>
      </c>
      <c r="C703" s="204" t="s">
        <v>236</v>
      </c>
      <c r="D703" s="205" t="s">
        <v>371</v>
      </c>
      <c r="E703" s="206">
        <v>19</v>
      </c>
      <c r="F703" s="207">
        <v>39523</v>
      </c>
      <c r="G703" s="207">
        <f t="shared" si="118"/>
        <v>750937</v>
      </c>
      <c r="H703" s="208">
        <v>0.33</v>
      </c>
      <c r="I703" s="209">
        <f t="shared" si="119"/>
        <v>52565.590000000004</v>
      </c>
      <c r="J703" s="210">
        <f t="shared" si="120"/>
        <v>998746</v>
      </c>
      <c r="K703" s="121"/>
      <c r="L703" s="211"/>
    </row>
    <row r="704" spans="1:16" ht="32.25" customHeight="1" x14ac:dyDescent="0.3">
      <c r="B704" s="225">
        <v>2.4</v>
      </c>
      <c r="C704" s="204" t="s">
        <v>237</v>
      </c>
      <c r="D704" s="205" t="s">
        <v>371</v>
      </c>
      <c r="E704" s="206">
        <v>37.4</v>
      </c>
      <c r="F704" s="207">
        <v>129953</v>
      </c>
      <c r="G704" s="207">
        <f t="shared" si="118"/>
        <v>4860242</v>
      </c>
      <c r="H704" s="208">
        <v>0.33</v>
      </c>
      <c r="I704" s="209">
        <f t="shared" si="119"/>
        <v>172837.49000000002</v>
      </c>
      <c r="J704" s="210">
        <f t="shared" si="120"/>
        <v>6464122</v>
      </c>
      <c r="K704" s="121"/>
      <c r="L704" s="211"/>
    </row>
    <row r="705" spans="2:16" ht="32.25" customHeight="1" x14ac:dyDescent="0.3">
      <c r="B705" s="225">
        <v>2.5</v>
      </c>
      <c r="C705" s="204" t="s">
        <v>238</v>
      </c>
      <c r="D705" s="205" t="s">
        <v>371</v>
      </c>
      <c r="E705" s="206">
        <v>13</v>
      </c>
      <c r="F705" s="207">
        <v>39486</v>
      </c>
      <c r="G705" s="207">
        <f t="shared" si="118"/>
        <v>513318</v>
      </c>
      <c r="H705" s="208">
        <v>0.33</v>
      </c>
      <c r="I705" s="209">
        <f t="shared" si="119"/>
        <v>52516.380000000005</v>
      </c>
      <c r="J705" s="210">
        <f t="shared" si="120"/>
        <v>682713</v>
      </c>
      <c r="K705" s="121"/>
      <c r="L705" s="211"/>
    </row>
    <row r="706" spans="2:16" ht="32.25" customHeight="1" x14ac:dyDescent="0.3">
      <c r="B706" s="225">
        <v>2.6</v>
      </c>
      <c r="C706" s="204" t="s">
        <v>239</v>
      </c>
      <c r="D706" s="205" t="s">
        <v>40</v>
      </c>
      <c r="E706" s="329">
        <f>+E707*2</f>
        <v>31.92</v>
      </c>
      <c r="F706" s="207">
        <v>75728</v>
      </c>
      <c r="G706" s="207">
        <f t="shared" si="118"/>
        <v>2417238</v>
      </c>
      <c r="H706" s="208">
        <v>0.33</v>
      </c>
      <c r="I706" s="209">
        <f t="shared" si="119"/>
        <v>100718.24</v>
      </c>
      <c r="J706" s="210">
        <f t="shared" si="120"/>
        <v>3214926</v>
      </c>
      <c r="K706" s="121"/>
      <c r="L706" s="211"/>
    </row>
    <row r="707" spans="2:16" ht="32.25" customHeight="1" x14ac:dyDescent="0.3">
      <c r="B707" s="225">
        <v>2.7</v>
      </c>
      <c r="C707" s="204" t="s">
        <v>240</v>
      </c>
      <c r="D707" s="205" t="s">
        <v>40</v>
      </c>
      <c r="E707" s="206">
        <f>10.64*1.5</f>
        <v>15.96</v>
      </c>
      <c r="F707" s="207">
        <v>58969</v>
      </c>
      <c r="G707" s="207">
        <f t="shared" si="118"/>
        <v>941145</v>
      </c>
      <c r="H707" s="208">
        <v>0.33</v>
      </c>
      <c r="I707" s="209">
        <f t="shared" si="119"/>
        <v>78428.77</v>
      </c>
      <c r="J707" s="210">
        <f t="shared" si="120"/>
        <v>1251723</v>
      </c>
      <c r="K707" s="121"/>
      <c r="L707" s="211"/>
    </row>
    <row r="708" spans="2:16" ht="32.25" customHeight="1" x14ac:dyDescent="0.3">
      <c r="B708" s="225">
        <v>2.8</v>
      </c>
      <c r="C708" s="204" t="s">
        <v>241</v>
      </c>
      <c r="D708" s="205" t="s">
        <v>370</v>
      </c>
      <c r="E708" s="206">
        <v>21</v>
      </c>
      <c r="F708" s="207">
        <v>16921</v>
      </c>
      <c r="G708" s="207">
        <f t="shared" si="118"/>
        <v>355341</v>
      </c>
      <c r="H708" s="208">
        <v>0.33</v>
      </c>
      <c r="I708" s="209">
        <f t="shared" si="119"/>
        <v>22504.93</v>
      </c>
      <c r="J708" s="210">
        <f t="shared" si="120"/>
        <v>472604</v>
      </c>
      <c r="K708" s="121"/>
      <c r="L708" s="211"/>
    </row>
    <row r="709" spans="2:16" s="202" customFormat="1" x14ac:dyDescent="0.3">
      <c r="B709" s="213">
        <v>3</v>
      </c>
      <c r="C709" s="214" t="s">
        <v>43</v>
      </c>
      <c r="D709" s="215"/>
      <c r="E709" s="216"/>
      <c r="F709" s="217"/>
      <c r="G709" s="218"/>
      <c r="H709" s="219"/>
      <c r="I709" s="220"/>
      <c r="J709" s="221"/>
      <c r="K709" s="222"/>
      <c r="L709" s="223"/>
      <c r="M709" s="249"/>
    </row>
    <row r="710" spans="2:16" ht="31.2" x14ac:dyDescent="0.3">
      <c r="B710" s="225">
        <v>3.1</v>
      </c>
      <c r="C710" s="227" t="s">
        <v>242</v>
      </c>
      <c r="D710" s="228" t="s">
        <v>19</v>
      </c>
      <c r="E710" s="206">
        <v>2</v>
      </c>
      <c r="F710" s="207">
        <v>134144</v>
      </c>
      <c r="G710" s="207">
        <f t="shared" si="118"/>
        <v>268288</v>
      </c>
      <c r="H710" s="208">
        <v>0.33</v>
      </c>
      <c r="I710" s="209">
        <f t="shared" si="119"/>
        <v>178411.52000000002</v>
      </c>
      <c r="J710" s="210">
        <f t="shared" si="120"/>
        <v>356823</v>
      </c>
      <c r="K710" s="121"/>
      <c r="L710" s="211"/>
    </row>
    <row r="711" spans="2:16" ht="75" customHeight="1" x14ac:dyDescent="0.3">
      <c r="B711" s="225">
        <v>3.2</v>
      </c>
      <c r="C711" s="227" t="s">
        <v>243</v>
      </c>
      <c r="D711" s="228" t="s">
        <v>19</v>
      </c>
      <c r="E711" s="206">
        <v>8</v>
      </c>
      <c r="F711" s="207">
        <v>217940</v>
      </c>
      <c r="G711" s="207">
        <f t="shared" si="118"/>
        <v>1743520</v>
      </c>
      <c r="H711" s="208">
        <v>0.33</v>
      </c>
      <c r="I711" s="209">
        <f t="shared" si="119"/>
        <v>289860.2</v>
      </c>
      <c r="J711" s="210">
        <f t="shared" si="120"/>
        <v>2318882</v>
      </c>
      <c r="K711" s="121"/>
      <c r="L711" s="211"/>
    </row>
    <row r="712" spans="2:16" ht="31.2" x14ac:dyDescent="0.3">
      <c r="B712" s="225">
        <v>3.3</v>
      </c>
      <c r="C712" s="227" t="s">
        <v>244</v>
      </c>
      <c r="D712" s="228" t="s">
        <v>39</v>
      </c>
      <c r="E712" s="206">
        <f>15.5*2</f>
        <v>31</v>
      </c>
      <c r="F712" s="207">
        <v>43198</v>
      </c>
      <c r="G712" s="207">
        <f t="shared" si="118"/>
        <v>1339138</v>
      </c>
      <c r="H712" s="208">
        <v>0.33</v>
      </c>
      <c r="I712" s="209">
        <f t="shared" si="119"/>
        <v>57453.340000000004</v>
      </c>
      <c r="J712" s="210">
        <f t="shared" si="120"/>
        <v>1781054</v>
      </c>
      <c r="K712" s="121"/>
      <c r="L712" s="211"/>
    </row>
    <row r="713" spans="2:16" s="202" customFormat="1" x14ac:dyDescent="0.3">
      <c r="B713" s="213">
        <v>4</v>
      </c>
      <c r="C713" s="214" t="s">
        <v>17</v>
      </c>
      <c r="D713" s="215"/>
      <c r="E713" s="216"/>
      <c r="F713" s="217"/>
      <c r="G713" s="218"/>
      <c r="H713" s="219"/>
      <c r="I713" s="220"/>
      <c r="J713" s="221"/>
      <c r="K713" s="222"/>
      <c r="L713" s="223"/>
      <c r="M713" s="249"/>
    </row>
    <row r="714" spans="2:16" x14ac:dyDescent="0.3">
      <c r="B714" s="225">
        <v>4.0999999999999996</v>
      </c>
      <c r="C714" s="226" t="s">
        <v>18</v>
      </c>
      <c r="D714" s="228" t="s">
        <v>19</v>
      </c>
      <c r="E714" s="206">
        <v>1</v>
      </c>
      <c r="F714" s="207">
        <v>150000</v>
      </c>
      <c r="G714" s="207">
        <f t="shared" si="118"/>
        <v>150000</v>
      </c>
      <c r="H714" s="208">
        <v>0.33</v>
      </c>
      <c r="I714" s="209">
        <f t="shared" si="119"/>
        <v>199500</v>
      </c>
      <c r="J714" s="210">
        <f t="shared" si="120"/>
        <v>199500</v>
      </c>
      <c r="K714" s="121"/>
      <c r="L714" s="211"/>
    </row>
    <row r="715" spans="2:16" x14ac:dyDescent="0.3">
      <c r="B715" s="225">
        <v>4.2</v>
      </c>
      <c r="C715" s="226" t="s">
        <v>20</v>
      </c>
      <c r="D715" s="228" t="s">
        <v>19</v>
      </c>
      <c r="E715" s="206">
        <v>1</v>
      </c>
      <c r="F715" s="207">
        <v>250000</v>
      </c>
      <c r="G715" s="207">
        <f t="shared" si="118"/>
        <v>250000</v>
      </c>
      <c r="H715" s="208">
        <v>0.33</v>
      </c>
      <c r="I715" s="209">
        <f t="shared" si="119"/>
        <v>332500</v>
      </c>
      <c r="J715" s="210">
        <f t="shared" si="120"/>
        <v>332500</v>
      </c>
      <c r="K715" s="121"/>
      <c r="L715" s="211"/>
    </row>
    <row r="716" spans="2:16" ht="33" customHeight="1" thickBot="1" x14ac:dyDescent="0.35">
      <c r="B716" s="229">
        <v>4.3</v>
      </c>
      <c r="C716" s="251" t="s">
        <v>245</v>
      </c>
      <c r="D716" s="231" t="s">
        <v>65</v>
      </c>
      <c r="E716" s="232">
        <v>15</v>
      </c>
      <c r="F716" s="233">
        <v>49760</v>
      </c>
      <c r="G716" s="233">
        <f t="shared" si="118"/>
        <v>746400</v>
      </c>
      <c r="H716" s="234">
        <v>0.33</v>
      </c>
      <c r="I716" s="235">
        <f t="shared" si="119"/>
        <v>66180.800000000003</v>
      </c>
      <c r="J716" s="236">
        <f t="shared" si="120"/>
        <v>992712</v>
      </c>
      <c r="K716" s="121"/>
      <c r="L716" s="211"/>
    </row>
    <row r="717" spans="2:16" x14ac:dyDescent="0.3">
      <c r="B717" s="121"/>
      <c r="C717" s="122"/>
      <c r="D717" s="123"/>
      <c r="E717" s="238"/>
      <c r="F717" s="239"/>
      <c r="G717" s="239"/>
      <c r="H717" s="252"/>
      <c r="I717" s="133"/>
      <c r="J717" s="133"/>
      <c r="K717" s="121"/>
      <c r="L717" s="211"/>
      <c r="M717" s="121"/>
    </row>
    <row r="718" spans="2:16" s="119" customFormat="1" ht="18" customHeight="1" x14ac:dyDescent="0.3">
      <c r="B718" s="289"/>
      <c r="C718" s="118"/>
      <c r="D718" s="121"/>
      <c r="E718" s="124"/>
      <c r="F718" s="125"/>
      <c r="G718" s="125"/>
      <c r="H718" s="125"/>
      <c r="I718" s="125"/>
      <c r="J718" s="125"/>
      <c r="L718" s="211"/>
      <c r="N718" s="126"/>
      <c r="O718" s="126"/>
      <c r="P718" s="126"/>
    </row>
    <row r="719" spans="2:16" x14ac:dyDescent="0.3">
      <c r="B719" s="139"/>
      <c r="C719" s="243"/>
      <c r="D719" s="520" t="s">
        <v>114</v>
      </c>
      <c r="E719" s="520"/>
      <c r="F719" s="520"/>
      <c r="G719" s="290">
        <f>SUM(G696:G717)</f>
        <v>53373354</v>
      </c>
      <c r="H719" s="245"/>
      <c r="I719" s="141"/>
      <c r="J719" s="290">
        <f>+SUM(J696:J716)</f>
        <v>70986562</v>
      </c>
      <c r="L719" s="211"/>
      <c r="M719" s="141"/>
    </row>
    <row r="720" spans="2:16" x14ac:dyDescent="0.3">
      <c r="B720" s="139"/>
      <c r="C720" s="243"/>
      <c r="D720" s="135"/>
      <c r="E720" s="247"/>
      <c r="F720" s="135"/>
      <c r="G720" s="141"/>
      <c r="H720" s="245"/>
      <c r="I720" s="141"/>
      <c r="J720" s="141"/>
      <c r="L720" s="211"/>
      <c r="M720" s="141"/>
    </row>
    <row r="721" spans="1:13" ht="16.2" thickBot="1" x14ac:dyDescent="0.35">
      <c r="B721" s="139"/>
      <c r="C721" s="243"/>
      <c r="D721" s="135"/>
      <c r="E721" s="247"/>
      <c r="F721" s="135"/>
      <c r="G721" s="141"/>
      <c r="H721" s="245"/>
      <c r="I721" s="141"/>
      <c r="J721" s="141"/>
      <c r="L721" s="211"/>
      <c r="M721" s="141"/>
    </row>
    <row r="722" spans="1:13" ht="30" customHeight="1" thickBot="1" x14ac:dyDescent="0.35">
      <c r="A722" s="334"/>
      <c r="B722" s="480" t="s">
        <v>223</v>
      </c>
      <c r="C722" s="481"/>
      <c r="D722" s="481"/>
      <c r="E722" s="481"/>
      <c r="F722" s="481"/>
      <c r="G722" s="481"/>
      <c r="H722" s="481"/>
      <c r="I722" s="481"/>
      <c r="J722" s="482"/>
      <c r="L722" s="211"/>
    </row>
    <row r="723" spans="1:13" s="119" customFormat="1" ht="49.2" customHeight="1" thickBot="1" x14ac:dyDescent="0.35">
      <c r="A723" s="335"/>
      <c r="B723" s="187" t="s">
        <v>6</v>
      </c>
      <c r="C723" s="188" t="s">
        <v>7</v>
      </c>
      <c r="D723" s="189" t="s">
        <v>8</v>
      </c>
      <c r="E723" s="190" t="s">
        <v>9</v>
      </c>
      <c r="F723" s="191" t="s">
        <v>10</v>
      </c>
      <c r="G723" s="192" t="s">
        <v>11</v>
      </c>
      <c r="H723" s="192" t="s">
        <v>12</v>
      </c>
      <c r="I723" s="192" t="s">
        <v>13</v>
      </c>
      <c r="J723" s="193" t="s">
        <v>14</v>
      </c>
      <c r="L723" s="211"/>
      <c r="M723" s="117"/>
    </row>
    <row r="724" spans="1:13" s="202" customFormat="1" ht="14.25" customHeight="1" x14ac:dyDescent="0.3">
      <c r="B724" s="195">
        <v>1</v>
      </c>
      <c r="C724" s="248" t="s">
        <v>15</v>
      </c>
      <c r="D724" s="197"/>
      <c r="E724" s="198"/>
      <c r="F724" s="199"/>
      <c r="G724" s="199"/>
      <c r="H724" s="200"/>
      <c r="I724" s="196"/>
      <c r="J724" s="201"/>
      <c r="L724" s="223"/>
      <c r="M724" s="249"/>
    </row>
    <row r="725" spans="1:13" x14ac:dyDescent="0.3">
      <c r="B725" s="203">
        <v>1.1000000000000001</v>
      </c>
      <c r="C725" s="226" t="s">
        <v>231</v>
      </c>
      <c r="D725" s="205" t="s">
        <v>40</v>
      </c>
      <c r="E725" s="206">
        <v>354</v>
      </c>
      <c r="F725" s="207">
        <v>10813</v>
      </c>
      <c r="G725" s="207">
        <f>+ROUND(E725*F725,0)</f>
        <v>3827802</v>
      </c>
      <c r="H725" s="208">
        <v>0.33</v>
      </c>
      <c r="I725" s="209">
        <f>(F725*(1+H725))</f>
        <v>14381.29</v>
      </c>
      <c r="J725" s="210">
        <f t="shared" ref="J725:J728" si="121">ROUND(I725*E725,0)</f>
        <v>5090977</v>
      </c>
    </row>
    <row r="726" spans="1:13" ht="31.2" x14ac:dyDescent="0.3">
      <c r="B726" s="203">
        <v>1.2</v>
      </c>
      <c r="C726" s="204" t="s">
        <v>234</v>
      </c>
      <c r="D726" s="205" t="s">
        <v>39</v>
      </c>
      <c r="E726" s="206">
        <f>8+8+8+8+8+8+6+6</f>
        <v>60</v>
      </c>
      <c r="F726" s="207">
        <v>20883</v>
      </c>
      <c r="G726" s="207">
        <f t="shared" ref="G726:G728" si="122">+ROUND(E726*F726,0)</f>
        <v>1252980</v>
      </c>
      <c r="H726" s="208">
        <v>0.33</v>
      </c>
      <c r="I726" s="209">
        <f t="shared" ref="I726:I728" si="123">(F726*(1+H726))</f>
        <v>27774.390000000003</v>
      </c>
      <c r="J726" s="210">
        <f t="shared" si="121"/>
        <v>1666463</v>
      </c>
      <c r="L726" s="211"/>
    </row>
    <row r="727" spans="1:13" ht="31.95" customHeight="1" x14ac:dyDescent="0.3">
      <c r="B727" s="203">
        <v>1.3</v>
      </c>
      <c r="C727" s="204" t="s">
        <v>232</v>
      </c>
      <c r="D727" s="205" t="s">
        <v>40</v>
      </c>
      <c r="E727" s="206">
        <f>+E725</f>
        <v>354</v>
      </c>
      <c r="F727" s="207">
        <v>9810</v>
      </c>
      <c r="G727" s="207">
        <f t="shared" si="122"/>
        <v>3472740</v>
      </c>
      <c r="H727" s="208">
        <v>0.33</v>
      </c>
      <c r="I727" s="209">
        <f t="shared" si="123"/>
        <v>13047.300000000001</v>
      </c>
      <c r="J727" s="210">
        <f t="shared" si="121"/>
        <v>4618744</v>
      </c>
      <c r="L727" s="211"/>
    </row>
    <row r="728" spans="1:13" ht="31.95" customHeight="1" x14ac:dyDescent="0.3">
      <c r="B728" s="203">
        <v>1.4</v>
      </c>
      <c r="C728" s="204" t="s">
        <v>233</v>
      </c>
      <c r="D728" s="205" t="s">
        <v>370</v>
      </c>
      <c r="E728" s="206">
        <f>(9+8+8+10)*4</f>
        <v>140</v>
      </c>
      <c r="F728" s="207">
        <v>9610</v>
      </c>
      <c r="G728" s="207">
        <f t="shared" si="122"/>
        <v>1345400</v>
      </c>
      <c r="H728" s="208">
        <v>0.33</v>
      </c>
      <c r="I728" s="209">
        <f t="shared" si="123"/>
        <v>12781.300000000001</v>
      </c>
      <c r="J728" s="210">
        <f t="shared" si="121"/>
        <v>1789382</v>
      </c>
      <c r="L728" s="211"/>
    </row>
    <row r="729" spans="1:13" s="202" customFormat="1" x14ac:dyDescent="0.3">
      <c r="B729" s="213">
        <v>2</v>
      </c>
      <c r="C729" s="214" t="s">
        <v>60</v>
      </c>
      <c r="D729" s="215"/>
      <c r="E729" s="216"/>
      <c r="F729" s="217"/>
      <c r="G729" s="218"/>
      <c r="H729" s="219"/>
      <c r="I729" s="220"/>
      <c r="J729" s="221"/>
      <c r="K729" s="222"/>
      <c r="L729" s="222"/>
      <c r="M729" s="222"/>
    </row>
    <row r="730" spans="1:13" ht="46.8" x14ac:dyDescent="0.3">
      <c r="B730" s="225">
        <v>2.1</v>
      </c>
      <c r="C730" s="226" t="s">
        <v>280</v>
      </c>
      <c r="D730" s="205" t="s">
        <v>40</v>
      </c>
      <c r="E730" s="206">
        <v>1.7</v>
      </c>
      <c r="F730" s="207">
        <v>460111</v>
      </c>
      <c r="G730" s="207">
        <f t="shared" ref="G730:G747" si="124">+ROUND(E730*F730,0)</f>
        <v>782189</v>
      </c>
      <c r="H730" s="208">
        <v>0.33</v>
      </c>
      <c r="I730" s="209">
        <f t="shared" ref="I730:I747" si="125">(F730*(1+H730))</f>
        <v>611947.63</v>
      </c>
      <c r="J730" s="210">
        <f t="shared" ref="J730:J747" si="126">ROUND(I730*E730,0)</f>
        <v>1040311</v>
      </c>
      <c r="K730" s="121"/>
      <c r="L730" s="121"/>
      <c r="M730" s="121"/>
    </row>
    <row r="731" spans="1:13" x14ac:dyDescent="0.3">
      <c r="B731" s="225">
        <v>2.2000000000000002</v>
      </c>
      <c r="C731" s="226" t="s">
        <v>274</v>
      </c>
      <c r="D731" s="205" t="s">
        <v>40</v>
      </c>
      <c r="E731" s="206">
        <v>3.11</v>
      </c>
      <c r="F731" s="207">
        <v>19735</v>
      </c>
      <c r="G731" s="207">
        <f t="shared" si="124"/>
        <v>61376</v>
      </c>
      <c r="H731" s="208">
        <v>0.33</v>
      </c>
      <c r="I731" s="209">
        <f t="shared" si="125"/>
        <v>26247.550000000003</v>
      </c>
      <c r="J731" s="210">
        <f t="shared" si="126"/>
        <v>81630</v>
      </c>
      <c r="K731" s="121"/>
      <c r="L731" s="121"/>
      <c r="M731" s="121"/>
    </row>
    <row r="732" spans="1:13" s="202" customFormat="1" x14ac:dyDescent="0.3">
      <c r="B732" s="213">
        <v>3</v>
      </c>
      <c r="C732" s="214" t="s">
        <v>16</v>
      </c>
      <c r="D732" s="215"/>
      <c r="E732" s="216"/>
      <c r="F732" s="217"/>
      <c r="G732" s="218"/>
      <c r="H732" s="219"/>
      <c r="I732" s="220"/>
      <c r="J732" s="221"/>
      <c r="K732" s="222"/>
      <c r="L732" s="222"/>
      <c r="M732" s="222"/>
    </row>
    <row r="733" spans="1:13" ht="62.4" x14ac:dyDescent="0.3">
      <c r="B733" s="225">
        <v>3.1</v>
      </c>
      <c r="C733" s="226" t="s">
        <v>235</v>
      </c>
      <c r="D733" s="205" t="s">
        <v>40</v>
      </c>
      <c r="E733" s="206">
        <v>354</v>
      </c>
      <c r="F733" s="207">
        <v>76329</v>
      </c>
      <c r="G733" s="207">
        <f t="shared" si="124"/>
        <v>27020466</v>
      </c>
      <c r="H733" s="208">
        <v>0.33</v>
      </c>
      <c r="I733" s="209">
        <f t="shared" si="125"/>
        <v>101517.57</v>
      </c>
      <c r="J733" s="210">
        <f t="shared" si="126"/>
        <v>35937220</v>
      </c>
      <c r="K733" s="121"/>
      <c r="L733" s="121"/>
      <c r="M733" s="121"/>
    </row>
    <row r="734" spans="1:13" ht="46.8" x14ac:dyDescent="0.3">
      <c r="B734" s="225">
        <v>3.2</v>
      </c>
      <c r="C734" s="226" t="s">
        <v>236</v>
      </c>
      <c r="D734" s="205" t="s">
        <v>371</v>
      </c>
      <c r="E734" s="206">
        <v>50</v>
      </c>
      <c r="F734" s="207">
        <v>39523</v>
      </c>
      <c r="G734" s="207">
        <f t="shared" si="124"/>
        <v>1976150</v>
      </c>
      <c r="H734" s="208">
        <v>0.33</v>
      </c>
      <c r="I734" s="209">
        <f t="shared" si="125"/>
        <v>52565.590000000004</v>
      </c>
      <c r="J734" s="210">
        <f t="shared" si="126"/>
        <v>2628280</v>
      </c>
      <c r="K734" s="121"/>
      <c r="L734" s="121"/>
      <c r="M734" s="121"/>
    </row>
    <row r="735" spans="1:13" ht="46.8" x14ac:dyDescent="0.3">
      <c r="B735" s="225">
        <v>3.3</v>
      </c>
      <c r="C735" s="226" t="s">
        <v>246</v>
      </c>
      <c r="D735" s="228" t="s">
        <v>39</v>
      </c>
      <c r="E735" s="206">
        <v>120</v>
      </c>
      <c r="F735" s="207">
        <v>66157</v>
      </c>
      <c r="G735" s="207">
        <f t="shared" si="124"/>
        <v>7938840</v>
      </c>
      <c r="H735" s="208">
        <v>0.33</v>
      </c>
      <c r="I735" s="209">
        <f t="shared" si="125"/>
        <v>87988.81</v>
      </c>
      <c r="J735" s="210">
        <f t="shared" si="126"/>
        <v>10558657</v>
      </c>
      <c r="K735" s="121"/>
      <c r="L735" s="121"/>
      <c r="M735" s="121"/>
    </row>
    <row r="736" spans="1:13" ht="46.8" x14ac:dyDescent="0.3">
      <c r="B736" s="225">
        <v>3.4</v>
      </c>
      <c r="C736" s="227" t="s">
        <v>247</v>
      </c>
      <c r="D736" s="228" t="s">
        <v>39</v>
      </c>
      <c r="E736" s="206">
        <f>10.5*4</f>
        <v>42</v>
      </c>
      <c r="F736" s="207">
        <v>270384</v>
      </c>
      <c r="G736" s="207">
        <f t="shared" si="124"/>
        <v>11356128</v>
      </c>
      <c r="H736" s="208">
        <v>0.33</v>
      </c>
      <c r="I736" s="209">
        <f t="shared" si="125"/>
        <v>359610.72000000003</v>
      </c>
      <c r="J736" s="210">
        <f t="shared" si="126"/>
        <v>15103650</v>
      </c>
      <c r="K736" s="121"/>
      <c r="L736" s="121"/>
      <c r="M736" s="121"/>
    </row>
    <row r="737" spans="2:16" s="249" customFormat="1" x14ac:dyDescent="0.3">
      <c r="B737" s="213">
        <v>4</v>
      </c>
      <c r="C737" s="462" t="s">
        <v>28</v>
      </c>
      <c r="D737" s="215"/>
      <c r="E737" s="216"/>
      <c r="F737" s="217"/>
      <c r="G737" s="218"/>
      <c r="H737" s="219"/>
      <c r="I737" s="220"/>
      <c r="J737" s="221"/>
      <c r="K737" s="250"/>
      <c r="L737" s="250"/>
      <c r="M737" s="250"/>
    </row>
    <row r="738" spans="2:16" ht="31.2" x14ac:dyDescent="0.3">
      <c r="B738" s="225">
        <v>4.0999999999999996</v>
      </c>
      <c r="C738" s="226" t="s">
        <v>239</v>
      </c>
      <c r="D738" s="205" t="s">
        <v>40</v>
      </c>
      <c r="E738" s="206">
        <f>+E739*2</f>
        <v>60</v>
      </c>
      <c r="F738" s="207">
        <v>75728</v>
      </c>
      <c r="G738" s="207">
        <f t="shared" si="124"/>
        <v>4543680</v>
      </c>
      <c r="H738" s="208">
        <v>0.33</v>
      </c>
      <c r="I738" s="209">
        <f t="shared" si="125"/>
        <v>100718.24</v>
      </c>
      <c r="J738" s="210">
        <f t="shared" si="126"/>
        <v>6043094</v>
      </c>
      <c r="K738" s="121"/>
      <c r="L738" s="121"/>
      <c r="M738" s="121"/>
    </row>
    <row r="739" spans="2:16" ht="32.25" customHeight="1" x14ac:dyDescent="0.3">
      <c r="B739" s="225">
        <v>4.2</v>
      </c>
      <c r="C739" s="204" t="s">
        <v>240</v>
      </c>
      <c r="D739" s="205" t="s">
        <v>40</v>
      </c>
      <c r="E739" s="206">
        <f>6*5</f>
        <v>30</v>
      </c>
      <c r="F739" s="207">
        <v>58969</v>
      </c>
      <c r="G739" s="207">
        <f t="shared" si="124"/>
        <v>1769070</v>
      </c>
      <c r="H739" s="208">
        <v>0.33</v>
      </c>
      <c r="I739" s="209">
        <f t="shared" si="125"/>
        <v>78428.77</v>
      </c>
      <c r="J739" s="210">
        <f t="shared" si="126"/>
        <v>2352863</v>
      </c>
      <c r="K739" s="121"/>
      <c r="L739" s="211"/>
    </row>
    <row r="740" spans="2:16" s="202" customFormat="1" x14ac:dyDescent="0.3">
      <c r="B740" s="213">
        <v>5</v>
      </c>
      <c r="C740" s="214" t="s">
        <v>43</v>
      </c>
      <c r="D740" s="215"/>
      <c r="E740" s="216"/>
      <c r="F740" s="217"/>
      <c r="G740" s="218"/>
      <c r="H740" s="219"/>
      <c r="I740" s="220"/>
      <c r="J740" s="221"/>
      <c r="K740" s="222"/>
      <c r="L740" s="223"/>
      <c r="M740" s="249"/>
    </row>
    <row r="741" spans="2:16" ht="31.2" x14ac:dyDescent="0.3">
      <c r="B741" s="225">
        <v>5.0999999999999996</v>
      </c>
      <c r="C741" s="227" t="s">
        <v>242</v>
      </c>
      <c r="D741" s="228" t="s">
        <v>19</v>
      </c>
      <c r="E741" s="206">
        <v>4</v>
      </c>
      <c r="F741" s="207">
        <v>134144</v>
      </c>
      <c r="G741" s="207">
        <f t="shared" si="124"/>
        <v>536576</v>
      </c>
      <c r="H741" s="208">
        <v>0.33</v>
      </c>
      <c r="I741" s="209">
        <f t="shared" si="125"/>
        <v>178411.52000000002</v>
      </c>
      <c r="J741" s="210">
        <f t="shared" si="126"/>
        <v>713646</v>
      </c>
      <c r="K741" s="121"/>
      <c r="L741" s="211"/>
    </row>
    <row r="742" spans="2:16" ht="75" customHeight="1" x14ac:dyDescent="0.3">
      <c r="B742" s="225">
        <v>5.2</v>
      </c>
      <c r="C742" s="227" t="s">
        <v>243</v>
      </c>
      <c r="D742" s="228" t="s">
        <v>19</v>
      </c>
      <c r="E742" s="206">
        <v>16</v>
      </c>
      <c r="F742" s="207">
        <v>217940</v>
      </c>
      <c r="G742" s="207">
        <f t="shared" si="124"/>
        <v>3487040</v>
      </c>
      <c r="H742" s="208">
        <v>0.33</v>
      </c>
      <c r="I742" s="209">
        <f t="shared" si="125"/>
        <v>289860.2</v>
      </c>
      <c r="J742" s="210">
        <f t="shared" si="126"/>
        <v>4637763</v>
      </c>
      <c r="K742" s="121"/>
      <c r="L742" s="211"/>
    </row>
    <row r="743" spans="2:16" ht="31.2" x14ac:dyDescent="0.3">
      <c r="B743" s="225">
        <v>5.3</v>
      </c>
      <c r="C743" s="227" t="s">
        <v>244</v>
      </c>
      <c r="D743" s="228" t="s">
        <v>39</v>
      </c>
      <c r="E743" s="206">
        <f>15.5*4</f>
        <v>62</v>
      </c>
      <c r="F743" s="207">
        <v>43198</v>
      </c>
      <c r="G743" s="207">
        <f t="shared" si="124"/>
        <v>2678276</v>
      </c>
      <c r="H743" s="208">
        <v>0.33</v>
      </c>
      <c r="I743" s="209">
        <f t="shared" si="125"/>
        <v>57453.340000000004</v>
      </c>
      <c r="J743" s="210">
        <f t="shared" si="126"/>
        <v>3562107</v>
      </c>
      <c r="K743" s="121"/>
      <c r="L743" s="211"/>
    </row>
    <row r="744" spans="2:16" s="202" customFormat="1" x14ac:dyDescent="0.3">
      <c r="B744" s="213">
        <v>6</v>
      </c>
      <c r="C744" s="214" t="s">
        <v>17</v>
      </c>
      <c r="D744" s="215"/>
      <c r="E744" s="216"/>
      <c r="F744" s="217"/>
      <c r="G744" s="218"/>
      <c r="H744" s="219"/>
      <c r="I744" s="220"/>
      <c r="J744" s="221"/>
      <c r="K744" s="222"/>
      <c r="L744" s="222"/>
      <c r="M744" s="222"/>
    </row>
    <row r="745" spans="2:16" x14ac:dyDescent="0.3">
      <c r="B745" s="225">
        <v>6.1</v>
      </c>
      <c r="C745" s="226" t="s">
        <v>18</v>
      </c>
      <c r="D745" s="228" t="s">
        <v>19</v>
      </c>
      <c r="E745" s="206">
        <v>1</v>
      </c>
      <c r="F745" s="207">
        <v>150000</v>
      </c>
      <c r="G745" s="207">
        <f t="shared" si="124"/>
        <v>150000</v>
      </c>
      <c r="H745" s="208">
        <v>0.33</v>
      </c>
      <c r="I745" s="209">
        <f t="shared" si="125"/>
        <v>199500</v>
      </c>
      <c r="J745" s="210">
        <f t="shared" si="126"/>
        <v>199500</v>
      </c>
      <c r="K745" s="121"/>
      <c r="L745" s="121"/>
      <c r="M745" s="121"/>
    </row>
    <row r="746" spans="2:16" x14ac:dyDescent="0.3">
      <c r="B746" s="225">
        <v>6.2</v>
      </c>
      <c r="C746" s="226" t="s">
        <v>20</v>
      </c>
      <c r="D746" s="228" t="s">
        <v>19</v>
      </c>
      <c r="E746" s="206">
        <v>1</v>
      </c>
      <c r="F746" s="207">
        <v>250000</v>
      </c>
      <c r="G746" s="207">
        <f t="shared" si="124"/>
        <v>250000</v>
      </c>
      <c r="H746" s="208">
        <v>0.33</v>
      </c>
      <c r="I746" s="209">
        <f t="shared" si="125"/>
        <v>332500</v>
      </c>
      <c r="J746" s="210">
        <f t="shared" si="126"/>
        <v>332500</v>
      </c>
      <c r="K746" s="121"/>
      <c r="L746" s="121"/>
      <c r="M746" s="121"/>
    </row>
    <row r="747" spans="2:16" ht="63" thickBot="1" x14ac:dyDescent="0.35">
      <c r="B747" s="229">
        <v>6.3</v>
      </c>
      <c r="C747" s="251" t="s">
        <v>245</v>
      </c>
      <c r="D747" s="231" t="s">
        <v>65</v>
      </c>
      <c r="E747" s="232">
        <v>18</v>
      </c>
      <c r="F747" s="233">
        <v>49760</v>
      </c>
      <c r="G747" s="233">
        <f t="shared" si="124"/>
        <v>895680</v>
      </c>
      <c r="H747" s="234">
        <v>0.33</v>
      </c>
      <c r="I747" s="235">
        <f t="shared" si="125"/>
        <v>66180.800000000003</v>
      </c>
      <c r="J747" s="236">
        <f t="shared" si="126"/>
        <v>1191254</v>
      </c>
      <c r="K747" s="121"/>
      <c r="L747" s="121"/>
      <c r="M747" s="121"/>
    </row>
    <row r="748" spans="2:16" x14ac:dyDescent="0.3">
      <c r="B748" s="121"/>
      <c r="C748" s="122"/>
      <c r="D748" s="123"/>
      <c r="E748" s="238"/>
      <c r="F748" s="239"/>
      <c r="G748" s="239"/>
      <c r="H748" s="252"/>
      <c r="I748" s="133"/>
      <c r="J748" s="133"/>
      <c r="K748" s="121"/>
      <c r="L748" s="211"/>
      <c r="M748" s="121"/>
    </row>
    <row r="749" spans="2:16" s="119" customFormat="1" ht="18" customHeight="1" x14ac:dyDescent="0.3">
      <c r="B749" s="289"/>
      <c r="C749" s="118"/>
      <c r="D749" s="121"/>
      <c r="E749" s="124"/>
      <c r="F749" s="125"/>
      <c r="G749" s="125"/>
      <c r="H749" s="125"/>
      <c r="I749" s="125"/>
      <c r="J749" s="125"/>
      <c r="L749" s="211"/>
      <c r="N749" s="126"/>
      <c r="O749" s="126"/>
      <c r="P749" s="126"/>
    </row>
    <row r="750" spans="2:16" x14ac:dyDescent="0.3">
      <c r="B750" s="139"/>
      <c r="C750" s="243"/>
      <c r="D750" s="520" t="s">
        <v>119</v>
      </c>
      <c r="E750" s="520"/>
      <c r="F750" s="520"/>
      <c r="G750" s="290">
        <f>SUM(G724:G748)</f>
        <v>73344393</v>
      </c>
      <c r="H750" s="245"/>
      <c r="I750" s="141"/>
      <c r="J750" s="290">
        <f>+SUM(J724:J747)</f>
        <v>97548041</v>
      </c>
      <c r="L750" s="211"/>
      <c r="M750" s="141"/>
    </row>
    <row r="751" spans="2:16" x14ac:dyDescent="0.3">
      <c r="B751" s="139"/>
      <c r="C751" s="243"/>
      <c r="D751" s="135"/>
      <c r="E751" s="247"/>
      <c r="F751" s="135"/>
      <c r="G751" s="141"/>
      <c r="H751" s="245"/>
      <c r="I751" s="141"/>
      <c r="J751" s="141"/>
      <c r="L751" s="211"/>
      <c r="M751" s="141"/>
    </row>
    <row r="752" spans="2:16" ht="16.2" thickBot="1" x14ac:dyDescent="0.35">
      <c r="B752" s="139"/>
      <c r="C752" s="243"/>
      <c r="D752" s="135"/>
      <c r="E752" s="247"/>
      <c r="F752" s="135"/>
      <c r="G752" s="141"/>
      <c r="H752" s="245"/>
      <c r="I752" s="141"/>
      <c r="J752" s="141"/>
      <c r="L752" s="211"/>
      <c r="M752" s="141"/>
    </row>
    <row r="753" spans="1:13" ht="30" customHeight="1" thickBot="1" x14ac:dyDescent="0.35">
      <c r="A753" s="334"/>
      <c r="B753" s="480" t="s">
        <v>224</v>
      </c>
      <c r="C753" s="481"/>
      <c r="D753" s="481"/>
      <c r="E753" s="481"/>
      <c r="F753" s="481"/>
      <c r="G753" s="481"/>
      <c r="H753" s="481"/>
      <c r="I753" s="481"/>
      <c r="J753" s="482"/>
      <c r="L753" s="211"/>
    </row>
    <row r="754" spans="1:13" s="119" customFormat="1" ht="49.2" customHeight="1" thickBot="1" x14ac:dyDescent="0.35">
      <c r="A754" s="335"/>
      <c r="B754" s="187" t="s">
        <v>6</v>
      </c>
      <c r="C754" s="188" t="s">
        <v>7</v>
      </c>
      <c r="D754" s="189" t="s">
        <v>8</v>
      </c>
      <c r="E754" s="190" t="s">
        <v>9</v>
      </c>
      <c r="F754" s="191" t="s">
        <v>10</v>
      </c>
      <c r="G754" s="192" t="s">
        <v>11</v>
      </c>
      <c r="H754" s="192" t="s">
        <v>12</v>
      </c>
      <c r="I754" s="192" t="s">
        <v>13</v>
      </c>
      <c r="J754" s="193" t="s">
        <v>14</v>
      </c>
      <c r="L754" s="211"/>
      <c r="M754" s="117"/>
    </row>
    <row r="755" spans="1:13" s="202" customFormat="1" ht="13.95" customHeight="1" x14ac:dyDescent="0.3">
      <c r="B755" s="195">
        <v>1</v>
      </c>
      <c r="C755" s="248" t="s">
        <v>15</v>
      </c>
      <c r="D755" s="197"/>
      <c r="E755" s="198"/>
      <c r="F755" s="199"/>
      <c r="G755" s="199"/>
      <c r="H755" s="200"/>
      <c r="I755" s="196"/>
      <c r="J755" s="201"/>
      <c r="L755" s="223"/>
      <c r="M755" s="249"/>
    </row>
    <row r="756" spans="1:13" x14ac:dyDescent="0.3">
      <c r="B756" s="203">
        <v>1.1000000000000001</v>
      </c>
      <c r="C756" s="226" t="s">
        <v>231</v>
      </c>
      <c r="D756" s="205" t="s">
        <v>40</v>
      </c>
      <c r="E756" s="206">
        <v>200.1</v>
      </c>
      <c r="F756" s="207">
        <v>10813</v>
      </c>
      <c r="G756" s="207">
        <f>+ROUND(E756*F756,0)</f>
        <v>2163681</v>
      </c>
      <c r="H756" s="208">
        <v>0.33</v>
      </c>
      <c r="I756" s="209">
        <f>(F756*(1+H756))</f>
        <v>14381.29</v>
      </c>
      <c r="J756" s="210">
        <f t="shared" ref="J756:J759" si="127">ROUND(I756*E756,0)</f>
        <v>2877696</v>
      </c>
    </row>
    <row r="757" spans="1:13" ht="31.2" x14ac:dyDescent="0.3">
      <c r="B757" s="203">
        <v>1.2</v>
      </c>
      <c r="C757" s="204" t="s">
        <v>234</v>
      </c>
      <c r="D757" s="205" t="s">
        <v>39</v>
      </c>
      <c r="E757" s="206">
        <f>8+8+8+8+6+6</f>
        <v>44</v>
      </c>
      <c r="F757" s="207">
        <v>20883</v>
      </c>
      <c r="G757" s="207">
        <f t="shared" ref="G757:G759" si="128">+ROUND(E757*F757,0)</f>
        <v>918852</v>
      </c>
      <c r="H757" s="208">
        <v>0.33</v>
      </c>
      <c r="I757" s="209">
        <f t="shared" ref="I757:I759" si="129">(F757*(1+H757))</f>
        <v>27774.390000000003</v>
      </c>
      <c r="J757" s="210">
        <f t="shared" si="127"/>
        <v>1222073</v>
      </c>
      <c r="L757" s="211"/>
    </row>
    <row r="758" spans="1:13" ht="15.75" customHeight="1" x14ac:dyDescent="0.3">
      <c r="B758" s="203">
        <v>1.3</v>
      </c>
      <c r="C758" s="204" t="s">
        <v>232</v>
      </c>
      <c r="D758" s="205" t="s">
        <v>40</v>
      </c>
      <c r="E758" s="206">
        <f>+E756</f>
        <v>200.1</v>
      </c>
      <c r="F758" s="207">
        <v>9810</v>
      </c>
      <c r="G758" s="207">
        <f t="shared" si="128"/>
        <v>1962981</v>
      </c>
      <c r="H758" s="208">
        <v>0.33</v>
      </c>
      <c r="I758" s="209">
        <f t="shared" si="129"/>
        <v>13047.300000000001</v>
      </c>
      <c r="J758" s="210">
        <f t="shared" si="127"/>
        <v>2610765</v>
      </c>
      <c r="L758" s="211"/>
    </row>
    <row r="759" spans="1:13" ht="15.75" customHeight="1" x14ac:dyDescent="0.3">
      <c r="B759" s="203">
        <v>1.4</v>
      </c>
      <c r="C759" s="204" t="s">
        <v>233</v>
      </c>
      <c r="D759" s="205" t="s">
        <v>370</v>
      </c>
      <c r="E759" s="206">
        <f>(9+8+8+10)*2</f>
        <v>70</v>
      </c>
      <c r="F759" s="207">
        <v>9610</v>
      </c>
      <c r="G759" s="207">
        <f t="shared" si="128"/>
        <v>672700</v>
      </c>
      <c r="H759" s="208">
        <v>0.33</v>
      </c>
      <c r="I759" s="209">
        <f t="shared" si="129"/>
        <v>12781.300000000001</v>
      </c>
      <c r="J759" s="210">
        <f t="shared" si="127"/>
        <v>894691</v>
      </c>
      <c r="L759" s="211"/>
    </row>
    <row r="760" spans="1:13" s="202" customFormat="1" x14ac:dyDescent="0.3">
      <c r="B760" s="213">
        <v>2</v>
      </c>
      <c r="C760" s="214" t="s">
        <v>16</v>
      </c>
      <c r="D760" s="215"/>
      <c r="E760" s="216"/>
      <c r="F760" s="217"/>
      <c r="G760" s="218"/>
      <c r="H760" s="219"/>
      <c r="I760" s="220"/>
      <c r="J760" s="221"/>
      <c r="K760" s="222"/>
      <c r="L760" s="222"/>
      <c r="M760" s="222"/>
    </row>
    <row r="761" spans="1:13" ht="62.4" x14ac:dyDescent="0.3">
      <c r="B761" s="225">
        <v>2.1</v>
      </c>
      <c r="C761" s="226" t="s">
        <v>235</v>
      </c>
      <c r="D761" s="205" t="s">
        <v>40</v>
      </c>
      <c r="E761" s="206">
        <v>200.1</v>
      </c>
      <c r="F761" s="207">
        <v>76329</v>
      </c>
      <c r="G761" s="207">
        <f t="shared" ref="G761:G775" si="130">+ROUND(E761*F761,0)</f>
        <v>15273433</v>
      </c>
      <c r="H761" s="208">
        <v>0.33</v>
      </c>
      <c r="I761" s="209">
        <f t="shared" ref="I761:I775" si="131">(F761*(1+H761))</f>
        <v>101517.57</v>
      </c>
      <c r="J761" s="210">
        <f t="shared" ref="J761:J775" si="132">ROUND(I761*E761,0)</f>
        <v>20313666</v>
      </c>
      <c r="K761" s="121"/>
      <c r="L761" s="121"/>
      <c r="M761" s="121"/>
    </row>
    <row r="762" spans="1:13" ht="46.8" x14ac:dyDescent="0.3">
      <c r="B762" s="225">
        <v>2.2000000000000002</v>
      </c>
      <c r="C762" s="226" t="s">
        <v>246</v>
      </c>
      <c r="D762" s="228" t="s">
        <v>39</v>
      </c>
      <c r="E762" s="206">
        <v>150</v>
      </c>
      <c r="F762" s="207">
        <v>66157</v>
      </c>
      <c r="G762" s="207">
        <f t="shared" si="130"/>
        <v>9923550</v>
      </c>
      <c r="H762" s="208">
        <v>0.33</v>
      </c>
      <c r="I762" s="209">
        <f t="shared" si="131"/>
        <v>87988.81</v>
      </c>
      <c r="J762" s="210">
        <f t="shared" si="132"/>
        <v>13198322</v>
      </c>
      <c r="K762" s="121"/>
      <c r="L762" s="121"/>
      <c r="M762" s="121"/>
    </row>
    <row r="763" spans="1:13" ht="46.8" x14ac:dyDescent="0.3">
      <c r="B763" s="225">
        <v>2.2999999999999998</v>
      </c>
      <c r="C763" s="226" t="s">
        <v>236</v>
      </c>
      <c r="D763" s="205" t="s">
        <v>371</v>
      </c>
      <c r="E763" s="206">
        <v>25</v>
      </c>
      <c r="F763" s="207">
        <v>39523</v>
      </c>
      <c r="G763" s="207">
        <f t="shared" si="130"/>
        <v>988075</v>
      </c>
      <c r="H763" s="208">
        <v>0.33</v>
      </c>
      <c r="I763" s="209">
        <f t="shared" si="131"/>
        <v>52565.590000000004</v>
      </c>
      <c r="J763" s="210">
        <f t="shared" si="132"/>
        <v>1314140</v>
      </c>
      <c r="K763" s="121"/>
      <c r="L763" s="121"/>
      <c r="M763" s="121"/>
    </row>
    <row r="764" spans="1:13" ht="46.8" x14ac:dyDescent="0.3">
      <c r="B764" s="225">
        <v>2.4</v>
      </c>
      <c r="C764" s="227" t="s">
        <v>247</v>
      </c>
      <c r="D764" s="228" t="s">
        <v>39</v>
      </c>
      <c r="E764" s="206">
        <f>10.5*2</f>
        <v>21</v>
      </c>
      <c r="F764" s="207">
        <v>270384</v>
      </c>
      <c r="G764" s="207">
        <f t="shared" si="130"/>
        <v>5678064</v>
      </c>
      <c r="H764" s="208">
        <v>0.33</v>
      </c>
      <c r="I764" s="209">
        <f t="shared" si="131"/>
        <v>359610.72000000003</v>
      </c>
      <c r="J764" s="210">
        <f t="shared" si="132"/>
        <v>7551825</v>
      </c>
      <c r="K764" s="121"/>
      <c r="L764" s="121"/>
      <c r="M764" s="121"/>
    </row>
    <row r="765" spans="1:13" s="249" customFormat="1" x14ac:dyDescent="0.3">
      <c r="B765" s="213">
        <v>3</v>
      </c>
      <c r="C765" s="462" t="s">
        <v>23</v>
      </c>
      <c r="D765" s="215"/>
      <c r="E765" s="216"/>
      <c r="F765" s="217"/>
      <c r="G765" s="218"/>
      <c r="H765" s="219"/>
      <c r="I765" s="220"/>
      <c r="J765" s="221"/>
      <c r="K765" s="250"/>
      <c r="L765" s="250"/>
      <c r="M765" s="250"/>
    </row>
    <row r="766" spans="1:13" x14ac:dyDescent="0.3">
      <c r="B766" s="225">
        <v>3.1</v>
      </c>
      <c r="C766" s="226" t="s">
        <v>240</v>
      </c>
      <c r="D766" s="205" t="s">
        <v>40</v>
      </c>
      <c r="E766" s="206">
        <v>126.3</v>
      </c>
      <c r="F766" s="207">
        <v>58969</v>
      </c>
      <c r="G766" s="207">
        <f t="shared" si="130"/>
        <v>7447785</v>
      </c>
      <c r="H766" s="208">
        <v>0.33</v>
      </c>
      <c r="I766" s="209">
        <f t="shared" si="131"/>
        <v>78428.77</v>
      </c>
      <c r="J766" s="210">
        <f t="shared" si="132"/>
        <v>9905554</v>
      </c>
      <c r="K766" s="121"/>
      <c r="L766" s="121"/>
      <c r="M766" s="121"/>
    </row>
    <row r="767" spans="1:13" ht="31.2" x14ac:dyDescent="0.3">
      <c r="B767" s="225">
        <v>3.2</v>
      </c>
      <c r="C767" s="226" t="s">
        <v>239</v>
      </c>
      <c r="D767" s="205" t="s">
        <v>40</v>
      </c>
      <c r="E767" s="206">
        <f>+E766*2</f>
        <v>252.6</v>
      </c>
      <c r="F767" s="207">
        <v>75728</v>
      </c>
      <c r="G767" s="207">
        <f t="shared" si="130"/>
        <v>19128893</v>
      </c>
      <c r="H767" s="208">
        <v>0.33</v>
      </c>
      <c r="I767" s="209">
        <f t="shared" si="131"/>
        <v>100718.24</v>
      </c>
      <c r="J767" s="210">
        <f t="shared" si="132"/>
        <v>25441427</v>
      </c>
      <c r="K767" s="121"/>
      <c r="L767" s="121"/>
      <c r="M767" s="121"/>
    </row>
    <row r="768" spans="1:13" s="202" customFormat="1" x14ac:dyDescent="0.3">
      <c r="B768" s="213">
        <v>4</v>
      </c>
      <c r="C768" s="214" t="s">
        <v>43</v>
      </c>
      <c r="D768" s="215"/>
      <c r="E768" s="216"/>
      <c r="F768" s="217"/>
      <c r="G768" s="218"/>
      <c r="H768" s="219"/>
      <c r="I768" s="220"/>
      <c r="J768" s="221"/>
      <c r="K768" s="222"/>
      <c r="L768" s="223"/>
      <c r="M768" s="249"/>
    </row>
    <row r="769" spans="1:16" ht="31.2" x14ac:dyDescent="0.3">
      <c r="B769" s="225">
        <v>4.0999999999999996</v>
      </c>
      <c r="C769" s="227" t="s">
        <v>242</v>
      </c>
      <c r="D769" s="228" t="s">
        <v>19</v>
      </c>
      <c r="E769" s="206">
        <v>2</v>
      </c>
      <c r="F769" s="207">
        <v>134144</v>
      </c>
      <c r="G769" s="207">
        <f t="shared" si="130"/>
        <v>268288</v>
      </c>
      <c r="H769" s="208">
        <v>0.33</v>
      </c>
      <c r="I769" s="209">
        <f t="shared" si="131"/>
        <v>178411.52000000002</v>
      </c>
      <c r="J769" s="210">
        <f t="shared" si="132"/>
        <v>356823</v>
      </c>
      <c r="K769" s="121"/>
      <c r="L769" s="211"/>
    </row>
    <row r="770" spans="1:16" ht="15.75" customHeight="1" x14ac:dyDescent="0.3">
      <c r="B770" s="225">
        <v>4.2</v>
      </c>
      <c r="C770" s="227" t="s">
        <v>243</v>
      </c>
      <c r="D770" s="228" t="s">
        <v>19</v>
      </c>
      <c r="E770" s="206">
        <v>8</v>
      </c>
      <c r="F770" s="207">
        <v>217940</v>
      </c>
      <c r="G770" s="207">
        <f t="shared" si="130"/>
        <v>1743520</v>
      </c>
      <c r="H770" s="208">
        <v>0.33</v>
      </c>
      <c r="I770" s="209">
        <f t="shared" si="131"/>
        <v>289860.2</v>
      </c>
      <c r="J770" s="210">
        <f t="shared" si="132"/>
        <v>2318882</v>
      </c>
      <c r="K770" s="121"/>
      <c r="L770" s="211"/>
    </row>
    <row r="771" spans="1:16" ht="31.2" x14ac:dyDescent="0.3">
      <c r="B771" s="225">
        <v>4.3</v>
      </c>
      <c r="C771" s="227" t="s">
        <v>244</v>
      </c>
      <c r="D771" s="228" t="s">
        <v>39</v>
      </c>
      <c r="E771" s="206">
        <f>15.5*2</f>
        <v>31</v>
      </c>
      <c r="F771" s="207">
        <v>43198</v>
      </c>
      <c r="G771" s="207">
        <f t="shared" si="130"/>
        <v>1339138</v>
      </c>
      <c r="H771" s="208">
        <v>0.33</v>
      </c>
      <c r="I771" s="209">
        <f t="shared" si="131"/>
        <v>57453.340000000004</v>
      </c>
      <c r="J771" s="210">
        <f t="shared" si="132"/>
        <v>1781054</v>
      </c>
      <c r="K771" s="121"/>
      <c r="L771" s="211"/>
    </row>
    <row r="772" spans="1:16" s="202" customFormat="1" x14ac:dyDescent="0.3">
      <c r="B772" s="213">
        <v>5</v>
      </c>
      <c r="C772" s="214" t="s">
        <v>17</v>
      </c>
      <c r="D772" s="215"/>
      <c r="E772" s="216"/>
      <c r="F772" s="217"/>
      <c r="G772" s="218"/>
      <c r="H772" s="219"/>
      <c r="I772" s="220"/>
      <c r="J772" s="221"/>
      <c r="K772" s="222"/>
      <c r="L772" s="222"/>
      <c r="M772" s="222"/>
    </row>
    <row r="773" spans="1:16" x14ac:dyDescent="0.3">
      <c r="B773" s="225">
        <v>5.0999999999999996</v>
      </c>
      <c r="C773" s="226" t="s">
        <v>18</v>
      </c>
      <c r="D773" s="228" t="s">
        <v>19</v>
      </c>
      <c r="E773" s="206">
        <v>1</v>
      </c>
      <c r="F773" s="207">
        <v>150000</v>
      </c>
      <c r="G773" s="207">
        <f t="shared" si="130"/>
        <v>150000</v>
      </c>
      <c r="H773" s="208">
        <v>0.33</v>
      </c>
      <c r="I773" s="209">
        <f t="shared" si="131"/>
        <v>199500</v>
      </c>
      <c r="J773" s="210">
        <f t="shared" si="132"/>
        <v>199500</v>
      </c>
      <c r="K773" s="121"/>
      <c r="L773" s="121"/>
      <c r="M773" s="121"/>
    </row>
    <row r="774" spans="1:16" x14ac:dyDescent="0.3">
      <c r="B774" s="225">
        <v>5.2</v>
      </c>
      <c r="C774" s="226" t="s">
        <v>20</v>
      </c>
      <c r="D774" s="228" t="s">
        <v>19</v>
      </c>
      <c r="E774" s="206">
        <v>1</v>
      </c>
      <c r="F774" s="207">
        <v>250000</v>
      </c>
      <c r="G774" s="207">
        <f t="shared" si="130"/>
        <v>250000</v>
      </c>
      <c r="H774" s="208">
        <v>0.33</v>
      </c>
      <c r="I774" s="209">
        <f t="shared" si="131"/>
        <v>332500</v>
      </c>
      <c r="J774" s="210">
        <f t="shared" si="132"/>
        <v>332500</v>
      </c>
      <c r="K774" s="121"/>
      <c r="L774" s="121"/>
      <c r="M774" s="121"/>
    </row>
    <row r="775" spans="1:16" ht="63" thickBot="1" x14ac:dyDescent="0.35">
      <c r="B775" s="229">
        <v>5.3</v>
      </c>
      <c r="C775" s="251" t="s">
        <v>245</v>
      </c>
      <c r="D775" s="231" t="s">
        <v>65</v>
      </c>
      <c r="E775" s="232">
        <v>12</v>
      </c>
      <c r="F775" s="233">
        <v>49760</v>
      </c>
      <c r="G775" s="233">
        <f t="shared" si="130"/>
        <v>597120</v>
      </c>
      <c r="H775" s="234">
        <v>0.33</v>
      </c>
      <c r="I775" s="235">
        <f t="shared" si="131"/>
        <v>66180.800000000003</v>
      </c>
      <c r="J775" s="236">
        <f t="shared" si="132"/>
        <v>794170</v>
      </c>
      <c r="K775" s="121"/>
      <c r="L775" s="121"/>
      <c r="M775" s="121"/>
    </row>
    <row r="776" spans="1:16" x14ac:dyDescent="0.3">
      <c r="B776" s="121"/>
      <c r="C776" s="122"/>
      <c r="D776" s="123"/>
      <c r="E776" s="238"/>
      <c r="F776" s="239"/>
      <c r="G776" s="239"/>
      <c r="H776" s="252"/>
      <c r="I776" s="133"/>
      <c r="J776" s="133"/>
      <c r="K776" s="121"/>
      <c r="L776" s="211"/>
      <c r="M776" s="121"/>
    </row>
    <row r="777" spans="1:16" s="119" customFormat="1" ht="18" customHeight="1" x14ac:dyDescent="0.3">
      <c r="B777" s="289"/>
      <c r="C777" s="118"/>
      <c r="D777" s="121"/>
      <c r="E777" s="124"/>
      <c r="F777" s="125"/>
      <c r="G777" s="125"/>
      <c r="H777" s="125"/>
      <c r="I777" s="125"/>
      <c r="J777" s="125"/>
      <c r="L777" s="211"/>
      <c r="N777" s="126"/>
      <c r="O777" s="126"/>
      <c r="P777" s="126"/>
    </row>
    <row r="778" spans="1:16" x14ac:dyDescent="0.3">
      <c r="B778" s="139"/>
      <c r="C778" s="243"/>
      <c r="D778" s="520" t="s">
        <v>121</v>
      </c>
      <c r="E778" s="520"/>
      <c r="F778" s="520"/>
      <c r="G778" s="290">
        <f>SUM(G755:G776)</f>
        <v>68506080</v>
      </c>
      <c r="H778" s="245"/>
      <c r="I778" s="141"/>
      <c r="J778" s="290">
        <f>+SUM(J755:J775)</f>
        <v>91113088</v>
      </c>
      <c r="L778" s="211"/>
      <c r="M778" s="141"/>
    </row>
    <row r="779" spans="1:16" x14ac:dyDescent="0.3">
      <c r="B779" s="139"/>
      <c r="C779" s="243"/>
      <c r="D779" s="135"/>
      <c r="E779" s="247"/>
      <c r="F779" s="135"/>
      <c r="G779" s="141"/>
      <c r="H779" s="245"/>
      <c r="I779" s="141"/>
      <c r="J779" s="141"/>
      <c r="L779" s="211"/>
      <c r="M779" s="141"/>
    </row>
    <row r="780" spans="1:16" ht="16.2" thickBot="1" x14ac:dyDescent="0.35">
      <c r="B780" s="139"/>
      <c r="C780" s="243"/>
      <c r="D780" s="135"/>
      <c r="E780" s="247"/>
      <c r="F780" s="135"/>
      <c r="G780" s="141"/>
      <c r="H780" s="245"/>
      <c r="I780" s="141"/>
      <c r="J780" s="141"/>
      <c r="L780" s="211"/>
      <c r="M780" s="141"/>
    </row>
    <row r="781" spans="1:16" ht="30" customHeight="1" thickBot="1" x14ac:dyDescent="0.35">
      <c r="A781" s="334"/>
      <c r="B781" s="480" t="s">
        <v>225</v>
      </c>
      <c r="C781" s="481"/>
      <c r="D781" s="481"/>
      <c r="E781" s="481"/>
      <c r="F781" s="481"/>
      <c r="G781" s="481"/>
      <c r="H781" s="481"/>
      <c r="I781" s="481"/>
      <c r="J781" s="482"/>
      <c r="L781" s="211"/>
    </row>
    <row r="782" spans="1:16" s="119" customFormat="1" ht="49.2" customHeight="1" thickBot="1" x14ac:dyDescent="0.35">
      <c r="A782" s="335"/>
      <c r="B782" s="187" t="s">
        <v>6</v>
      </c>
      <c r="C782" s="188" t="s">
        <v>7</v>
      </c>
      <c r="D782" s="189" t="s">
        <v>8</v>
      </c>
      <c r="E782" s="190" t="s">
        <v>9</v>
      </c>
      <c r="F782" s="191" t="s">
        <v>10</v>
      </c>
      <c r="G782" s="192" t="s">
        <v>11</v>
      </c>
      <c r="H782" s="192" t="s">
        <v>12</v>
      </c>
      <c r="I782" s="192" t="s">
        <v>13</v>
      </c>
      <c r="J782" s="193" t="s">
        <v>14</v>
      </c>
      <c r="L782" s="211"/>
      <c r="M782" s="117"/>
    </row>
    <row r="783" spans="1:16" s="202" customFormat="1" ht="13.95" customHeight="1" x14ac:dyDescent="0.3">
      <c r="B783" s="195">
        <v>1</v>
      </c>
      <c r="C783" s="248" t="s">
        <v>15</v>
      </c>
      <c r="D783" s="197"/>
      <c r="E783" s="198"/>
      <c r="F783" s="199"/>
      <c r="G783" s="199"/>
      <c r="H783" s="200"/>
      <c r="I783" s="196"/>
      <c r="J783" s="201"/>
      <c r="L783" s="223"/>
      <c r="M783" s="249"/>
    </row>
    <row r="784" spans="1:16" x14ac:dyDescent="0.3">
      <c r="B784" s="203">
        <v>1.1000000000000001</v>
      </c>
      <c r="C784" s="226" t="s">
        <v>231</v>
      </c>
      <c r="D784" s="205" t="s">
        <v>40</v>
      </c>
      <c r="E784" s="206">
        <v>270</v>
      </c>
      <c r="F784" s="207">
        <v>10813</v>
      </c>
      <c r="G784" s="207">
        <f>+ROUND(E784*F784,0)</f>
        <v>2919510</v>
      </c>
      <c r="H784" s="208">
        <v>0.33</v>
      </c>
      <c r="I784" s="209">
        <f>(F784*(1+H784))</f>
        <v>14381.29</v>
      </c>
      <c r="J784" s="210">
        <f t="shared" ref="J784:J787" si="133">ROUND(I784*E784,0)</f>
        <v>3882948</v>
      </c>
    </row>
    <row r="785" spans="2:13" ht="31.2" x14ac:dyDescent="0.3">
      <c r="B785" s="203">
        <v>1.2</v>
      </c>
      <c r="C785" s="204" t="s">
        <v>234</v>
      </c>
      <c r="D785" s="205" t="s">
        <v>39</v>
      </c>
      <c r="E785" s="206">
        <f>8+8+6+6</f>
        <v>28</v>
      </c>
      <c r="F785" s="207">
        <v>20883</v>
      </c>
      <c r="G785" s="207">
        <f t="shared" ref="G785:G787" si="134">+ROUND(E785*F785,0)</f>
        <v>584724</v>
      </c>
      <c r="H785" s="208">
        <v>0.33</v>
      </c>
      <c r="I785" s="209">
        <f t="shared" ref="I785:I787" si="135">(F785*(1+H785))</f>
        <v>27774.390000000003</v>
      </c>
      <c r="J785" s="210">
        <f t="shared" si="133"/>
        <v>777683</v>
      </c>
      <c r="L785" s="211"/>
    </row>
    <row r="786" spans="2:13" ht="15.75" customHeight="1" x14ac:dyDescent="0.3">
      <c r="B786" s="203">
        <v>1.3</v>
      </c>
      <c r="C786" s="204" t="s">
        <v>232</v>
      </c>
      <c r="D786" s="205" t="s">
        <v>40</v>
      </c>
      <c r="E786" s="206">
        <f>+E784</f>
        <v>270</v>
      </c>
      <c r="F786" s="207">
        <v>9810</v>
      </c>
      <c r="G786" s="207">
        <f t="shared" si="134"/>
        <v>2648700</v>
      </c>
      <c r="H786" s="208">
        <v>0.33</v>
      </c>
      <c r="I786" s="209">
        <f t="shared" si="135"/>
        <v>13047.300000000001</v>
      </c>
      <c r="J786" s="210">
        <f t="shared" si="133"/>
        <v>3522771</v>
      </c>
      <c r="L786" s="211"/>
    </row>
    <row r="787" spans="2:13" ht="15.75" customHeight="1" x14ac:dyDescent="0.3">
      <c r="B787" s="203">
        <v>1.4</v>
      </c>
      <c r="C787" s="204" t="s">
        <v>233</v>
      </c>
      <c r="D787" s="205" t="s">
        <v>370</v>
      </c>
      <c r="E787" s="206">
        <f>(9+8+8+10)*1</f>
        <v>35</v>
      </c>
      <c r="F787" s="207">
        <v>9610</v>
      </c>
      <c r="G787" s="207">
        <f t="shared" si="134"/>
        <v>336350</v>
      </c>
      <c r="H787" s="208">
        <v>0.33</v>
      </c>
      <c r="I787" s="209">
        <f t="shared" si="135"/>
        <v>12781.300000000001</v>
      </c>
      <c r="J787" s="210">
        <f t="shared" si="133"/>
        <v>447346</v>
      </c>
      <c r="L787" s="211"/>
    </row>
    <row r="788" spans="2:13" s="249" customFormat="1" x14ac:dyDescent="0.3">
      <c r="B788" s="213">
        <v>2</v>
      </c>
      <c r="C788" s="214" t="s">
        <v>16</v>
      </c>
      <c r="D788" s="215"/>
      <c r="E788" s="216"/>
      <c r="F788" s="217"/>
      <c r="G788" s="218"/>
      <c r="H788" s="219"/>
      <c r="I788" s="220"/>
      <c r="J788" s="221"/>
      <c r="K788" s="250"/>
      <c r="L788" s="250"/>
      <c r="M788" s="250"/>
    </row>
    <row r="789" spans="2:13" ht="62.4" x14ac:dyDescent="0.3">
      <c r="B789" s="225">
        <v>2.1</v>
      </c>
      <c r="C789" s="226" t="s">
        <v>235</v>
      </c>
      <c r="D789" s="205" t="s">
        <v>40</v>
      </c>
      <c r="E789" s="206">
        <v>270</v>
      </c>
      <c r="F789" s="207">
        <v>76329</v>
      </c>
      <c r="G789" s="207">
        <f t="shared" ref="G789:G804" si="136">+ROUND(E789*F789,0)</f>
        <v>20608830</v>
      </c>
      <c r="H789" s="208">
        <v>0.33</v>
      </c>
      <c r="I789" s="209">
        <f t="shared" ref="I789:I804" si="137">(F789*(1+H789))</f>
        <v>101517.57</v>
      </c>
      <c r="J789" s="210">
        <f t="shared" ref="J789:J804" si="138">ROUND(I789*E789,0)</f>
        <v>27409744</v>
      </c>
      <c r="K789" s="121"/>
      <c r="L789" s="121"/>
      <c r="M789" s="121"/>
    </row>
    <row r="790" spans="2:13" ht="46.8" x14ac:dyDescent="0.3">
      <c r="B790" s="225">
        <v>2.2000000000000002</v>
      </c>
      <c r="C790" s="226" t="s">
        <v>246</v>
      </c>
      <c r="D790" s="228" t="s">
        <v>39</v>
      </c>
      <c r="E790" s="206">
        <v>200</v>
      </c>
      <c r="F790" s="207">
        <v>66157</v>
      </c>
      <c r="G790" s="207">
        <f t="shared" si="136"/>
        <v>13231400</v>
      </c>
      <c r="H790" s="208">
        <v>0.33</v>
      </c>
      <c r="I790" s="209">
        <f t="shared" si="137"/>
        <v>87988.81</v>
      </c>
      <c r="J790" s="210">
        <f t="shared" si="138"/>
        <v>17597762</v>
      </c>
      <c r="K790" s="121"/>
      <c r="L790" s="121"/>
      <c r="M790" s="121"/>
    </row>
    <row r="791" spans="2:13" ht="46.8" x14ac:dyDescent="0.3">
      <c r="B791" s="225">
        <v>2.2999999999999998</v>
      </c>
      <c r="C791" s="226" t="s">
        <v>236</v>
      </c>
      <c r="D791" s="205" t="s">
        <v>371</v>
      </c>
      <c r="E791" s="206">
        <v>25</v>
      </c>
      <c r="F791" s="207">
        <v>39523</v>
      </c>
      <c r="G791" s="207">
        <f t="shared" si="136"/>
        <v>988075</v>
      </c>
      <c r="H791" s="208">
        <v>0.33</v>
      </c>
      <c r="I791" s="209">
        <f t="shared" si="137"/>
        <v>52565.590000000004</v>
      </c>
      <c r="J791" s="210">
        <f t="shared" si="138"/>
        <v>1314140</v>
      </c>
      <c r="K791" s="121"/>
      <c r="L791" s="121"/>
      <c r="M791" s="121"/>
    </row>
    <row r="792" spans="2:13" ht="46.8" x14ac:dyDescent="0.3">
      <c r="B792" s="225">
        <v>2.4</v>
      </c>
      <c r="C792" s="227" t="s">
        <v>247</v>
      </c>
      <c r="D792" s="228" t="s">
        <v>39</v>
      </c>
      <c r="E792" s="206">
        <f>10.5*1</f>
        <v>10.5</v>
      </c>
      <c r="F792" s="207">
        <v>270384</v>
      </c>
      <c r="G792" s="207">
        <f t="shared" si="136"/>
        <v>2839032</v>
      </c>
      <c r="H792" s="208">
        <v>0.33</v>
      </c>
      <c r="I792" s="209">
        <f t="shared" si="137"/>
        <v>359610.72000000003</v>
      </c>
      <c r="J792" s="210">
        <f t="shared" si="138"/>
        <v>3775913</v>
      </c>
      <c r="K792" s="121"/>
      <c r="L792" s="121"/>
      <c r="M792" s="121"/>
    </row>
    <row r="793" spans="2:13" s="249" customFormat="1" x14ac:dyDescent="0.3">
      <c r="B793" s="213">
        <v>3</v>
      </c>
      <c r="C793" s="462" t="s">
        <v>28</v>
      </c>
      <c r="D793" s="215"/>
      <c r="E793" s="216"/>
      <c r="F793" s="217"/>
      <c r="G793" s="218"/>
      <c r="H793" s="219"/>
      <c r="I793" s="220"/>
      <c r="J793" s="221"/>
      <c r="K793" s="250"/>
      <c r="L793" s="250"/>
      <c r="M793" s="250"/>
    </row>
    <row r="794" spans="2:13" ht="31.2" x14ac:dyDescent="0.3">
      <c r="B794" s="225">
        <v>3.1</v>
      </c>
      <c r="C794" s="226" t="s">
        <v>239</v>
      </c>
      <c r="D794" s="205" t="s">
        <v>40</v>
      </c>
      <c r="E794" s="206">
        <f>+E795*2</f>
        <v>40</v>
      </c>
      <c r="F794" s="207">
        <v>75728</v>
      </c>
      <c r="G794" s="207">
        <f t="shared" si="136"/>
        <v>3029120</v>
      </c>
      <c r="H794" s="208">
        <v>0.33</v>
      </c>
      <c r="I794" s="209">
        <f t="shared" si="137"/>
        <v>100718.24</v>
      </c>
      <c r="J794" s="210">
        <f t="shared" si="138"/>
        <v>4028730</v>
      </c>
      <c r="K794" s="121"/>
      <c r="L794" s="121"/>
      <c r="M794" s="121"/>
    </row>
    <row r="795" spans="2:13" x14ac:dyDescent="0.3">
      <c r="B795" s="225">
        <v>3.2</v>
      </c>
      <c r="C795" s="226" t="s">
        <v>240</v>
      </c>
      <c r="D795" s="205" t="s">
        <v>40</v>
      </c>
      <c r="E795" s="206">
        <f>10*2</f>
        <v>20</v>
      </c>
      <c r="F795" s="207">
        <v>58969</v>
      </c>
      <c r="G795" s="207">
        <f t="shared" si="136"/>
        <v>1179380</v>
      </c>
      <c r="H795" s="208">
        <v>0.33</v>
      </c>
      <c r="I795" s="209">
        <f t="shared" si="137"/>
        <v>78428.77</v>
      </c>
      <c r="J795" s="210">
        <f t="shared" si="138"/>
        <v>1568575</v>
      </c>
      <c r="K795" s="121"/>
      <c r="L795" s="121"/>
      <c r="M795" s="121"/>
    </row>
    <row r="796" spans="2:13" s="249" customFormat="1" x14ac:dyDescent="0.3">
      <c r="B796" s="213">
        <v>4</v>
      </c>
      <c r="C796" s="462" t="s">
        <v>27</v>
      </c>
      <c r="D796" s="215"/>
      <c r="E796" s="216"/>
      <c r="F796" s="217"/>
      <c r="G796" s="218"/>
      <c r="H796" s="219"/>
      <c r="I796" s="220"/>
      <c r="J796" s="221"/>
      <c r="K796" s="250"/>
      <c r="L796" s="250"/>
      <c r="M796" s="250"/>
    </row>
    <row r="797" spans="2:13" ht="62.4" x14ac:dyDescent="0.3">
      <c r="B797" s="225">
        <v>4.0999999999999996</v>
      </c>
      <c r="C797" s="226" t="s">
        <v>369</v>
      </c>
      <c r="D797" s="205" t="s">
        <v>40</v>
      </c>
      <c r="E797" s="206">
        <v>50</v>
      </c>
      <c r="F797" s="207">
        <v>105865</v>
      </c>
      <c r="G797" s="207">
        <f t="shared" si="136"/>
        <v>5293250</v>
      </c>
      <c r="H797" s="208">
        <v>0.33</v>
      </c>
      <c r="I797" s="209">
        <f t="shared" si="137"/>
        <v>140800.45000000001</v>
      </c>
      <c r="J797" s="210">
        <f t="shared" si="138"/>
        <v>7040023</v>
      </c>
      <c r="K797" s="121"/>
      <c r="L797" s="121"/>
      <c r="M797" s="121"/>
    </row>
    <row r="798" spans="2:13" s="202" customFormat="1" x14ac:dyDescent="0.3">
      <c r="B798" s="213">
        <v>5</v>
      </c>
      <c r="C798" s="214" t="s">
        <v>43</v>
      </c>
      <c r="D798" s="215"/>
      <c r="E798" s="216"/>
      <c r="F798" s="217"/>
      <c r="G798" s="218"/>
      <c r="H798" s="219"/>
      <c r="I798" s="220"/>
      <c r="J798" s="221"/>
      <c r="K798" s="222"/>
      <c r="L798" s="223"/>
      <c r="M798" s="249"/>
    </row>
    <row r="799" spans="2:13" ht="31.2" x14ac:dyDescent="0.3">
      <c r="B799" s="225">
        <v>5.0999999999999996</v>
      </c>
      <c r="C799" s="227" t="s">
        <v>242</v>
      </c>
      <c r="D799" s="228" t="s">
        <v>19</v>
      </c>
      <c r="E799" s="206">
        <v>1</v>
      </c>
      <c r="F799" s="207">
        <v>134144</v>
      </c>
      <c r="G799" s="207">
        <f t="shared" si="136"/>
        <v>134144</v>
      </c>
      <c r="H799" s="208">
        <v>0.33</v>
      </c>
      <c r="I799" s="209">
        <f t="shared" si="137"/>
        <v>178411.52000000002</v>
      </c>
      <c r="J799" s="210">
        <f t="shared" si="138"/>
        <v>178412</v>
      </c>
      <c r="K799" s="121"/>
      <c r="L799" s="211"/>
    </row>
    <row r="800" spans="2:13" ht="15.75" customHeight="1" x14ac:dyDescent="0.3">
      <c r="B800" s="225">
        <v>5.2</v>
      </c>
      <c r="C800" s="227" t="s">
        <v>243</v>
      </c>
      <c r="D800" s="228" t="s">
        <v>19</v>
      </c>
      <c r="E800" s="206">
        <v>4</v>
      </c>
      <c r="F800" s="207">
        <v>217940</v>
      </c>
      <c r="G800" s="207">
        <f t="shared" si="136"/>
        <v>871760</v>
      </c>
      <c r="H800" s="208">
        <v>0.33</v>
      </c>
      <c r="I800" s="209">
        <f t="shared" si="137"/>
        <v>289860.2</v>
      </c>
      <c r="J800" s="210">
        <f t="shared" si="138"/>
        <v>1159441</v>
      </c>
      <c r="K800" s="121"/>
      <c r="L800" s="211"/>
    </row>
    <row r="801" spans="2:16" ht="31.2" x14ac:dyDescent="0.3">
      <c r="B801" s="225">
        <v>5.3</v>
      </c>
      <c r="C801" s="227" t="s">
        <v>244</v>
      </c>
      <c r="D801" s="228" t="s">
        <v>39</v>
      </c>
      <c r="E801" s="206">
        <f>15.5*1</f>
        <v>15.5</v>
      </c>
      <c r="F801" s="207">
        <v>43198</v>
      </c>
      <c r="G801" s="207">
        <f t="shared" si="136"/>
        <v>669569</v>
      </c>
      <c r="H801" s="208">
        <v>0.33</v>
      </c>
      <c r="I801" s="209">
        <f t="shared" si="137"/>
        <v>57453.340000000004</v>
      </c>
      <c r="J801" s="210">
        <f t="shared" si="138"/>
        <v>890527</v>
      </c>
      <c r="K801" s="121"/>
      <c r="L801" s="211"/>
    </row>
    <row r="802" spans="2:16" s="202" customFormat="1" x14ac:dyDescent="0.3">
      <c r="B802" s="213">
        <v>6</v>
      </c>
      <c r="C802" s="214" t="s">
        <v>17</v>
      </c>
      <c r="D802" s="215"/>
      <c r="E802" s="216"/>
      <c r="F802" s="217"/>
      <c r="G802" s="218"/>
      <c r="H802" s="219"/>
      <c r="I802" s="220"/>
      <c r="J802" s="221"/>
      <c r="K802" s="222"/>
      <c r="L802" s="222"/>
      <c r="M802" s="222"/>
    </row>
    <row r="803" spans="2:16" x14ac:dyDescent="0.3">
      <c r="B803" s="225">
        <v>6.1</v>
      </c>
      <c r="C803" s="226" t="s">
        <v>18</v>
      </c>
      <c r="D803" s="228" t="s">
        <v>19</v>
      </c>
      <c r="E803" s="206">
        <v>1</v>
      </c>
      <c r="F803" s="207">
        <v>150000</v>
      </c>
      <c r="G803" s="207">
        <f t="shared" si="136"/>
        <v>150000</v>
      </c>
      <c r="H803" s="208">
        <v>0.33</v>
      </c>
      <c r="I803" s="209">
        <f t="shared" si="137"/>
        <v>199500</v>
      </c>
      <c r="J803" s="210">
        <f t="shared" si="138"/>
        <v>199500</v>
      </c>
      <c r="K803" s="121"/>
      <c r="L803" s="121"/>
      <c r="M803" s="121"/>
    </row>
    <row r="804" spans="2:16" ht="63" thickBot="1" x14ac:dyDescent="0.35">
      <c r="B804" s="229">
        <v>6.2</v>
      </c>
      <c r="C804" s="251" t="s">
        <v>245</v>
      </c>
      <c r="D804" s="231" t="s">
        <v>65</v>
      </c>
      <c r="E804" s="232">
        <v>12</v>
      </c>
      <c r="F804" s="233">
        <v>49760</v>
      </c>
      <c r="G804" s="233">
        <f t="shared" si="136"/>
        <v>597120</v>
      </c>
      <c r="H804" s="234">
        <v>0.33</v>
      </c>
      <c r="I804" s="235">
        <f t="shared" si="137"/>
        <v>66180.800000000003</v>
      </c>
      <c r="J804" s="236">
        <f t="shared" si="138"/>
        <v>794170</v>
      </c>
      <c r="K804" s="121"/>
      <c r="L804" s="121"/>
      <c r="M804" s="121"/>
    </row>
    <row r="805" spans="2:16" x14ac:dyDescent="0.3">
      <c r="B805" s="121"/>
      <c r="C805" s="122"/>
      <c r="D805" s="123"/>
      <c r="E805" s="238"/>
      <c r="F805" s="239"/>
      <c r="G805" s="239"/>
      <c r="H805" s="252"/>
      <c r="I805" s="133"/>
      <c r="J805" s="133"/>
      <c r="K805" s="121"/>
      <c r="L805" s="211"/>
      <c r="M805" s="121"/>
    </row>
    <row r="806" spans="2:16" s="119" customFormat="1" ht="18" customHeight="1" x14ac:dyDescent="0.3">
      <c r="B806" s="289"/>
      <c r="C806" s="118"/>
      <c r="D806" s="121"/>
      <c r="E806" s="124"/>
      <c r="F806" s="125"/>
      <c r="G806" s="125"/>
      <c r="H806" s="125"/>
      <c r="I806" s="125"/>
      <c r="J806" s="125"/>
      <c r="L806" s="211"/>
      <c r="N806" s="126"/>
      <c r="O806" s="126"/>
      <c r="P806" s="126"/>
    </row>
    <row r="807" spans="2:16" x14ac:dyDescent="0.3">
      <c r="B807" s="139"/>
      <c r="C807" s="243"/>
      <c r="D807" s="520" t="s">
        <v>226</v>
      </c>
      <c r="E807" s="520"/>
      <c r="F807" s="520"/>
      <c r="G807" s="290">
        <f>SUM(G784:G805)</f>
        <v>56080964</v>
      </c>
      <c r="H807" s="245"/>
      <c r="I807" s="141"/>
      <c r="J807" s="290">
        <f>+SUM(J784:J804)</f>
        <v>74587685</v>
      </c>
      <c r="L807" s="211"/>
      <c r="M807" s="141"/>
    </row>
    <row r="808" spans="2:16" x14ac:dyDescent="0.3">
      <c r="B808" s="139"/>
      <c r="C808" s="243"/>
      <c r="D808" s="135"/>
      <c r="E808" s="247"/>
      <c r="F808" s="135"/>
      <c r="G808" s="141"/>
      <c r="H808" s="245"/>
      <c r="I808" s="141"/>
      <c r="J808" s="141"/>
      <c r="L808" s="133"/>
      <c r="M808" s="141"/>
    </row>
    <row r="809" spans="2:16" ht="16.2" thickBot="1" x14ac:dyDescent="0.35">
      <c r="J809" s="464"/>
      <c r="L809" s="211"/>
    </row>
    <row r="810" spans="2:16" ht="16.2" thickBot="1" x14ac:dyDescent="0.35">
      <c r="B810" s="521" t="s">
        <v>123</v>
      </c>
      <c r="C810" s="522"/>
      <c r="D810" s="522"/>
      <c r="E810" s="522"/>
      <c r="F810" s="522"/>
      <c r="G810" s="522"/>
      <c r="H810" s="522"/>
      <c r="I810" s="523"/>
      <c r="J810" s="465">
        <f>+J32+J60+J80+J97+J111+J139+J220+J248+J268+J302+J317+J337+J365+J386+J427+J455+J549+J577+J603+J641+J669+J690+J719+J750+J778+J807</f>
        <v>1636593663</v>
      </c>
      <c r="L810" s="466"/>
      <c r="M810" s="467"/>
    </row>
    <row r="811" spans="2:16" ht="16.2" thickBot="1" x14ac:dyDescent="0.35">
      <c r="B811" s="508" t="s">
        <v>124</v>
      </c>
      <c r="C811" s="509"/>
      <c r="D811" s="509"/>
      <c r="E811" s="509"/>
      <c r="F811" s="509"/>
      <c r="G811" s="509"/>
      <c r="H811" s="509"/>
      <c r="I811" s="510"/>
      <c r="J811" s="468">
        <v>0</v>
      </c>
      <c r="L811" s="211"/>
      <c r="M811" s="142"/>
      <c r="O811" s="194"/>
    </row>
    <row r="812" spans="2:16" ht="16.2" thickBot="1" x14ac:dyDescent="0.35">
      <c r="B812" s="508" t="s">
        <v>14</v>
      </c>
      <c r="C812" s="509"/>
      <c r="D812" s="509"/>
      <c r="E812" s="509"/>
      <c r="F812" s="509"/>
      <c r="G812" s="509"/>
      <c r="H812" s="509"/>
      <c r="I812" s="510"/>
      <c r="J812" s="468">
        <f>SUM(J810:J811)</f>
        <v>1636593663</v>
      </c>
      <c r="L812" s="133"/>
      <c r="M812" s="469"/>
      <c r="O812" s="265"/>
    </row>
    <row r="813" spans="2:16" x14ac:dyDescent="0.3">
      <c r="B813" s="470"/>
      <c r="J813" s="471"/>
      <c r="L813" s="142"/>
      <c r="M813" s="142"/>
    </row>
    <row r="814" spans="2:16" x14ac:dyDescent="0.3">
      <c r="B814" s="502" t="s">
        <v>227</v>
      </c>
      <c r="C814" s="511"/>
      <c r="D814" s="511"/>
      <c r="E814" s="511"/>
      <c r="F814" s="511"/>
      <c r="G814" s="512" t="s">
        <v>125</v>
      </c>
      <c r="H814" s="512"/>
      <c r="I814" s="513" t="s">
        <v>126</v>
      </c>
      <c r="J814" s="514"/>
      <c r="M814" s="142"/>
    </row>
    <row r="815" spans="2:16" ht="46.95" customHeight="1" x14ac:dyDescent="0.3">
      <c r="B815" s="515" t="s">
        <v>228</v>
      </c>
      <c r="C815" s="516"/>
      <c r="D815" s="516"/>
      <c r="E815" s="516"/>
      <c r="F815" s="516"/>
      <c r="G815" s="472" t="s">
        <v>127</v>
      </c>
      <c r="H815" s="472" t="s">
        <v>128</v>
      </c>
      <c r="I815" s="504">
        <v>0.27</v>
      </c>
      <c r="J815" s="505"/>
      <c r="L815" s="133"/>
      <c r="M815" s="194"/>
    </row>
    <row r="816" spans="2:16" x14ac:dyDescent="0.3">
      <c r="B816" s="502" t="s">
        <v>229</v>
      </c>
      <c r="C816" s="503"/>
      <c r="D816" s="503"/>
      <c r="E816" s="503"/>
      <c r="F816" s="503"/>
      <c r="G816" s="472" t="s">
        <v>129</v>
      </c>
      <c r="H816" s="472" t="s">
        <v>130</v>
      </c>
      <c r="I816" s="504">
        <v>0.01</v>
      </c>
      <c r="J816" s="505"/>
      <c r="L816" s="133"/>
      <c r="M816" s="142"/>
    </row>
    <row r="817" spans="2:13" x14ac:dyDescent="0.3">
      <c r="B817" s="470"/>
      <c r="G817" s="472" t="s">
        <v>131</v>
      </c>
      <c r="H817" s="472" t="s">
        <v>132</v>
      </c>
      <c r="I817" s="504">
        <v>0.05</v>
      </c>
      <c r="J817" s="505"/>
      <c r="L817" s="133"/>
    </row>
    <row r="818" spans="2:13" ht="16.2" thickBot="1" x14ac:dyDescent="0.35">
      <c r="B818" s="473"/>
      <c r="C818" s="474"/>
      <c r="D818" s="475"/>
      <c r="E818" s="476"/>
      <c r="F818" s="475"/>
      <c r="G818" s="477" t="s">
        <v>133</v>
      </c>
      <c r="H818" s="477" t="s">
        <v>134</v>
      </c>
      <c r="I818" s="506">
        <f>SUM(I815:I817)</f>
        <v>0.33</v>
      </c>
      <c r="J818" s="507"/>
      <c r="L818" s="478"/>
    </row>
    <row r="819" spans="2:13" x14ac:dyDescent="0.3">
      <c r="L819" s="119"/>
    </row>
    <row r="820" spans="2:13" x14ac:dyDescent="0.3">
      <c r="L820" s="469"/>
      <c r="M820" s="142"/>
    </row>
  </sheetData>
  <mergeCells count="76">
    <mergeCell ref="B1:B4"/>
    <mergeCell ref="C1:I1"/>
    <mergeCell ref="J1:J4"/>
    <mergeCell ref="C2:I2"/>
    <mergeCell ref="C3:I3"/>
    <mergeCell ref="C4:I4"/>
    <mergeCell ref="D111:F111"/>
    <mergeCell ref="B5:J5"/>
    <mergeCell ref="B6:J6"/>
    <mergeCell ref="B7:J7"/>
    <mergeCell ref="D32:F32"/>
    <mergeCell ref="B35:J35"/>
    <mergeCell ref="D60:F60"/>
    <mergeCell ref="B63:J63"/>
    <mergeCell ref="D80:F80"/>
    <mergeCell ref="B83:J83"/>
    <mergeCell ref="D97:F97"/>
    <mergeCell ref="B100:J100"/>
    <mergeCell ref="D268:F268"/>
    <mergeCell ref="B114:J114"/>
    <mergeCell ref="D139:F139"/>
    <mergeCell ref="B142:J142"/>
    <mergeCell ref="B143:J143"/>
    <mergeCell ref="D180:F180"/>
    <mergeCell ref="B182:J182"/>
    <mergeCell ref="D218:F218"/>
    <mergeCell ref="D220:F220"/>
    <mergeCell ref="B223:J223"/>
    <mergeCell ref="D248:F248"/>
    <mergeCell ref="B251:J251"/>
    <mergeCell ref="D427:F427"/>
    <mergeCell ref="B271:J271"/>
    <mergeCell ref="D302:F302"/>
    <mergeCell ref="B305:J305"/>
    <mergeCell ref="D317:F317"/>
    <mergeCell ref="B320:J320"/>
    <mergeCell ref="D337:F337"/>
    <mergeCell ref="B340:J340"/>
    <mergeCell ref="D365:F365"/>
    <mergeCell ref="B368:J368"/>
    <mergeCell ref="D386:F386"/>
    <mergeCell ref="B389:J389"/>
    <mergeCell ref="D669:F669"/>
    <mergeCell ref="B430:J430"/>
    <mergeCell ref="D455:F455"/>
    <mergeCell ref="B458:J458"/>
    <mergeCell ref="D549:F549"/>
    <mergeCell ref="B552:J552"/>
    <mergeCell ref="D577:F577"/>
    <mergeCell ref="B580:J580"/>
    <mergeCell ref="D603:F603"/>
    <mergeCell ref="B606:J606"/>
    <mergeCell ref="D641:F641"/>
    <mergeCell ref="B644:J644"/>
    <mergeCell ref="B811:I811"/>
    <mergeCell ref="B672:J672"/>
    <mergeCell ref="D690:F690"/>
    <mergeCell ref="B693:J693"/>
    <mergeCell ref="D719:F719"/>
    <mergeCell ref="B722:J722"/>
    <mergeCell ref="D750:F750"/>
    <mergeCell ref="B753:J753"/>
    <mergeCell ref="D778:F778"/>
    <mergeCell ref="B781:J781"/>
    <mergeCell ref="D807:F807"/>
    <mergeCell ref="B810:I810"/>
    <mergeCell ref="B816:F816"/>
    <mergeCell ref="I816:J816"/>
    <mergeCell ref="I817:J817"/>
    <mergeCell ref="I818:J818"/>
    <mergeCell ref="B812:I812"/>
    <mergeCell ref="B814:F814"/>
    <mergeCell ref="G814:H814"/>
    <mergeCell ref="I814:J814"/>
    <mergeCell ref="B815:F815"/>
    <mergeCell ref="I815:J815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5865-83A5-4D8C-8B1D-A36341ED03AB}">
  <sheetPr>
    <tabColor theme="7" tint="0.59999389629810485"/>
    <outlinePr summaryBelow="0" summaryRight="0"/>
  </sheetPr>
  <dimension ref="A1:O53"/>
  <sheetViews>
    <sheetView view="pageBreakPreview" topLeftCell="A4" zoomScale="70" zoomScaleNormal="100" zoomScaleSheetLayoutView="70" workbookViewId="0">
      <selection activeCell="G22" sqref="G22"/>
    </sheetView>
  </sheetViews>
  <sheetFormatPr baseColWidth="10" defaultColWidth="12.5546875" defaultRowHeight="15.75" customHeight="1" x14ac:dyDescent="0.3"/>
  <cols>
    <col min="1" max="1" width="12.5546875" style="4"/>
    <col min="2" max="2" width="55.6640625" style="4" customWidth="1"/>
    <col min="3" max="3" width="12.5546875" style="4"/>
    <col min="4" max="4" width="18.6640625" style="4" bestFit="1" customWidth="1"/>
    <col min="5" max="5" width="12.5546875" style="4"/>
    <col min="6" max="6" width="22.33203125" style="4" bestFit="1" customWidth="1"/>
    <col min="7" max="7" width="18.6640625" style="4" bestFit="1" customWidth="1"/>
    <col min="8" max="8" width="14.6640625" style="4" bestFit="1" customWidth="1"/>
    <col min="9" max="9" width="18.6640625" style="4" bestFit="1" customWidth="1"/>
    <col min="10" max="11" width="17.44140625" style="4" bestFit="1" customWidth="1"/>
    <col min="12" max="12" width="20.44140625" style="4" bestFit="1" customWidth="1"/>
    <col min="13" max="14" width="12.5546875" style="4"/>
    <col min="15" max="15" width="18.88671875" style="4" bestFit="1" customWidth="1"/>
    <col min="16" max="16384" width="12.5546875" style="4"/>
  </cols>
  <sheetData>
    <row r="1" spans="1:9" ht="24.6" customHeight="1" x14ac:dyDescent="0.4">
      <c r="A1" s="568" t="e" vm="1">
        <v>#VALUE!</v>
      </c>
      <c r="B1" s="571" t="s">
        <v>135</v>
      </c>
      <c r="C1" s="572"/>
      <c r="D1" s="572"/>
      <c r="E1" s="572"/>
      <c r="F1" s="573"/>
      <c r="G1" s="574" t="e" vm="2">
        <v>#VALUE!</v>
      </c>
    </row>
    <row r="2" spans="1:9" ht="25.95" customHeight="1" x14ac:dyDescent="0.4">
      <c r="A2" s="569"/>
      <c r="B2" s="576" t="s">
        <v>136</v>
      </c>
      <c r="C2" s="577"/>
      <c r="D2" s="577"/>
      <c r="E2" s="577"/>
      <c r="F2" s="578"/>
      <c r="G2" s="575"/>
    </row>
    <row r="3" spans="1:9" ht="25.95" customHeight="1" thickBot="1" x14ac:dyDescent="0.45">
      <c r="A3" s="570"/>
      <c r="B3" s="579" t="s">
        <v>137</v>
      </c>
      <c r="C3" s="580"/>
      <c r="D3" s="580"/>
      <c r="E3" s="580"/>
      <c r="F3" s="578"/>
      <c r="G3" s="575"/>
    </row>
    <row r="4" spans="1:9" ht="21.6" thickBot="1" x14ac:dyDescent="0.45">
      <c r="A4" s="566" t="s">
        <v>138</v>
      </c>
      <c r="B4" s="567"/>
      <c r="C4" s="567"/>
      <c r="D4" s="567"/>
      <c r="E4" s="567"/>
      <c r="F4" s="5" t="s">
        <v>139</v>
      </c>
      <c r="G4" s="6">
        <v>8</v>
      </c>
    </row>
    <row r="5" spans="1:9" ht="41.4" customHeight="1" thickBot="1" x14ac:dyDescent="0.45">
      <c r="A5" s="554" t="s">
        <v>186</v>
      </c>
      <c r="B5" s="555"/>
      <c r="C5" s="555"/>
      <c r="D5" s="555"/>
      <c r="E5" s="555"/>
      <c r="F5" s="556"/>
      <c r="G5" s="557"/>
    </row>
    <row r="6" spans="1:9" ht="14.4" thickBot="1" x14ac:dyDescent="0.35">
      <c r="A6" s="7" t="s">
        <v>140</v>
      </c>
      <c r="B6" s="558" t="s">
        <v>7</v>
      </c>
      <c r="C6" s="559"/>
      <c r="D6" s="559"/>
      <c r="E6" s="559"/>
      <c r="F6" s="559"/>
      <c r="G6" s="560"/>
    </row>
    <row r="7" spans="1:9" ht="14.4" thickBot="1" x14ac:dyDescent="0.35">
      <c r="A7" s="8">
        <v>1</v>
      </c>
      <c r="B7" s="545" t="s">
        <v>141</v>
      </c>
      <c r="C7" s="546"/>
      <c r="D7" s="546"/>
      <c r="E7" s="546"/>
      <c r="F7" s="546"/>
      <c r="G7" s="547"/>
      <c r="H7" s="9">
        <v>0.27000000013815284</v>
      </c>
      <c r="I7" s="10"/>
    </row>
    <row r="8" spans="1:9" ht="13.8" x14ac:dyDescent="0.3">
      <c r="A8" s="11"/>
      <c r="B8" s="561" t="s">
        <v>142</v>
      </c>
      <c r="C8" s="562"/>
      <c r="D8" s="562"/>
      <c r="E8" s="562"/>
      <c r="F8" s="562"/>
      <c r="G8" s="563"/>
    </row>
    <row r="9" spans="1:9" ht="31.8" x14ac:dyDescent="0.3">
      <c r="A9" s="12"/>
      <c r="B9" s="13" t="s">
        <v>143</v>
      </c>
      <c r="C9" s="14" t="s">
        <v>144</v>
      </c>
      <c r="D9" s="14" t="s">
        <v>145</v>
      </c>
      <c r="E9" s="15" t="s">
        <v>146</v>
      </c>
      <c r="F9" s="14" t="s">
        <v>139</v>
      </c>
      <c r="G9" s="16" t="s">
        <v>147</v>
      </c>
      <c r="H9" s="17"/>
    </row>
    <row r="10" spans="1:9" ht="13.8" x14ac:dyDescent="0.3">
      <c r="A10" s="18" t="s">
        <v>9</v>
      </c>
      <c r="B10" s="19" t="s">
        <v>148</v>
      </c>
      <c r="C10" s="20"/>
      <c r="D10" s="21"/>
      <c r="E10" s="21"/>
      <c r="F10" s="21"/>
      <c r="G10" s="22"/>
    </row>
    <row r="11" spans="1:9" ht="13.8" x14ac:dyDescent="0.3">
      <c r="A11" s="23">
        <v>1.1000000000000001</v>
      </c>
      <c r="B11" s="24" t="s">
        <v>149</v>
      </c>
      <c r="C11" s="25">
        <v>0.2</v>
      </c>
      <c r="D11" s="26">
        <v>3100000</v>
      </c>
      <c r="E11" s="27">
        <v>1.75</v>
      </c>
      <c r="F11" s="28">
        <v>8</v>
      </c>
      <c r="G11" s="29">
        <v>8680000</v>
      </c>
    </row>
    <row r="12" spans="1:9" ht="13.8" x14ac:dyDescent="0.3">
      <c r="A12" s="30"/>
      <c r="B12" s="24" t="s">
        <v>150</v>
      </c>
      <c r="C12" s="25">
        <v>1</v>
      </c>
      <c r="D12" s="26">
        <v>2600000</v>
      </c>
      <c r="E12" s="27">
        <v>1.75</v>
      </c>
      <c r="F12" s="28">
        <v>8</v>
      </c>
      <c r="G12" s="29">
        <v>36400000</v>
      </c>
    </row>
    <row r="13" spans="1:9" ht="13.8" x14ac:dyDescent="0.3">
      <c r="A13" s="30"/>
      <c r="B13" s="24" t="s">
        <v>151</v>
      </c>
      <c r="C13" s="25">
        <v>1</v>
      </c>
      <c r="D13" s="26">
        <v>2100000</v>
      </c>
      <c r="E13" s="27">
        <v>1.75</v>
      </c>
      <c r="F13" s="28">
        <v>8</v>
      </c>
      <c r="G13" s="29">
        <v>29400000</v>
      </c>
    </row>
    <row r="14" spans="1:9" ht="15.75" customHeight="1" x14ac:dyDescent="0.3">
      <c r="A14" s="11"/>
      <c r="B14" s="31" t="s">
        <v>152</v>
      </c>
      <c r="C14" s="32"/>
      <c r="D14" s="32"/>
      <c r="E14" s="32"/>
      <c r="F14" s="32"/>
      <c r="G14" s="33">
        <v>74480000</v>
      </c>
      <c r="H14" s="34"/>
    </row>
    <row r="15" spans="1:9" ht="15.75" customHeight="1" x14ac:dyDescent="0.3">
      <c r="A15" s="11"/>
      <c r="B15" s="19"/>
      <c r="C15" s="32"/>
      <c r="D15" s="32"/>
      <c r="E15" s="32"/>
      <c r="F15" s="32"/>
      <c r="G15" s="35"/>
    </row>
    <row r="16" spans="1:9" ht="13.8" x14ac:dyDescent="0.3">
      <c r="A16" s="11"/>
      <c r="B16" s="564" t="s">
        <v>153</v>
      </c>
      <c r="C16" s="543"/>
      <c r="D16" s="543"/>
      <c r="E16" s="543"/>
      <c r="F16" s="543"/>
      <c r="G16" s="565"/>
    </row>
    <row r="17" spans="1:14" ht="21.6" x14ac:dyDescent="0.3">
      <c r="A17" s="11"/>
      <c r="B17" s="13" t="s">
        <v>154</v>
      </c>
      <c r="C17" s="15" t="s">
        <v>155</v>
      </c>
      <c r="D17" s="14" t="s">
        <v>156</v>
      </c>
      <c r="E17" s="14"/>
      <c r="F17" s="36"/>
      <c r="G17" s="16" t="s">
        <v>147</v>
      </c>
    </row>
    <row r="18" spans="1:14" s="43" customFormat="1" ht="22.8" x14ac:dyDescent="0.3">
      <c r="A18" s="37">
        <v>1.2</v>
      </c>
      <c r="B18" s="38" t="s">
        <v>157</v>
      </c>
      <c r="C18" s="39">
        <v>8</v>
      </c>
      <c r="D18" s="40">
        <v>101951.73112500459</v>
      </c>
      <c r="E18" s="39"/>
      <c r="F18" s="41"/>
      <c r="G18" s="42">
        <v>815613.84900003672</v>
      </c>
    </row>
    <row r="19" spans="1:14" ht="15.75" customHeight="1" x14ac:dyDescent="0.3">
      <c r="A19" s="11"/>
      <c r="B19" s="31" t="s">
        <v>158</v>
      </c>
      <c r="C19" s="32"/>
      <c r="D19" s="32"/>
      <c r="E19" s="32"/>
      <c r="F19" s="32"/>
      <c r="G19" s="44">
        <v>815613.84900003672</v>
      </c>
      <c r="H19" s="34"/>
    </row>
    <row r="20" spans="1:14" ht="13.8" x14ac:dyDescent="0.3">
      <c r="A20" s="11"/>
      <c r="B20" s="564" t="s">
        <v>159</v>
      </c>
      <c r="C20" s="543"/>
      <c r="D20" s="543"/>
      <c r="E20" s="543"/>
      <c r="F20" s="543"/>
      <c r="G20" s="565"/>
    </row>
    <row r="21" spans="1:14" ht="13.8" x14ac:dyDescent="0.3">
      <c r="A21" s="11"/>
      <c r="B21" s="45" t="s">
        <v>154</v>
      </c>
      <c r="C21" s="14" t="s">
        <v>160</v>
      </c>
      <c r="D21" s="14" t="s">
        <v>230</v>
      </c>
      <c r="E21" s="46"/>
      <c r="F21" s="46"/>
      <c r="G21" s="16" t="s">
        <v>147</v>
      </c>
    </row>
    <row r="22" spans="1:14" ht="41.4" customHeight="1" x14ac:dyDescent="0.3">
      <c r="A22" s="37">
        <v>1.3</v>
      </c>
      <c r="B22" s="47" t="s">
        <v>161</v>
      </c>
      <c r="C22" s="48">
        <v>7.0000000000000001E-3</v>
      </c>
      <c r="D22" s="49">
        <v>1636593663</v>
      </c>
      <c r="E22" s="50"/>
      <c r="F22" s="51"/>
      <c r="G22" s="42">
        <v>11456155.641000001</v>
      </c>
      <c r="J22" s="52"/>
      <c r="M22" s="43"/>
      <c r="N22" s="43"/>
    </row>
    <row r="23" spans="1:14" ht="13.8" x14ac:dyDescent="0.3">
      <c r="A23" s="37">
        <v>1.4</v>
      </c>
      <c r="B23" s="24" t="s">
        <v>162</v>
      </c>
      <c r="C23" s="53">
        <v>0.05</v>
      </c>
      <c r="D23" s="54">
        <v>1636593663</v>
      </c>
      <c r="E23" s="32"/>
      <c r="F23" s="55"/>
      <c r="G23" s="56">
        <v>81829683.150000006</v>
      </c>
      <c r="J23" s="52"/>
    </row>
    <row r="24" spans="1:14" ht="13.8" x14ac:dyDescent="0.3">
      <c r="A24" s="18">
        <v>1.5</v>
      </c>
      <c r="B24" s="24" t="s">
        <v>163</v>
      </c>
      <c r="C24" s="53"/>
      <c r="D24" s="54"/>
      <c r="E24" s="32"/>
      <c r="F24" s="55"/>
      <c r="G24" s="56"/>
    </row>
    <row r="25" spans="1:14" ht="13.8" x14ac:dyDescent="0.3">
      <c r="A25" s="11"/>
      <c r="B25" s="57" t="s">
        <v>164</v>
      </c>
      <c r="C25" s="53">
        <v>0.04</v>
      </c>
      <c r="D25" s="54">
        <v>1636593663</v>
      </c>
      <c r="E25" s="32"/>
      <c r="F25" s="55"/>
      <c r="G25" s="56">
        <v>65463746.520000003</v>
      </c>
    </row>
    <row r="26" spans="1:14" ht="13.8" x14ac:dyDescent="0.3">
      <c r="A26" s="11"/>
      <c r="B26" s="57" t="s">
        <v>165</v>
      </c>
      <c r="C26" s="53">
        <v>0.02</v>
      </c>
      <c r="D26" s="54">
        <v>1636593663</v>
      </c>
      <c r="E26" s="32"/>
      <c r="F26" s="55"/>
      <c r="G26" s="56">
        <v>32731873.260000002</v>
      </c>
      <c r="J26" s="58"/>
      <c r="K26" s="58"/>
    </row>
    <row r="27" spans="1:14" ht="13.8" x14ac:dyDescent="0.3">
      <c r="A27" s="11"/>
      <c r="B27" s="57" t="s">
        <v>166</v>
      </c>
      <c r="C27" s="53">
        <v>0.01</v>
      </c>
      <c r="D27" s="54">
        <v>1636593663</v>
      </c>
      <c r="E27" s="32"/>
      <c r="F27" s="55"/>
      <c r="G27" s="56">
        <v>16365936.630000001</v>
      </c>
      <c r="J27" s="75"/>
    </row>
    <row r="28" spans="1:14" ht="13.8" x14ac:dyDescent="0.3">
      <c r="A28" s="11"/>
      <c r="B28" s="57" t="s">
        <v>167</v>
      </c>
      <c r="C28" s="53">
        <v>5.0000000000000001E-3</v>
      </c>
      <c r="D28" s="54">
        <v>1636593663</v>
      </c>
      <c r="E28" s="32"/>
      <c r="F28" s="55"/>
      <c r="G28" s="56">
        <v>8182968.3150000004</v>
      </c>
    </row>
    <row r="29" spans="1:14" ht="13.8" x14ac:dyDescent="0.3">
      <c r="A29" s="11"/>
      <c r="B29" s="57" t="s">
        <v>168</v>
      </c>
      <c r="C29" s="53">
        <v>5.0000000000000001E-3</v>
      </c>
      <c r="D29" s="54">
        <v>1636593663</v>
      </c>
      <c r="E29" s="32"/>
      <c r="F29" s="55"/>
      <c r="G29" s="56">
        <v>8182968.3150000004</v>
      </c>
    </row>
    <row r="30" spans="1:14" ht="13.8" x14ac:dyDescent="0.3">
      <c r="A30" s="11"/>
      <c r="B30" s="57" t="s">
        <v>169</v>
      </c>
      <c r="C30" s="53">
        <v>0.02</v>
      </c>
      <c r="D30" s="54">
        <v>1636593663</v>
      </c>
      <c r="E30" s="32"/>
      <c r="F30" s="55"/>
      <c r="G30" s="56">
        <v>32731873.260000002</v>
      </c>
      <c r="J30" s="75"/>
    </row>
    <row r="31" spans="1:14" ht="13.8" x14ac:dyDescent="0.3">
      <c r="A31" s="11"/>
      <c r="B31" s="19" t="s">
        <v>170</v>
      </c>
      <c r="C31" s="59">
        <v>0.157</v>
      </c>
      <c r="D31" s="32"/>
      <c r="E31" s="32"/>
      <c r="F31" s="55"/>
      <c r="G31" s="60">
        <v>256945205.09099999</v>
      </c>
      <c r="H31" s="61"/>
      <c r="J31" s="75"/>
    </row>
    <row r="32" spans="1:14" ht="13.8" x14ac:dyDescent="0.3">
      <c r="A32" s="11"/>
      <c r="B32" s="24"/>
      <c r="C32" s="32"/>
      <c r="D32" s="32"/>
      <c r="E32" s="32"/>
      <c r="F32" s="55"/>
      <c r="G32" s="62"/>
      <c r="J32" s="75"/>
    </row>
    <row r="33" spans="1:15" ht="15.75" customHeight="1" x14ac:dyDescent="0.3">
      <c r="A33" s="11"/>
      <c r="B33" s="542" t="s">
        <v>171</v>
      </c>
      <c r="C33" s="543"/>
      <c r="D33" s="543"/>
      <c r="E33" s="543"/>
      <c r="F33" s="544"/>
      <c r="G33" s="63">
        <v>332240818.94000006</v>
      </c>
      <c r="H33" s="64"/>
      <c r="I33" s="64"/>
      <c r="J33" s="479"/>
      <c r="L33" s="58"/>
    </row>
    <row r="34" spans="1:15" ht="14.4" thickBot="1" x14ac:dyDescent="0.35">
      <c r="A34" s="65"/>
      <c r="B34" s="66"/>
      <c r="C34" s="67"/>
      <c r="D34" s="67"/>
      <c r="E34" s="67"/>
      <c r="F34" s="67"/>
      <c r="G34" s="68"/>
    </row>
    <row r="35" spans="1:15" ht="14.4" thickBot="1" x14ac:dyDescent="0.35">
      <c r="A35" s="8">
        <v>2</v>
      </c>
      <c r="B35" s="545" t="s">
        <v>172</v>
      </c>
      <c r="C35" s="546"/>
      <c r="D35" s="546"/>
      <c r="E35" s="546"/>
      <c r="F35" s="546"/>
      <c r="G35" s="547"/>
      <c r="I35" s="69"/>
    </row>
    <row r="36" spans="1:15" ht="15.75" customHeight="1" thickBot="1" x14ac:dyDescent="0.35">
      <c r="A36" s="11"/>
      <c r="B36" s="70" t="s">
        <v>173</v>
      </c>
      <c r="C36" s="71">
        <v>1</v>
      </c>
      <c r="D36" s="72">
        <v>0.01</v>
      </c>
      <c r="E36" s="73"/>
      <c r="F36" s="74">
        <v>1230521551</v>
      </c>
      <c r="G36" s="63">
        <v>12305215.51</v>
      </c>
      <c r="H36" s="9">
        <v>0.01</v>
      </c>
      <c r="J36" s="75"/>
      <c r="K36" s="76"/>
    </row>
    <row r="37" spans="1:15" ht="15" thickBot="1" x14ac:dyDescent="0.35">
      <c r="A37" s="11"/>
      <c r="B37" s="77"/>
      <c r="C37" s="78"/>
      <c r="D37" s="78"/>
      <c r="E37" s="78"/>
      <c r="F37" s="78"/>
      <c r="G37" s="79"/>
      <c r="L37" s="76"/>
    </row>
    <row r="38" spans="1:15" ht="14.4" thickBot="1" x14ac:dyDescent="0.35">
      <c r="A38" s="8">
        <v>3</v>
      </c>
      <c r="B38" s="545" t="s">
        <v>174</v>
      </c>
      <c r="C38" s="546"/>
      <c r="D38" s="546"/>
      <c r="E38" s="546"/>
      <c r="F38" s="546"/>
      <c r="G38" s="547"/>
    </row>
    <row r="39" spans="1:15" ht="15" thickBot="1" x14ac:dyDescent="0.35">
      <c r="A39" s="548"/>
      <c r="B39" s="70" t="s">
        <v>131</v>
      </c>
      <c r="C39" s="80">
        <v>1</v>
      </c>
      <c r="D39" s="81">
        <v>0.05</v>
      </c>
      <c r="E39" s="73"/>
      <c r="F39" s="74">
        <v>1230521551</v>
      </c>
      <c r="G39" s="63">
        <v>61526077.550000004</v>
      </c>
      <c r="H39" s="9">
        <v>0.05</v>
      </c>
    </row>
    <row r="40" spans="1:15" ht="15" thickBot="1" x14ac:dyDescent="0.35">
      <c r="A40" s="549"/>
      <c r="B40" s="70"/>
      <c r="C40" s="82"/>
      <c r="D40" s="73"/>
      <c r="E40" s="73"/>
      <c r="F40" s="73"/>
      <c r="G40" s="83"/>
    </row>
    <row r="41" spans="1:15" ht="16.2" thickBot="1" x14ac:dyDescent="0.35">
      <c r="A41" s="549"/>
      <c r="B41" s="70"/>
      <c r="C41" s="73"/>
      <c r="D41" s="73"/>
      <c r="E41" s="73"/>
      <c r="F41" s="84" t="s">
        <v>175</v>
      </c>
      <c r="G41" s="85">
        <v>406072112.00000006</v>
      </c>
      <c r="I41" s="86"/>
      <c r="J41" s="550"/>
      <c r="K41" s="551"/>
    </row>
    <row r="42" spans="1:15" ht="15" thickBot="1" x14ac:dyDescent="0.35">
      <c r="A42" s="549"/>
      <c r="B42" s="70"/>
      <c r="C42" s="73"/>
      <c r="D42" s="73"/>
      <c r="E42" s="73"/>
      <c r="F42" s="84" t="s">
        <v>176</v>
      </c>
      <c r="G42" s="87"/>
    </row>
    <row r="43" spans="1:15" ht="15" thickBot="1" x14ac:dyDescent="0.35">
      <c r="A43" s="549"/>
      <c r="B43" s="77"/>
      <c r="C43" s="78"/>
      <c r="D43" s="78"/>
      <c r="E43" s="78"/>
      <c r="F43" s="88" t="s">
        <v>175</v>
      </c>
      <c r="G43" s="89">
        <v>406072112.00000006</v>
      </c>
      <c r="H43" s="90">
        <v>0.33000000013815284</v>
      </c>
    </row>
    <row r="44" spans="1:15" ht="15.6" x14ac:dyDescent="0.3">
      <c r="A44" s="91"/>
      <c r="B44" s="92"/>
      <c r="C44" s="92"/>
      <c r="D44" s="92"/>
      <c r="E44" s="92"/>
      <c r="F44" s="93"/>
      <c r="G44" s="94"/>
    </row>
    <row r="45" spans="1:15" ht="13.8" x14ac:dyDescent="0.3">
      <c r="A45" s="95"/>
      <c r="G45" s="96"/>
      <c r="I45" s="61"/>
    </row>
    <row r="46" spans="1:15" s="103" customFormat="1" ht="18" x14ac:dyDescent="0.3">
      <c r="A46" s="97"/>
      <c r="B46" s="98"/>
      <c r="C46" s="99"/>
      <c r="D46" s="99"/>
      <c r="E46" s="100"/>
      <c r="F46" s="101"/>
      <c r="G46" s="102"/>
      <c r="J46" s="104"/>
      <c r="L46" s="49"/>
    </row>
    <row r="47" spans="1:15" s="103" customFormat="1" ht="18" x14ac:dyDescent="0.3">
      <c r="A47" s="97"/>
      <c r="B47" s="105"/>
      <c r="C47" s="99"/>
      <c r="D47" s="99"/>
      <c r="E47" s="552"/>
      <c r="F47" s="552"/>
      <c r="G47" s="553"/>
      <c r="I47" s="106"/>
      <c r="O47" s="107"/>
    </row>
    <row r="48" spans="1:15" s="103" customFormat="1" ht="18" x14ac:dyDescent="0.35">
      <c r="A48" s="108"/>
      <c r="B48" s="109" t="s">
        <v>177</v>
      </c>
      <c r="C48" s="99"/>
      <c r="D48" s="99"/>
      <c r="E48" s="537" t="s">
        <v>178</v>
      </c>
      <c r="F48" s="537"/>
      <c r="G48" s="538"/>
      <c r="I48" s="104"/>
      <c r="L48" s="110"/>
    </row>
    <row r="49" spans="1:15" s="103" customFormat="1" ht="17.399999999999999" x14ac:dyDescent="0.3">
      <c r="A49" s="108"/>
      <c r="B49" s="111" t="s">
        <v>179</v>
      </c>
      <c r="C49" s="99"/>
      <c r="D49" s="99"/>
      <c r="E49" s="539" t="s">
        <v>179</v>
      </c>
      <c r="F49" s="539"/>
      <c r="G49" s="540"/>
      <c r="I49" s="107"/>
      <c r="O49" s="107"/>
    </row>
    <row r="50" spans="1:15" ht="15.75" customHeight="1" x14ac:dyDescent="0.3">
      <c r="A50" s="95"/>
      <c r="C50" s="112"/>
      <c r="D50" s="112"/>
      <c r="E50" s="112"/>
      <c r="G50" s="96"/>
      <c r="I50" s="75"/>
      <c r="L50" s="103"/>
    </row>
    <row r="51" spans="1:15" ht="15.75" customHeight="1" x14ac:dyDescent="0.3">
      <c r="A51" s="95"/>
      <c r="C51" s="113" t="s">
        <v>180</v>
      </c>
      <c r="D51" s="113"/>
      <c r="G51" s="96"/>
    </row>
    <row r="52" spans="1:15" ht="15.75" customHeight="1" x14ac:dyDescent="0.3">
      <c r="A52" s="95"/>
      <c r="C52" s="541" t="s">
        <v>181</v>
      </c>
      <c r="D52" s="541"/>
      <c r="E52" s="541"/>
      <c r="G52" s="96"/>
    </row>
    <row r="53" spans="1:15" ht="15.75" customHeight="1" thickBot="1" x14ac:dyDescent="0.35">
      <c r="A53" s="114"/>
      <c r="B53" s="115"/>
      <c r="C53" s="115"/>
      <c r="D53" s="115"/>
      <c r="E53" s="115"/>
      <c r="F53" s="115"/>
      <c r="G53" s="116"/>
    </row>
  </sheetData>
  <mergeCells count="21">
    <mergeCell ref="A4:E4"/>
    <mergeCell ref="A1:A3"/>
    <mergeCell ref="B1:F1"/>
    <mergeCell ref="G1:G3"/>
    <mergeCell ref="B2:F2"/>
    <mergeCell ref="B3:F3"/>
    <mergeCell ref="A39:A43"/>
    <mergeCell ref="J41:K41"/>
    <mergeCell ref="E47:G47"/>
    <mergeCell ref="A5:G5"/>
    <mergeCell ref="B6:G6"/>
    <mergeCell ref="B7:G7"/>
    <mergeCell ref="B8:G8"/>
    <mergeCell ref="B16:G16"/>
    <mergeCell ref="B20:G20"/>
    <mergeCell ref="E48:G48"/>
    <mergeCell ref="E49:G49"/>
    <mergeCell ref="C52:E52"/>
    <mergeCell ref="B33:F33"/>
    <mergeCell ref="B35:G35"/>
    <mergeCell ref="B38:G38"/>
  </mergeCells>
  <pageMargins left="0.7" right="0.7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5CF0C-EF3E-4A0F-849A-2551D0A0762A}">
  <sheetPr>
    <tabColor rgb="FF92D050"/>
  </sheetPr>
  <dimension ref="B1:N34"/>
  <sheetViews>
    <sheetView view="pageBreakPreview" topLeftCell="A22" zoomScale="60" zoomScaleNormal="70" workbookViewId="0">
      <selection activeCell="A818" sqref="A33:XFD818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4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4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4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4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4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4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4" ht="31.95" customHeight="1" thickBot="1" x14ac:dyDescent="0.35">
      <c r="B7" s="530" t="s">
        <v>5</v>
      </c>
      <c r="C7" s="531"/>
      <c r="D7" s="531"/>
      <c r="E7" s="531"/>
      <c r="F7" s="531"/>
      <c r="G7" s="531"/>
      <c r="H7" s="531"/>
      <c r="I7" s="531"/>
      <c r="J7" s="532"/>
    </row>
    <row r="8" spans="2:14" ht="45.6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M8" s="142"/>
      <c r="N8" s="194"/>
    </row>
    <row r="9" spans="2:14" s="202" customFormat="1" ht="14.25" customHeight="1" x14ac:dyDescent="0.3">
      <c r="B9" s="195">
        <v>1</v>
      </c>
      <c r="C9" s="196" t="s">
        <v>15</v>
      </c>
      <c r="D9" s="197"/>
      <c r="E9" s="198"/>
      <c r="F9" s="199"/>
      <c r="G9" s="199"/>
      <c r="H9" s="200"/>
      <c r="I9" s="196"/>
      <c r="J9" s="201"/>
    </row>
    <row r="10" spans="2:14" ht="31.95" customHeight="1" x14ac:dyDescent="0.3">
      <c r="B10" s="203">
        <v>1.1000000000000001</v>
      </c>
      <c r="C10" s="204" t="s">
        <v>231</v>
      </c>
      <c r="D10" s="205" t="s">
        <v>40</v>
      </c>
      <c r="E10" s="206">
        <v>267.83999999999997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  <c r="M10" s="212"/>
    </row>
    <row r="11" spans="2:14" ht="31.95" customHeight="1" x14ac:dyDescent="0.3">
      <c r="B11" s="203">
        <v>1.2</v>
      </c>
      <c r="C11" s="204" t="s">
        <v>232</v>
      </c>
      <c r="D11" s="205" t="s">
        <v>40</v>
      </c>
      <c r="E11" s="206">
        <v>60</v>
      </c>
      <c r="F11" s="207"/>
      <c r="G11" s="207">
        <f t="shared" ref="G11:G29" si="0">+ROUND(E11*F11,0)</f>
        <v>0</v>
      </c>
      <c r="H11" s="208">
        <v>0.33</v>
      </c>
      <c r="I11" s="209">
        <f t="shared" ref="I11:I29" si="1">(F11*(1+H11))</f>
        <v>0</v>
      </c>
      <c r="J11" s="210">
        <f>ROUND(I11*E11,0)</f>
        <v>0</v>
      </c>
      <c r="L11" s="211"/>
      <c r="M11" s="212"/>
    </row>
    <row r="12" spans="2:14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/>
      <c r="G12" s="207">
        <f t="shared" si="0"/>
        <v>0</v>
      </c>
      <c r="H12" s="208">
        <v>0.33</v>
      </c>
      <c r="I12" s="209">
        <f t="shared" si="1"/>
        <v>0</v>
      </c>
      <c r="J12" s="210">
        <f>ROUND(I12*E12,0)</f>
        <v>0</v>
      </c>
      <c r="L12" s="211"/>
      <c r="M12" s="212"/>
    </row>
    <row r="13" spans="2:14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/>
      <c r="G13" s="207">
        <f t="shared" si="0"/>
        <v>0</v>
      </c>
      <c r="H13" s="208">
        <v>0.33</v>
      </c>
      <c r="I13" s="209">
        <f t="shared" si="1"/>
        <v>0</v>
      </c>
      <c r="J13" s="210">
        <f>ROUND(I13*E13,0)</f>
        <v>0</v>
      </c>
      <c r="L13" s="211"/>
      <c r="M13" s="212"/>
    </row>
    <row r="14" spans="2:14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24"/>
    </row>
    <row r="15" spans="2:14" ht="62.4" x14ac:dyDescent="0.3">
      <c r="B15" s="225">
        <v>2.1</v>
      </c>
      <c r="C15" s="204" t="s">
        <v>235</v>
      </c>
      <c r="D15" s="205" t="s">
        <v>40</v>
      </c>
      <c r="E15" s="206">
        <v>268</v>
      </c>
      <c r="F15" s="207"/>
      <c r="G15" s="207">
        <f t="shared" si="0"/>
        <v>0</v>
      </c>
      <c r="H15" s="208">
        <v>0.33</v>
      </c>
      <c r="I15" s="209">
        <f t="shared" si="1"/>
        <v>0</v>
      </c>
      <c r="J15" s="210">
        <f t="shared" ref="J15:J20" si="2">ROUND(I15*E15,0)</f>
        <v>0</v>
      </c>
      <c r="K15" s="121"/>
      <c r="L15" s="211"/>
      <c r="M15" s="212"/>
    </row>
    <row r="16" spans="2:14" ht="46.8" x14ac:dyDescent="0.3">
      <c r="B16" s="225">
        <v>2.2000000000000002</v>
      </c>
      <c r="C16" s="226" t="s">
        <v>236</v>
      </c>
      <c r="D16" s="205" t="s">
        <v>371</v>
      </c>
      <c r="E16" s="206">
        <v>23.5</v>
      </c>
      <c r="F16" s="207"/>
      <c r="G16" s="207">
        <f t="shared" si="0"/>
        <v>0</v>
      </c>
      <c r="H16" s="208">
        <v>0.33</v>
      </c>
      <c r="I16" s="209">
        <f t="shared" si="1"/>
        <v>0</v>
      </c>
      <c r="J16" s="210">
        <f t="shared" si="2"/>
        <v>0</v>
      </c>
      <c r="K16" s="121"/>
      <c r="L16" s="211"/>
      <c r="M16" s="212"/>
    </row>
    <row r="17" spans="2:13" ht="32.25" customHeight="1" x14ac:dyDescent="0.3">
      <c r="B17" s="225">
        <v>2.2999999999999998</v>
      </c>
      <c r="C17" s="204" t="s">
        <v>237</v>
      </c>
      <c r="D17" s="205" t="s">
        <v>371</v>
      </c>
      <c r="E17" s="206">
        <v>47</v>
      </c>
      <c r="F17" s="207"/>
      <c r="G17" s="207">
        <f t="shared" si="0"/>
        <v>0</v>
      </c>
      <c r="H17" s="208">
        <v>0.33</v>
      </c>
      <c r="I17" s="209">
        <f t="shared" si="1"/>
        <v>0</v>
      </c>
      <c r="J17" s="210">
        <f t="shared" si="2"/>
        <v>0</v>
      </c>
      <c r="K17" s="121"/>
      <c r="L17" s="211"/>
      <c r="M17" s="212"/>
    </row>
    <row r="18" spans="2:13" ht="32.25" customHeight="1" x14ac:dyDescent="0.3">
      <c r="B18" s="225">
        <v>2.4</v>
      </c>
      <c r="C18" s="204" t="s">
        <v>238</v>
      </c>
      <c r="D18" s="205" t="s">
        <v>371</v>
      </c>
      <c r="E18" s="206">
        <v>15</v>
      </c>
      <c r="F18" s="207"/>
      <c r="G18" s="207">
        <f t="shared" si="0"/>
        <v>0</v>
      </c>
      <c r="H18" s="208">
        <v>0.33</v>
      </c>
      <c r="I18" s="209">
        <f t="shared" si="1"/>
        <v>0</v>
      </c>
      <c r="J18" s="210">
        <f t="shared" si="2"/>
        <v>0</v>
      </c>
      <c r="K18" s="121"/>
      <c r="L18" s="211"/>
      <c r="M18" s="212"/>
    </row>
    <row r="19" spans="2:13" ht="32.25" customHeight="1" x14ac:dyDescent="0.3">
      <c r="B19" s="225">
        <v>2.5</v>
      </c>
      <c r="C19" s="204" t="s">
        <v>239</v>
      </c>
      <c r="D19" s="205" t="s">
        <v>40</v>
      </c>
      <c r="E19" s="206">
        <f>+E20*2</f>
        <v>31.92</v>
      </c>
      <c r="F19" s="207"/>
      <c r="G19" s="207">
        <f t="shared" si="0"/>
        <v>0</v>
      </c>
      <c r="H19" s="208">
        <v>0.33</v>
      </c>
      <c r="I19" s="209">
        <f t="shared" si="1"/>
        <v>0</v>
      </c>
      <c r="J19" s="210">
        <f t="shared" si="2"/>
        <v>0</v>
      </c>
      <c r="K19" s="121"/>
      <c r="L19" s="211"/>
      <c r="M19" s="212"/>
    </row>
    <row r="20" spans="2:13" ht="32.25" customHeight="1" x14ac:dyDescent="0.3">
      <c r="B20" s="225">
        <v>2.6</v>
      </c>
      <c r="C20" s="204" t="s">
        <v>240</v>
      </c>
      <c r="D20" s="205" t="s">
        <v>40</v>
      </c>
      <c r="E20" s="206">
        <f>10.64*1.5</f>
        <v>15.96</v>
      </c>
      <c r="F20" s="207"/>
      <c r="G20" s="207">
        <f t="shared" si="0"/>
        <v>0</v>
      </c>
      <c r="H20" s="208">
        <v>0.33</v>
      </c>
      <c r="I20" s="209">
        <f t="shared" si="1"/>
        <v>0</v>
      </c>
      <c r="J20" s="210">
        <f t="shared" si="2"/>
        <v>0</v>
      </c>
      <c r="K20" s="121"/>
      <c r="L20" s="211"/>
      <c r="M20" s="212"/>
    </row>
    <row r="21" spans="2:13" ht="32.25" customHeight="1" x14ac:dyDescent="0.3">
      <c r="B21" s="225">
        <v>2.6</v>
      </c>
      <c r="C21" s="204" t="s">
        <v>241</v>
      </c>
      <c r="D21" s="205" t="s">
        <v>370</v>
      </c>
      <c r="E21" s="206">
        <v>226</v>
      </c>
      <c r="F21" s="207"/>
      <c r="G21" s="207">
        <f t="shared" si="0"/>
        <v>0</v>
      </c>
      <c r="H21" s="208">
        <v>0.33</v>
      </c>
      <c r="I21" s="209">
        <f t="shared" si="1"/>
        <v>0</v>
      </c>
      <c r="J21" s="210">
        <f>ROUND(I21*E21,0)</f>
        <v>0</v>
      </c>
      <c r="K21" s="121"/>
      <c r="L21" s="211"/>
      <c r="M21" s="212"/>
    </row>
    <row r="22" spans="2:13" s="202" customFormat="1" x14ac:dyDescent="0.3">
      <c r="B22" s="213">
        <v>3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24"/>
    </row>
    <row r="23" spans="2:13" ht="31.2" x14ac:dyDescent="0.3">
      <c r="B23" s="225">
        <v>3.1</v>
      </c>
      <c r="C23" s="227" t="s">
        <v>242</v>
      </c>
      <c r="D23" s="228" t="s">
        <v>19</v>
      </c>
      <c r="E23" s="206">
        <v>2</v>
      </c>
      <c r="F23" s="207"/>
      <c r="G23" s="207">
        <f t="shared" si="0"/>
        <v>0</v>
      </c>
      <c r="H23" s="208">
        <v>0.33</v>
      </c>
      <c r="I23" s="209">
        <f t="shared" si="1"/>
        <v>0</v>
      </c>
      <c r="J23" s="210">
        <f t="shared" ref="J23:J25" si="3">ROUND(I23*E23,0)</f>
        <v>0</v>
      </c>
      <c r="K23" s="121"/>
      <c r="L23" s="211"/>
      <c r="M23" s="212"/>
    </row>
    <row r="24" spans="2:13" ht="75" customHeight="1" x14ac:dyDescent="0.3">
      <c r="B24" s="225">
        <v>3.2</v>
      </c>
      <c r="C24" s="227" t="s">
        <v>243</v>
      </c>
      <c r="D24" s="228" t="s">
        <v>19</v>
      </c>
      <c r="E24" s="206">
        <v>8</v>
      </c>
      <c r="F24" s="207"/>
      <c r="G24" s="207">
        <f t="shared" si="0"/>
        <v>0</v>
      </c>
      <c r="H24" s="208">
        <v>0.33</v>
      </c>
      <c r="I24" s="209">
        <f t="shared" si="1"/>
        <v>0</v>
      </c>
      <c r="J24" s="210">
        <f t="shared" si="3"/>
        <v>0</v>
      </c>
      <c r="K24" s="121"/>
      <c r="L24" s="211"/>
      <c r="M24" s="212"/>
    </row>
    <row r="25" spans="2:13" ht="31.2" x14ac:dyDescent="0.3">
      <c r="B25" s="225">
        <v>3.3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0"/>
        <v>0</v>
      </c>
      <c r="H25" s="208">
        <v>0.33</v>
      </c>
      <c r="I25" s="209">
        <f t="shared" si="1"/>
        <v>0</v>
      </c>
      <c r="J25" s="210">
        <f t="shared" si="3"/>
        <v>0</v>
      </c>
      <c r="K25" s="121"/>
      <c r="L25" s="211"/>
      <c r="M25" s="212"/>
    </row>
    <row r="26" spans="2:13" s="202" customFormat="1" x14ac:dyDescent="0.3">
      <c r="B26" s="213">
        <v>4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24"/>
    </row>
    <row r="27" spans="2:13" x14ac:dyDescent="0.3">
      <c r="B27" s="225">
        <v>4.0999999999999996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0"/>
        <v>0</v>
      </c>
      <c r="H27" s="208">
        <v>0.33</v>
      </c>
      <c r="I27" s="209">
        <f t="shared" si="1"/>
        <v>0</v>
      </c>
      <c r="J27" s="210">
        <f t="shared" ref="J27:J29" si="4">ROUND(I27*E27,0)</f>
        <v>0</v>
      </c>
      <c r="K27" s="121"/>
      <c r="L27" s="211"/>
      <c r="M27" s="212"/>
    </row>
    <row r="28" spans="2:13" x14ac:dyDescent="0.3">
      <c r="B28" s="225">
        <v>4.2</v>
      </c>
      <c r="C28" s="226" t="s">
        <v>20</v>
      </c>
      <c r="D28" s="228" t="s">
        <v>19</v>
      </c>
      <c r="E28" s="206">
        <v>1</v>
      </c>
      <c r="F28" s="207"/>
      <c r="G28" s="207">
        <f t="shared" si="0"/>
        <v>0</v>
      </c>
      <c r="H28" s="208">
        <v>0.33</v>
      </c>
      <c r="I28" s="209">
        <f t="shared" si="1"/>
        <v>0</v>
      </c>
      <c r="J28" s="210">
        <f t="shared" si="4"/>
        <v>0</v>
      </c>
      <c r="K28" s="121"/>
      <c r="L28" s="211"/>
      <c r="M28" s="212"/>
    </row>
    <row r="29" spans="2:13" ht="84.6" customHeight="1" thickBot="1" x14ac:dyDescent="0.35">
      <c r="B29" s="229">
        <v>4.3</v>
      </c>
      <c r="C29" s="230" t="s">
        <v>245</v>
      </c>
      <c r="D29" s="231" t="s">
        <v>65</v>
      </c>
      <c r="E29" s="232">
        <v>12</v>
      </c>
      <c r="F29" s="233"/>
      <c r="G29" s="233">
        <f t="shared" si="0"/>
        <v>0</v>
      </c>
      <c r="H29" s="234">
        <v>0.33</v>
      </c>
      <c r="I29" s="235">
        <f t="shared" si="1"/>
        <v>0</v>
      </c>
      <c r="J29" s="236">
        <f t="shared" si="4"/>
        <v>0</v>
      </c>
      <c r="K29" s="121"/>
      <c r="L29" s="211"/>
      <c r="M29" s="212"/>
    </row>
    <row r="30" spans="2:13" x14ac:dyDescent="0.3">
      <c r="B30" s="121"/>
      <c r="C30" s="122"/>
      <c r="D30" s="237"/>
      <c r="E30" s="238"/>
      <c r="F30" s="239"/>
      <c r="G30" s="239"/>
      <c r="H30" s="240"/>
      <c r="I30" s="241"/>
      <c r="J30" s="241"/>
      <c r="K30" s="121"/>
      <c r="L30" s="211"/>
    </row>
    <row r="31" spans="2:13" x14ac:dyDescent="0.3">
      <c r="B31" s="121"/>
      <c r="C31" s="122"/>
      <c r="D31" s="237"/>
      <c r="E31" s="238"/>
      <c r="F31" s="239"/>
      <c r="G31" s="239"/>
      <c r="H31" s="240"/>
      <c r="I31" s="241"/>
      <c r="J31" s="241"/>
      <c r="K31" s="121"/>
      <c r="L31" s="211"/>
    </row>
    <row r="32" spans="2:13" x14ac:dyDescent="0.3">
      <c r="B32" s="242"/>
      <c r="C32" s="243"/>
      <c r="D32" s="638" t="s">
        <v>21</v>
      </c>
      <c r="E32" s="639"/>
      <c r="F32" s="640"/>
      <c r="G32" s="244">
        <f>SUM(G10:G29)</f>
        <v>0</v>
      </c>
      <c r="H32" s="245"/>
      <c r="I32" s="141"/>
      <c r="J32" s="246">
        <f>+SUM(J9:J29)</f>
        <v>0</v>
      </c>
      <c r="L32" s="133"/>
      <c r="M32" s="133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1:B4"/>
    <mergeCell ref="C1:I1"/>
    <mergeCell ref="J1:J4"/>
    <mergeCell ref="C2:I2"/>
    <mergeCell ref="C3:I3"/>
    <mergeCell ref="C4:I4"/>
    <mergeCell ref="B5:J5"/>
    <mergeCell ref="B6:J6"/>
    <mergeCell ref="B7:J7"/>
    <mergeCell ref="D32:F32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93D62-347F-4E4B-9DD2-55F85C1831F9}">
  <sheetPr>
    <tabColor rgb="FF92D050"/>
  </sheetPr>
  <dimension ref="B1:P34"/>
  <sheetViews>
    <sheetView view="pageBreakPreview" topLeftCell="A20" zoomScale="60" zoomScaleNormal="70" workbookViewId="0">
      <selection activeCell="F40" sqref="F40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22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6.95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1.95" customHeight="1" x14ac:dyDescent="0.3">
      <c r="B10" s="203">
        <v>1.1000000000000001</v>
      </c>
      <c r="C10" s="226" t="s">
        <v>231</v>
      </c>
      <c r="D10" s="205" t="s">
        <v>40</v>
      </c>
      <c r="E10" s="206">
        <v>120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  <c r="M10" s="212"/>
    </row>
    <row r="11" spans="2:13" ht="31.95" customHeight="1" x14ac:dyDescent="0.3">
      <c r="B11" s="203">
        <v>1.2</v>
      </c>
      <c r="C11" s="204" t="s">
        <v>232</v>
      </c>
      <c r="D11" s="205" t="s">
        <v>40</v>
      </c>
      <c r="E11" s="206">
        <f>+E10</f>
        <v>120</v>
      </c>
      <c r="F11" s="207"/>
      <c r="G11" s="207">
        <f t="shared" ref="G11:G29" si="0">+ROUND(E11*F11,0)</f>
        <v>0</v>
      </c>
      <c r="H11" s="208">
        <v>0.33</v>
      </c>
      <c r="I11" s="209">
        <f>(F11*(1+H11))</f>
        <v>0</v>
      </c>
      <c r="J11" s="210">
        <f t="shared" ref="J11:J29" si="1">ROUND(I11*E11,0)</f>
        <v>0</v>
      </c>
      <c r="L11" s="211"/>
      <c r="M11" s="212"/>
    </row>
    <row r="12" spans="2:13" ht="31.95" customHeight="1" x14ac:dyDescent="0.3">
      <c r="B12" s="203">
        <v>1.3</v>
      </c>
      <c r="C12" s="204" t="s">
        <v>233</v>
      </c>
      <c r="D12" s="205" t="s">
        <v>370</v>
      </c>
      <c r="E12" s="206">
        <f>9+8+8+10</f>
        <v>35</v>
      </c>
      <c r="F12" s="207"/>
      <c r="G12" s="207">
        <f t="shared" si="0"/>
        <v>0</v>
      </c>
      <c r="H12" s="208">
        <v>0.33</v>
      </c>
      <c r="I12" s="209">
        <f>(F12*(1+H12))</f>
        <v>0</v>
      </c>
      <c r="J12" s="210">
        <f t="shared" si="1"/>
        <v>0</v>
      </c>
      <c r="L12" s="211"/>
      <c r="M12" s="212"/>
    </row>
    <row r="13" spans="2:13" ht="31.95" customHeight="1" x14ac:dyDescent="0.3">
      <c r="B13" s="203">
        <v>1.4</v>
      </c>
      <c r="C13" s="204" t="s">
        <v>234</v>
      </c>
      <c r="D13" s="205" t="s">
        <v>39</v>
      </c>
      <c r="E13" s="206">
        <f>9+9+8+8</f>
        <v>34</v>
      </c>
      <c r="F13" s="207"/>
      <c r="G13" s="207">
        <f t="shared" si="0"/>
        <v>0</v>
      </c>
      <c r="H13" s="208">
        <v>0.33</v>
      </c>
      <c r="I13" s="209">
        <f>(F13*(1+H13))</f>
        <v>0</v>
      </c>
      <c r="J13" s="210">
        <f t="shared" si="1"/>
        <v>0</v>
      </c>
      <c r="L13" s="211"/>
      <c r="M13" s="212"/>
    </row>
    <row r="14" spans="2:13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24"/>
    </row>
    <row r="15" spans="2:13" ht="62.4" x14ac:dyDescent="0.3">
      <c r="B15" s="225">
        <v>2.1</v>
      </c>
      <c r="C15" s="226" t="s">
        <v>235</v>
      </c>
      <c r="D15" s="205" t="s">
        <v>40</v>
      </c>
      <c r="E15" s="206">
        <v>120</v>
      </c>
      <c r="F15" s="207"/>
      <c r="G15" s="207">
        <f t="shared" si="0"/>
        <v>0</v>
      </c>
      <c r="H15" s="208">
        <v>0.33</v>
      </c>
      <c r="I15" s="209">
        <f>(F15*(1+H15))</f>
        <v>0</v>
      </c>
      <c r="J15" s="210">
        <f t="shared" si="1"/>
        <v>0</v>
      </c>
      <c r="K15" s="121"/>
      <c r="L15" s="211"/>
      <c r="M15" s="212"/>
    </row>
    <row r="16" spans="2:13" ht="65.400000000000006" customHeight="1" x14ac:dyDescent="0.3">
      <c r="B16" s="225">
        <v>2.2000000000000002</v>
      </c>
      <c r="C16" s="226" t="s">
        <v>246</v>
      </c>
      <c r="D16" s="228" t="s">
        <v>39</v>
      </c>
      <c r="E16" s="206">
        <v>104</v>
      </c>
      <c r="F16" s="207"/>
      <c r="G16" s="207">
        <f t="shared" si="0"/>
        <v>0</v>
      </c>
      <c r="H16" s="208">
        <v>0.33</v>
      </c>
      <c r="I16" s="209">
        <f t="shared" ref="I16:I29" si="2">(F16*(1+H16))</f>
        <v>0</v>
      </c>
      <c r="J16" s="210">
        <f t="shared" si="1"/>
        <v>0</v>
      </c>
      <c r="K16" s="121"/>
      <c r="L16" s="211"/>
      <c r="M16" s="212"/>
    </row>
    <row r="17" spans="2:16" ht="46.8" x14ac:dyDescent="0.3">
      <c r="B17" s="225">
        <v>2.2999999999999998</v>
      </c>
      <c r="C17" s="226" t="s">
        <v>236</v>
      </c>
      <c r="D17" s="205" t="s">
        <v>371</v>
      </c>
      <c r="E17" s="206">
        <v>13</v>
      </c>
      <c r="F17" s="207"/>
      <c r="G17" s="207">
        <f t="shared" si="0"/>
        <v>0</v>
      </c>
      <c r="H17" s="208">
        <v>0.33</v>
      </c>
      <c r="I17" s="209">
        <f t="shared" si="2"/>
        <v>0</v>
      </c>
      <c r="J17" s="210">
        <f t="shared" si="1"/>
        <v>0</v>
      </c>
      <c r="K17" s="121"/>
      <c r="L17" s="211"/>
      <c r="M17" s="212"/>
    </row>
    <row r="18" spans="2:16" ht="46.8" x14ac:dyDescent="0.3">
      <c r="B18" s="225">
        <v>2.5</v>
      </c>
      <c r="C18" s="226" t="s">
        <v>247</v>
      </c>
      <c r="D18" s="205" t="s">
        <v>39</v>
      </c>
      <c r="E18" s="206">
        <v>9.1</v>
      </c>
      <c r="F18" s="207"/>
      <c r="G18" s="207">
        <f t="shared" si="0"/>
        <v>0</v>
      </c>
      <c r="H18" s="208">
        <v>0.33</v>
      </c>
      <c r="I18" s="209">
        <f t="shared" si="2"/>
        <v>0</v>
      </c>
      <c r="J18" s="210">
        <f t="shared" si="1"/>
        <v>0</v>
      </c>
      <c r="K18" s="121"/>
      <c r="L18" s="211"/>
      <c r="M18" s="212"/>
    </row>
    <row r="19" spans="2:16" s="249" customFormat="1" x14ac:dyDescent="0.3">
      <c r="B19" s="213">
        <v>3</v>
      </c>
      <c r="C19" s="214" t="s">
        <v>23</v>
      </c>
      <c r="D19" s="215"/>
      <c r="E19" s="216"/>
      <c r="F19" s="217"/>
      <c r="G19" s="218"/>
      <c r="H19" s="219"/>
      <c r="I19" s="220"/>
      <c r="J19" s="221"/>
      <c r="K19" s="250"/>
      <c r="L19" s="223"/>
      <c r="M19" s="224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21.28</v>
      </c>
      <c r="F20" s="207"/>
      <c r="G20" s="207">
        <f t="shared" si="0"/>
        <v>0</v>
      </c>
      <c r="H20" s="208">
        <v>0.33</v>
      </c>
      <c r="I20" s="209">
        <f t="shared" si="2"/>
        <v>0</v>
      </c>
      <c r="J20" s="210">
        <f t="shared" si="1"/>
        <v>0</v>
      </c>
      <c r="K20" s="121"/>
      <c r="L20" s="211"/>
      <c r="M20" s="212"/>
    </row>
    <row r="21" spans="2:16" ht="32.25" customHeight="1" x14ac:dyDescent="0.3">
      <c r="B21" s="225">
        <v>2.8</v>
      </c>
      <c r="C21" s="204" t="s">
        <v>240</v>
      </c>
      <c r="D21" s="205" t="s">
        <v>40</v>
      </c>
      <c r="E21" s="206">
        <v>10.64</v>
      </c>
      <c r="F21" s="207"/>
      <c r="G21" s="207">
        <f t="shared" si="0"/>
        <v>0</v>
      </c>
      <c r="H21" s="208">
        <v>0.33</v>
      </c>
      <c r="I21" s="209">
        <f t="shared" si="2"/>
        <v>0</v>
      </c>
      <c r="J21" s="210">
        <f t="shared" si="1"/>
        <v>0</v>
      </c>
      <c r="K21" s="121"/>
      <c r="L21" s="211"/>
      <c r="M21" s="212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24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1</v>
      </c>
      <c r="F23" s="207"/>
      <c r="G23" s="207">
        <f t="shared" si="0"/>
        <v>0</v>
      </c>
      <c r="H23" s="208">
        <v>0.33</v>
      </c>
      <c r="I23" s="209">
        <f t="shared" si="2"/>
        <v>0</v>
      </c>
      <c r="J23" s="210">
        <f t="shared" si="1"/>
        <v>0</v>
      </c>
      <c r="K23" s="121"/>
      <c r="L23" s="211"/>
      <c r="M23" s="212"/>
    </row>
    <row r="24" spans="2:16" ht="75" customHeight="1" x14ac:dyDescent="0.3">
      <c r="B24" s="225">
        <v>4.2</v>
      </c>
      <c r="C24" s="227" t="s">
        <v>243</v>
      </c>
      <c r="D24" s="228" t="s">
        <v>19</v>
      </c>
      <c r="E24" s="206">
        <v>4</v>
      </c>
      <c r="F24" s="207"/>
      <c r="G24" s="207">
        <f t="shared" si="0"/>
        <v>0</v>
      </c>
      <c r="H24" s="208">
        <v>0.33</v>
      </c>
      <c r="I24" s="209">
        <f t="shared" si="2"/>
        <v>0</v>
      </c>
      <c r="J24" s="210">
        <f t="shared" si="1"/>
        <v>0</v>
      </c>
      <c r="K24" s="121"/>
      <c r="L24" s="211"/>
      <c r="M24" s="212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v>15.5</v>
      </c>
      <c r="F25" s="207"/>
      <c r="G25" s="207">
        <f t="shared" si="0"/>
        <v>0</v>
      </c>
      <c r="H25" s="208">
        <v>0.33</v>
      </c>
      <c r="I25" s="209">
        <f t="shared" si="2"/>
        <v>0</v>
      </c>
      <c r="J25" s="210">
        <f t="shared" si="1"/>
        <v>0</v>
      </c>
      <c r="K25" s="121"/>
      <c r="L25" s="211"/>
      <c r="M25" s="212"/>
    </row>
    <row r="26" spans="2:16" s="202" customFormat="1" x14ac:dyDescent="0.3">
      <c r="B26" s="213">
        <v>5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24"/>
    </row>
    <row r="27" spans="2:16" x14ac:dyDescent="0.3">
      <c r="B27" s="225">
        <v>5.0999999999999996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0"/>
        <v>0</v>
      </c>
      <c r="H27" s="208">
        <v>0.33</v>
      </c>
      <c r="I27" s="209">
        <f t="shared" si="2"/>
        <v>0</v>
      </c>
      <c r="J27" s="210">
        <f t="shared" si="1"/>
        <v>0</v>
      </c>
      <c r="K27" s="121"/>
      <c r="L27" s="211"/>
      <c r="M27" s="212"/>
    </row>
    <row r="28" spans="2:16" x14ac:dyDescent="0.3">
      <c r="B28" s="225">
        <v>5.2</v>
      </c>
      <c r="C28" s="226" t="s">
        <v>20</v>
      </c>
      <c r="D28" s="228" t="s">
        <v>19</v>
      </c>
      <c r="E28" s="206">
        <v>1</v>
      </c>
      <c r="F28" s="207"/>
      <c r="G28" s="207">
        <f t="shared" si="0"/>
        <v>0</v>
      </c>
      <c r="H28" s="208">
        <v>0.33</v>
      </c>
      <c r="I28" s="209">
        <f t="shared" si="2"/>
        <v>0</v>
      </c>
      <c r="J28" s="210">
        <f t="shared" si="1"/>
        <v>0</v>
      </c>
      <c r="K28" s="121"/>
      <c r="L28" s="211"/>
      <c r="M28" s="212"/>
    </row>
    <row r="29" spans="2:16" ht="78.599999999999994" customHeight="1" thickBot="1" x14ac:dyDescent="0.35">
      <c r="B29" s="229">
        <v>5.3</v>
      </c>
      <c r="C29" s="251" t="s">
        <v>245</v>
      </c>
      <c r="D29" s="231" t="s">
        <v>65</v>
      </c>
      <c r="E29" s="232">
        <v>12</v>
      </c>
      <c r="F29" s="233"/>
      <c r="G29" s="233">
        <f t="shared" si="0"/>
        <v>0</v>
      </c>
      <c r="H29" s="234">
        <v>0.33</v>
      </c>
      <c r="I29" s="235">
        <f t="shared" si="2"/>
        <v>0</v>
      </c>
      <c r="J29" s="236">
        <f t="shared" si="1"/>
        <v>0</v>
      </c>
      <c r="K29" s="121"/>
      <c r="L29" s="211"/>
      <c r="M29" s="212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16" s="119" customFormat="1" ht="18" customHeight="1" x14ac:dyDescent="0.3">
      <c r="B31" s="253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16" x14ac:dyDescent="0.3">
      <c r="B32" s="242"/>
      <c r="C32" s="243"/>
      <c r="D32" s="483" t="s">
        <v>212</v>
      </c>
      <c r="E32" s="483"/>
      <c r="F32" s="483"/>
      <c r="G32" s="255">
        <f>SUM(G10:G29)</f>
        <v>0</v>
      </c>
      <c r="H32" s="245"/>
      <c r="I32" s="141"/>
      <c r="J32" s="256">
        <f>SUM(J9:J29)</f>
        <v>0</v>
      </c>
      <c r="L32" s="133"/>
      <c r="M32" s="133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5:J5"/>
    <mergeCell ref="B6:J6"/>
    <mergeCell ref="B7:J7"/>
    <mergeCell ref="D32:F32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0B296-B133-4CE4-90FA-E90CB3B5813F}">
  <sheetPr>
    <tabColor rgb="FF92D050"/>
  </sheetPr>
  <dimension ref="B1:P26"/>
  <sheetViews>
    <sheetView view="pageBreakPreview" topLeftCell="A12" zoomScale="60" zoomScaleNormal="70" workbookViewId="0">
      <selection activeCell="L14" sqref="L14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25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5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61" customFormat="1" ht="18.75" customHeight="1" x14ac:dyDescent="0.3">
      <c r="B9" s="257">
        <v>1</v>
      </c>
      <c r="C9" s="258" t="s">
        <v>15</v>
      </c>
      <c r="D9" s="197"/>
      <c r="E9" s="198"/>
      <c r="F9" s="199"/>
      <c r="G9" s="199"/>
      <c r="H9" s="197"/>
      <c r="I9" s="259"/>
      <c r="J9" s="260"/>
      <c r="L9" s="223"/>
      <c r="M9" s="249"/>
    </row>
    <row r="10" spans="2:13" ht="30" customHeight="1" x14ac:dyDescent="0.3">
      <c r="B10" s="203">
        <v>1.1000000000000001</v>
      </c>
      <c r="C10" s="226" t="s">
        <v>248</v>
      </c>
      <c r="D10" s="205" t="s">
        <v>19</v>
      </c>
      <c r="E10" s="206">
        <v>1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  <c r="M10" s="212"/>
    </row>
    <row r="11" spans="2:13" s="202" customFormat="1" ht="14.25" customHeight="1" x14ac:dyDescent="0.3">
      <c r="B11" s="262">
        <v>2</v>
      </c>
      <c r="C11" s="214" t="s">
        <v>26</v>
      </c>
      <c r="D11" s="215"/>
      <c r="E11" s="216"/>
      <c r="F11" s="217"/>
      <c r="G11" s="218"/>
      <c r="H11" s="219"/>
      <c r="I11" s="220"/>
      <c r="J11" s="221"/>
      <c r="L11" s="223"/>
      <c r="M11" s="224"/>
    </row>
    <row r="12" spans="2:13" ht="63" customHeight="1" x14ac:dyDescent="0.3">
      <c r="B12" s="203">
        <v>2.1</v>
      </c>
      <c r="C12" s="226" t="s">
        <v>249</v>
      </c>
      <c r="D12" s="205" t="s">
        <v>19</v>
      </c>
      <c r="E12" s="206">
        <v>1</v>
      </c>
      <c r="F12" s="207"/>
      <c r="G12" s="207">
        <f t="shared" ref="G12:G13" si="0">+ROUND(E12*F12,0)</f>
        <v>0</v>
      </c>
      <c r="H12" s="208">
        <v>0.33</v>
      </c>
      <c r="I12" s="209">
        <f t="shared" ref="I12:I13" si="1">(F12*(1+H12))</f>
        <v>0</v>
      </c>
      <c r="J12" s="210">
        <f t="shared" ref="J12:J13" si="2">ROUND(I12*E12,0)</f>
        <v>0</v>
      </c>
      <c r="L12" s="211"/>
      <c r="M12" s="212"/>
    </row>
    <row r="13" spans="2:13" ht="37.5" customHeight="1" x14ac:dyDescent="0.3">
      <c r="B13" s="203">
        <v>2.2000000000000002</v>
      </c>
      <c r="C13" s="226" t="s">
        <v>250</v>
      </c>
      <c r="D13" s="205" t="s">
        <v>39</v>
      </c>
      <c r="E13" s="206">
        <v>15</v>
      </c>
      <c r="F13" s="207"/>
      <c r="G13" s="207">
        <f t="shared" si="0"/>
        <v>0</v>
      </c>
      <c r="H13" s="208">
        <v>0.33</v>
      </c>
      <c r="I13" s="209">
        <f t="shared" si="1"/>
        <v>0</v>
      </c>
      <c r="J13" s="210">
        <f t="shared" si="2"/>
        <v>0</v>
      </c>
      <c r="L13" s="211"/>
      <c r="M13" s="212"/>
    </row>
    <row r="14" spans="2:13" s="249" customFormat="1" x14ac:dyDescent="0.3">
      <c r="B14" s="213">
        <v>3</v>
      </c>
      <c r="C14" s="214" t="s">
        <v>27</v>
      </c>
      <c r="D14" s="215"/>
      <c r="E14" s="216"/>
      <c r="F14" s="217"/>
      <c r="G14" s="218"/>
      <c r="H14" s="219"/>
      <c r="I14" s="220"/>
      <c r="J14" s="221"/>
      <c r="L14" s="223"/>
      <c r="M14" s="224"/>
    </row>
    <row r="15" spans="2:13" ht="51" customHeight="1" x14ac:dyDescent="0.3">
      <c r="B15" s="225">
        <v>3.1</v>
      </c>
      <c r="C15" s="226" t="s">
        <v>251</v>
      </c>
      <c r="D15" s="205" t="s">
        <v>40</v>
      </c>
      <c r="E15" s="206">
        <v>30</v>
      </c>
      <c r="F15" s="207"/>
      <c r="G15" s="207">
        <f t="shared" ref="G15:G21" si="3">+ROUND(E15*F15,0)</f>
        <v>0</v>
      </c>
      <c r="H15" s="208">
        <v>0.33</v>
      </c>
      <c r="I15" s="209">
        <f t="shared" ref="I15:I21" si="4">(F15*(1+H15))</f>
        <v>0</v>
      </c>
      <c r="J15" s="210">
        <f t="shared" ref="J15:J21" si="5">ROUND(I15*E15,0)</f>
        <v>0</v>
      </c>
      <c r="L15" s="211"/>
      <c r="M15" s="212"/>
    </row>
    <row r="16" spans="2:13" s="249" customFormat="1" x14ac:dyDescent="0.3">
      <c r="B16" s="213">
        <v>4</v>
      </c>
      <c r="C16" s="214" t="s">
        <v>28</v>
      </c>
      <c r="D16" s="215"/>
      <c r="E16" s="216"/>
      <c r="F16" s="217"/>
      <c r="G16" s="218"/>
      <c r="H16" s="219"/>
      <c r="I16" s="220"/>
      <c r="J16" s="221"/>
      <c r="L16" s="223"/>
      <c r="M16" s="224"/>
    </row>
    <row r="17" spans="2:16" ht="37.5" customHeight="1" x14ac:dyDescent="0.3">
      <c r="B17" s="225">
        <v>4.0999999999999996</v>
      </c>
      <c r="C17" s="226" t="s">
        <v>239</v>
      </c>
      <c r="D17" s="205" t="s">
        <v>40</v>
      </c>
      <c r="E17" s="206">
        <v>50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L17" s="211"/>
      <c r="M17" s="212"/>
    </row>
    <row r="18" spans="2:16" s="202" customFormat="1" x14ac:dyDescent="0.3">
      <c r="B18" s="213">
        <v>5</v>
      </c>
      <c r="C18" s="214" t="s">
        <v>17</v>
      </c>
      <c r="D18" s="215"/>
      <c r="E18" s="216"/>
      <c r="F18" s="217"/>
      <c r="G18" s="218"/>
      <c r="H18" s="219"/>
      <c r="I18" s="220"/>
      <c r="J18" s="221"/>
      <c r="L18" s="223"/>
      <c r="M18" s="224"/>
    </row>
    <row r="19" spans="2:16" x14ac:dyDescent="0.3">
      <c r="B19" s="225">
        <v>5.0999999999999996</v>
      </c>
      <c r="C19" s="226" t="s">
        <v>18</v>
      </c>
      <c r="D19" s="228" t="s">
        <v>19</v>
      </c>
      <c r="E19" s="206">
        <v>1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L19" s="211"/>
      <c r="M19" s="212"/>
    </row>
    <row r="20" spans="2:16" x14ac:dyDescent="0.3">
      <c r="B20" s="225">
        <v>5.2</v>
      </c>
      <c r="C20" s="226" t="s">
        <v>20</v>
      </c>
      <c r="D20" s="228" t="s">
        <v>19</v>
      </c>
      <c r="E20" s="206">
        <v>1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L20" s="211"/>
      <c r="M20" s="212"/>
    </row>
    <row r="21" spans="2:16" ht="82.2" customHeight="1" thickBot="1" x14ac:dyDescent="0.35">
      <c r="B21" s="229">
        <v>5.3</v>
      </c>
      <c r="C21" s="251" t="s">
        <v>245</v>
      </c>
      <c r="D21" s="231" t="s">
        <v>65</v>
      </c>
      <c r="E21" s="232">
        <v>6</v>
      </c>
      <c r="F21" s="233"/>
      <c r="G21" s="233">
        <f t="shared" si="3"/>
        <v>0</v>
      </c>
      <c r="H21" s="234">
        <v>0.33</v>
      </c>
      <c r="I21" s="235">
        <f t="shared" si="4"/>
        <v>0</v>
      </c>
      <c r="J21" s="236">
        <f t="shared" si="5"/>
        <v>0</v>
      </c>
      <c r="L21" s="211"/>
      <c r="M21" s="212"/>
    </row>
    <row r="22" spans="2:16" x14ac:dyDescent="0.3">
      <c r="B22" s="121"/>
      <c r="C22" s="122"/>
      <c r="D22" s="123"/>
      <c r="E22" s="238"/>
      <c r="F22" s="239"/>
      <c r="G22" s="239"/>
      <c r="H22" s="252"/>
      <c r="I22" s="133"/>
      <c r="J22" s="133"/>
      <c r="K22" s="121"/>
      <c r="L22" s="211"/>
    </row>
    <row r="23" spans="2:16" s="119" customFormat="1" ht="18" customHeight="1" x14ac:dyDescent="0.3">
      <c r="B23" s="253"/>
      <c r="C23" s="118"/>
      <c r="D23" s="121"/>
      <c r="E23" s="124"/>
      <c r="F23" s="125"/>
      <c r="G23" s="125"/>
      <c r="H23" s="125"/>
      <c r="I23" s="125"/>
      <c r="J23" s="254"/>
      <c r="L23" s="211"/>
      <c r="M23" s="117"/>
      <c r="N23" s="126"/>
      <c r="O23" s="126"/>
      <c r="P23" s="126"/>
    </row>
    <row r="24" spans="2:16" x14ac:dyDescent="0.3">
      <c r="B24" s="242"/>
      <c r="C24" s="243"/>
      <c r="D24" s="483" t="s">
        <v>24</v>
      </c>
      <c r="E24" s="483"/>
      <c r="F24" s="483"/>
      <c r="G24" s="255">
        <f>SUM(G9:G21)</f>
        <v>0</v>
      </c>
      <c r="H24" s="245"/>
      <c r="I24" s="141"/>
      <c r="J24" s="256">
        <f>SUM(J10:J21)</f>
        <v>0</v>
      </c>
      <c r="L24" s="133"/>
      <c r="M24" s="133"/>
    </row>
    <row r="25" spans="2:16" x14ac:dyDescent="0.3">
      <c r="L25" s="119"/>
    </row>
    <row r="26" spans="2:16" x14ac:dyDescent="0.3">
      <c r="L26" s="469"/>
      <c r="M26" s="142"/>
    </row>
  </sheetData>
  <mergeCells count="10">
    <mergeCell ref="B7:J7"/>
    <mergeCell ref="D24:F24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B6B1D-CDEF-4093-9F23-9D50C4878C35}">
  <sheetPr>
    <tabColor rgb="FF92D050"/>
  </sheetPr>
  <dimension ref="B1:P23"/>
  <sheetViews>
    <sheetView view="pageBreakPreview" zoomScale="60" zoomScaleNormal="70" workbookViewId="0">
      <selection activeCell="M12" sqref="M12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30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5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26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46.95" customHeight="1" x14ac:dyDescent="0.3">
      <c r="B10" s="203">
        <v>1.1000000000000001</v>
      </c>
      <c r="C10" s="226" t="s">
        <v>252</v>
      </c>
      <c r="D10" s="205" t="s">
        <v>371</v>
      </c>
      <c r="E10" s="206">
        <v>6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  <c r="M10" s="212"/>
    </row>
    <row r="11" spans="2:13" s="249" customFormat="1" x14ac:dyDescent="0.3">
      <c r="B11" s="213">
        <v>2</v>
      </c>
      <c r="C11" s="214" t="s">
        <v>27</v>
      </c>
      <c r="D11" s="215"/>
      <c r="E11" s="216"/>
      <c r="F11" s="217"/>
      <c r="G11" s="218"/>
      <c r="H11" s="219"/>
      <c r="I11" s="220"/>
      <c r="J11" s="221"/>
      <c r="L11" s="223"/>
      <c r="M11" s="224"/>
    </row>
    <row r="12" spans="2:13" ht="49.2" customHeight="1" x14ac:dyDescent="0.3">
      <c r="B12" s="225">
        <v>2.1</v>
      </c>
      <c r="C12" s="226" t="s">
        <v>251</v>
      </c>
      <c r="D12" s="205" t="s">
        <v>40</v>
      </c>
      <c r="E12" s="206">
        <v>15</v>
      </c>
      <c r="F12" s="207"/>
      <c r="G12" s="207">
        <f t="shared" ref="G12:G13" si="0">+ROUND(E12*F12,0)</f>
        <v>0</v>
      </c>
      <c r="H12" s="208">
        <v>0.33</v>
      </c>
      <c r="I12" s="209">
        <f t="shared" ref="I12:I13" si="1">(F12*(1+H12))</f>
        <v>0</v>
      </c>
      <c r="J12" s="210">
        <f t="shared" ref="J12:J13" si="2">ROUND(I12*E12,0)</f>
        <v>0</v>
      </c>
      <c r="L12" s="211"/>
      <c r="M12" s="212"/>
    </row>
    <row r="13" spans="2:13" ht="34.200000000000003" customHeight="1" x14ac:dyDescent="0.3">
      <c r="B13" s="225">
        <v>2.2000000000000002</v>
      </c>
      <c r="C13" s="226" t="s">
        <v>253</v>
      </c>
      <c r="D13" s="205" t="s">
        <v>40</v>
      </c>
      <c r="E13" s="206">
        <v>15</v>
      </c>
      <c r="F13" s="207"/>
      <c r="G13" s="207">
        <f t="shared" si="0"/>
        <v>0</v>
      </c>
      <c r="H13" s="208">
        <v>0.33</v>
      </c>
      <c r="I13" s="209">
        <f t="shared" si="1"/>
        <v>0</v>
      </c>
      <c r="J13" s="210">
        <f t="shared" si="2"/>
        <v>0</v>
      </c>
      <c r="L13" s="211"/>
      <c r="M13" s="212"/>
    </row>
    <row r="14" spans="2:13" s="249" customFormat="1" x14ac:dyDescent="0.3">
      <c r="B14" s="213">
        <v>3</v>
      </c>
      <c r="C14" s="214" t="s">
        <v>28</v>
      </c>
      <c r="D14" s="215"/>
      <c r="E14" s="216"/>
      <c r="F14" s="217"/>
      <c r="G14" s="218"/>
      <c r="H14" s="219"/>
      <c r="I14" s="220"/>
      <c r="J14" s="221"/>
      <c r="L14" s="223"/>
      <c r="M14" s="224"/>
    </row>
    <row r="15" spans="2:13" ht="37.5" customHeight="1" x14ac:dyDescent="0.3">
      <c r="B15" s="225">
        <v>3.1</v>
      </c>
      <c r="C15" s="226" t="s">
        <v>239</v>
      </c>
      <c r="D15" s="205" t="s">
        <v>40</v>
      </c>
      <c r="E15" s="206">
        <v>30</v>
      </c>
      <c r="F15" s="207"/>
      <c r="G15" s="207">
        <f t="shared" ref="G15:G18" si="3">+ROUND(E15*F15,0)</f>
        <v>0</v>
      </c>
      <c r="H15" s="208">
        <v>0.33</v>
      </c>
      <c r="I15" s="209">
        <f t="shared" ref="I15:I18" si="4">(F15*(1+H15))</f>
        <v>0</v>
      </c>
      <c r="J15" s="210">
        <f t="shared" ref="J15:J18" si="5">ROUND(I15*E15,0)</f>
        <v>0</v>
      </c>
      <c r="L15" s="211"/>
      <c r="M15" s="212"/>
    </row>
    <row r="16" spans="2:13" s="202" customFormat="1" x14ac:dyDescent="0.3">
      <c r="B16" s="213">
        <v>4</v>
      </c>
      <c r="C16" s="214" t="s">
        <v>17</v>
      </c>
      <c r="D16" s="215"/>
      <c r="E16" s="216"/>
      <c r="F16" s="217"/>
      <c r="G16" s="218"/>
      <c r="H16" s="219"/>
      <c r="I16" s="220"/>
      <c r="J16" s="221"/>
      <c r="L16" s="223"/>
      <c r="M16" s="224"/>
    </row>
    <row r="17" spans="2:16" x14ac:dyDescent="0.3">
      <c r="B17" s="225">
        <v>4.0999999999999996</v>
      </c>
      <c r="C17" s="226" t="s">
        <v>18</v>
      </c>
      <c r="D17" s="228" t="s">
        <v>19</v>
      </c>
      <c r="E17" s="206">
        <v>1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L17" s="211"/>
      <c r="M17" s="212"/>
    </row>
    <row r="18" spans="2:16" ht="16.2" thickBot="1" x14ac:dyDescent="0.35">
      <c r="B18" s="229">
        <v>4.2</v>
      </c>
      <c r="C18" s="251" t="s">
        <v>20</v>
      </c>
      <c r="D18" s="263" t="s">
        <v>19</v>
      </c>
      <c r="E18" s="232">
        <v>1</v>
      </c>
      <c r="F18" s="233"/>
      <c r="G18" s="233">
        <f t="shared" si="3"/>
        <v>0</v>
      </c>
      <c r="H18" s="234">
        <v>0.33</v>
      </c>
      <c r="I18" s="235">
        <f t="shared" si="4"/>
        <v>0</v>
      </c>
      <c r="J18" s="236">
        <f t="shared" si="5"/>
        <v>0</v>
      </c>
      <c r="L18" s="211"/>
      <c r="M18" s="212"/>
    </row>
    <row r="19" spans="2:16" x14ac:dyDescent="0.3">
      <c r="B19" s="121"/>
      <c r="C19" s="122"/>
      <c r="D19" s="123"/>
      <c r="E19" s="238"/>
      <c r="F19" s="239"/>
      <c r="G19" s="239"/>
      <c r="H19" s="252"/>
      <c r="I19" s="133"/>
      <c r="J19" s="133"/>
      <c r="K19" s="121"/>
      <c r="L19" s="211"/>
    </row>
    <row r="20" spans="2:16" s="119" customFormat="1" ht="18" customHeight="1" x14ac:dyDescent="0.3">
      <c r="B20" s="253"/>
      <c r="C20" s="118"/>
      <c r="D20" s="121"/>
      <c r="E20" s="124"/>
      <c r="F20" s="125"/>
      <c r="G20" s="125"/>
      <c r="H20" s="125"/>
      <c r="I20" s="125"/>
      <c r="J20" s="254"/>
      <c r="L20" s="211"/>
      <c r="M20" s="117"/>
      <c r="N20" s="126"/>
      <c r="O20" s="126"/>
      <c r="P20" s="126"/>
    </row>
    <row r="21" spans="2:16" x14ac:dyDescent="0.3">
      <c r="B21" s="242"/>
      <c r="C21" s="243"/>
      <c r="D21" s="483" t="s">
        <v>213</v>
      </c>
      <c r="E21" s="483"/>
      <c r="F21" s="483"/>
      <c r="G21" s="255">
        <f>SUM(G9:G18)</f>
        <v>0</v>
      </c>
      <c r="H21" s="245"/>
      <c r="I21" s="141"/>
      <c r="J21" s="256">
        <f>SUM(J10:J18)</f>
        <v>0</v>
      </c>
      <c r="L21" s="133"/>
      <c r="M21" s="133"/>
    </row>
    <row r="22" spans="2:16" x14ac:dyDescent="0.3">
      <c r="L22" s="119"/>
    </row>
    <row r="23" spans="2:16" x14ac:dyDescent="0.3">
      <c r="L23" s="469"/>
      <c r="M23" s="142"/>
    </row>
  </sheetData>
  <mergeCells count="10">
    <mergeCell ref="B7:J7"/>
    <mergeCell ref="D21:F21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F5BD-7DE4-44A4-AF74-C5BF2B4E57FC}">
  <sheetPr>
    <tabColor rgb="FF92D050"/>
  </sheetPr>
  <dimension ref="B1:P20"/>
  <sheetViews>
    <sheetView view="pageBreakPreview" zoomScale="60" zoomScaleNormal="70" workbookViewId="0">
      <selection activeCell="A19" sqref="A19:XFD725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32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3.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33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1.2" x14ac:dyDescent="0.3">
      <c r="B10" s="203">
        <v>1.1000000000000001</v>
      </c>
      <c r="C10" s="226" t="s">
        <v>254</v>
      </c>
      <c r="D10" s="205" t="s">
        <v>40</v>
      </c>
      <c r="E10" s="206">
        <v>60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5" si="0">ROUND(I10*E10,0)</f>
        <v>0</v>
      </c>
      <c r="L10" s="211"/>
      <c r="M10" s="212"/>
    </row>
    <row r="11" spans="2:13" ht="31.2" x14ac:dyDescent="0.3">
      <c r="B11" s="203">
        <v>1.2</v>
      </c>
      <c r="C11" s="226" t="s">
        <v>255</v>
      </c>
      <c r="D11" s="205" t="s">
        <v>19</v>
      </c>
      <c r="E11" s="206">
        <v>1</v>
      </c>
      <c r="F11" s="207"/>
      <c r="G11" s="207">
        <f t="shared" ref="G11:G12" si="1">+ROUND(E11*F11,0)</f>
        <v>0</v>
      </c>
      <c r="H11" s="208">
        <v>0.33</v>
      </c>
      <c r="I11" s="209">
        <f t="shared" ref="I11:I12" si="2">(F11*(1+H11))</f>
        <v>0</v>
      </c>
      <c r="J11" s="210">
        <f t="shared" si="0"/>
        <v>0</v>
      </c>
      <c r="L11" s="211"/>
      <c r="M11" s="212"/>
    </row>
    <row r="12" spans="2:13" ht="31.2" x14ac:dyDescent="0.3">
      <c r="B12" s="203">
        <v>1.3</v>
      </c>
      <c r="C12" s="226" t="s">
        <v>256</v>
      </c>
      <c r="D12" s="205" t="s">
        <v>19</v>
      </c>
      <c r="E12" s="206">
        <v>3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  <c r="M12" s="212"/>
    </row>
    <row r="13" spans="2:13" x14ac:dyDescent="0.3">
      <c r="B13" s="203">
        <v>1.4</v>
      </c>
      <c r="C13" s="226" t="s">
        <v>18</v>
      </c>
      <c r="D13" s="228" t="s">
        <v>19</v>
      </c>
      <c r="E13" s="206">
        <v>1</v>
      </c>
      <c r="F13" s="207"/>
      <c r="G13" s="207">
        <f>+ROUND(E13*F13,0)</f>
        <v>0</v>
      </c>
      <c r="H13" s="208">
        <v>0.33</v>
      </c>
      <c r="I13" s="209">
        <f>(F13*(1+H13))</f>
        <v>0</v>
      </c>
      <c r="J13" s="210">
        <f t="shared" si="0"/>
        <v>0</v>
      </c>
      <c r="K13" s="121"/>
      <c r="L13" s="211"/>
      <c r="M13" s="212"/>
    </row>
    <row r="14" spans="2:13" x14ac:dyDescent="0.3">
      <c r="B14" s="203">
        <v>1.5</v>
      </c>
      <c r="C14" s="226" t="s">
        <v>20</v>
      </c>
      <c r="D14" s="228" t="s">
        <v>19</v>
      </c>
      <c r="E14" s="206">
        <v>1</v>
      </c>
      <c r="F14" s="207"/>
      <c r="G14" s="207">
        <f t="shared" ref="G14:G15" si="3">+ROUND(E14*F14,0)</f>
        <v>0</v>
      </c>
      <c r="H14" s="208">
        <v>0.33</v>
      </c>
      <c r="I14" s="209">
        <f t="shared" ref="I14:I15" si="4">(F14*(1+H14))</f>
        <v>0</v>
      </c>
      <c r="J14" s="210">
        <f t="shared" si="0"/>
        <v>0</v>
      </c>
      <c r="K14" s="121"/>
      <c r="L14" s="211"/>
      <c r="M14" s="212"/>
    </row>
    <row r="15" spans="2:13" ht="79.95" customHeight="1" thickBot="1" x14ac:dyDescent="0.35">
      <c r="B15" s="264">
        <v>1.6</v>
      </c>
      <c r="C15" s="251" t="s">
        <v>245</v>
      </c>
      <c r="D15" s="231" t="s">
        <v>65</v>
      </c>
      <c r="E15" s="232">
        <v>6</v>
      </c>
      <c r="F15" s="233"/>
      <c r="G15" s="233">
        <f t="shared" si="3"/>
        <v>0</v>
      </c>
      <c r="H15" s="234">
        <v>0.33</v>
      </c>
      <c r="I15" s="235">
        <f t="shared" si="4"/>
        <v>0</v>
      </c>
      <c r="J15" s="236">
        <f t="shared" si="0"/>
        <v>0</v>
      </c>
      <c r="K15" s="121"/>
      <c r="L15" s="211"/>
      <c r="M15" s="212"/>
    </row>
    <row r="16" spans="2:13" x14ac:dyDescent="0.3">
      <c r="B16" s="121"/>
      <c r="C16" s="122"/>
      <c r="D16" s="123"/>
      <c r="E16" s="238"/>
      <c r="F16" s="239"/>
      <c r="G16" s="239"/>
      <c r="H16" s="252"/>
      <c r="I16" s="133"/>
      <c r="J16" s="133"/>
      <c r="K16" s="121"/>
      <c r="L16" s="211"/>
    </row>
    <row r="17" spans="2:16" s="119" customFormat="1" ht="18" customHeight="1" x14ac:dyDescent="0.3">
      <c r="B17" s="253"/>
      <c r="C17" s="118"/>
      <c r="D17" s="121"/>
      <c r="E17" s="124"/>
      <c r="F17" s="125"/>
      <c r="G17" s="125"/>
      <c r="H17" s="125"/>
      <c r="I17" s="125"/>
      <c r="J17" s="254"/>
      <c r="L17" s="211"/>
      <c r="M17" s="117"/>
      <c r="N17" s="126"/>
      <c r="O17" s="126"/>
      <c r="P17" s="126"/>
    </row>
    <row r="18" spans="2:16" x14ac:dyDescent="0.3">
      <c r="B18" s="242"/>
      <c r="C18" s="243"/>
      <c r="D18" s="483" t="s">
        <v>29</v>
      </c>
      <c r="E18" s="483"/>
      <c r="F18" s="483"/>
      <c r="G18" s="255">
        <f>SUM(G8:G16)</f>
        <v>0</v>
      </c>
      <c r="H18" s="245"/>
      <c r="I18" s="141"/>
      <c r="J18" s="256">
        <f>SUM(J10:J15)</f>
        <v>0</v>
      </c>
      <c r="L18" s="265"/>
      <c r="M18" s="142"/>
    </row>
    <row r="19" spans="2:16" x14ac:dyDescent="0.3">
      <c r="L19" s="119"/>
    </row>
    <row r="20" spans="2:16" x14ac:dyDescent="0.3">
      <c r="L20" s="469"/>
      <c r="M20" s="142"/>
    </row>
  </sheetData>
  <mergeCells count="10">
    <mergeCell ref="B7:J7"/>
    <mergeCell ref="D18:F18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6CA2-1A59-47AB-A8A8-2BEC18ECC61A}">
  <sheetPr>
    <tabColor rgb="FF92D050"/>
  </sheetPr>
  <dimension ref="B1:P34"/>
  <sheetViews>
    <sheetView view="pageBreakPreview" topLeftCell="A18" zoomScale="60" zoomScaleNormal="70" workbookViewId="0">
      <selection activeCell="A33" sqref="A33:XFD711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35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3.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1.2" customHeight="1" x14ac:dyDescent="0.3">
      <c r="B10" s="203">
        <v>1.1000000000000001</v>
      </c>
      <c r="C10" s="226" t="s">
        <v>231</v>
      </c>
      <c r="D10" s="205" t="s">
        <v>40</v>
      </c>
      <c r="E10" s="206">
        <v>255.21</v>
      </c>
      <c r="F10" s="207"/>
      <c r="G10" s="207">
        <f>(E10*F10)</f>
        <v>0</v>
      </c>
      <c r="H10" s="208">
        <v>0.33</v>
      </c>
      <c r="I10" s="209">
        <f>(F10*(1+H10))</f>
        <v>0</v>
      </c>
      <c r="J10" s="210">
        <f t="shared" ref="J10:J29" si="0">ROUND(I10*E10,0)</f>
        <v>0</v>
      </c>
      <c r="L10" s="211"/>
      <c r="M10" s="212"/>
    </row>
    <row r="11" spans="2:13" ht="31.95" customHeight="1" x14ac:dyDescent="0.3">
      <c r="B11" s="203">
        <v>1.2</v>
      </c>
      <c r="C11" s="204" t="s">
        <v>232</v>
      </c>
      <c r="D11" s="205" t="s">
        <v>40</v>
      </c>
      <c r="E11" s="206">
        <f>+E10</f>
        <v>255.21</v>
      </c>
      <c r="F11" s="207"/>
      <c r="G11" s="207">
        <f t="shared" ref="G11:G29" si="1">+ROUND(E11*F11,0)</f>
        <v>0</v>
      </c>
      <c r="H11" s="208">
        <v>0.33</v>
      </c>
      <c r="I11" s="209">
        <f t="shared" ref="I11:I29" si="2">(F11*(1+H11))</f>
        <v>0</v>
      </c>
      <c r="J11" s="210">
        <f t="shared" si="0"/>
        <v>0</v>
      </c>
      <c r="L11" s="211"/>
      <c r="M11" s="212"/>
    </row>
    <row r="12" spans="2:13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  <c r="M12" s="212"/>
    </row>
    <row r="13" spans="2:13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  <c r="M13" s="212"/>
    </row>
    <row r="14" spans="2:13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24"/>
    </row>
    <row r="15" spans="2:13" ht="62.4" x14ac:dyDescent="0.3">
      <c r="B15" s="225">
        <v>2.1</v>
      </c>
      <c r="C15" s="226" t="s">
        <v>235</v>
      </c>
      <c r="D15" s="205" t="s">
        <v>40</v>
      </c>
      <c r="E15" s="206">
        <v>255.21</v>
      </c>
      <c r="F15" s="207"/>
      <c r="G15" s="207">
        <f t="shared" si="1"/>
        <v>0</v>
      </c>
      <c r="H15" s="208">
        <v>0.33</v>
      </c>
      <c r="I15" s="209">
        <f t="shared" si="2"/>
        <v>0</v>
      </c>
      <c r="J15" s="210">
        <f t="shared" si="0"/>
        <v>0</v>
      </c>
      <c r="K15" s="121"/>
      <c r="L15" s="211"/>
      <c r="M15" s="212"/>
    </row>
    <row r="16" spans="2:13" ht="46.8" x14ac:dyDescent="0.3">
      <c r="B16" s="225">
        <v>2.2000000000000002</v>
      </c>
      <c r="C16" s="226" t="s">
        <v>236</v>
      </c>
      <c r="D16" s="205" t="s">
        <v>371</v>
      </c>
      <c r="E16" s="206">
        <v>23.5</v>
      </c>
      <c r="F16" s="207"/>
      <c r="G16" s="207">
        <f t="shared" si="1"/>
        <v>0</v>
      </c>
      <c r="H16" s="208">
        <v>0.33</v>
      </c>
      <c r="I16" s="209">
        <f t="shared" si="2"/>
        <v>0</v>
      </c>
      <c r="J16" s="210">
        <f t="shared" si="0"/>
        <v>0</v>
      </c>
      <c r="K16" s="121"/>
      <c r="L16" s="211"/>
      <c r="M16" s="212"/>
    </row>
    <row r="17" spans="2:16" ht="69.599999999999994" customHeight="1" x14ac:dyDescent="0.3">
      <c r="B17" s="225">
        <v>2.2999999999999998</v>
      </c>
      <c r="C17" s="226" t="s">
        <v>246</v>
      </c>
      <c r="D17" s="228" t="s">
        <v>39</v>
      </c>
      <c r="E17" s="206">
        <v>188</v>
      </c>
      <c r="F17" s="207"/>
      <c r="G17" s="207">
        <f t="shared" si="1"/>
        <v>0</v>
      </c>
      <c r="H17" s="208">
        <v>0.33</v>
      </c>
      <c r="I17" s="209">
        <f t="shared" si="2"/>
        <v>0</v>
      </c>
      <c r="J17" s="210">
        <f t="shared" si="0"/>
        <v>0</v>
      </c>
      <c r="K17" s="121"/>
      <c r="L17" s="211"/>
      <c r="M17" s="212"/>
    </row>
    <row r="18" spans="2:16" ht="46.8" x14ac:dyDescent="0.3">
      <c r="B18" s="225">
        <v>2.5</v>
      </c>
      <c r="C18" s="226" t="s">
        <v>247</v>
      </c>
      <c r="D18" s="205" t="s">
        <v>39</v>
      </c>
      <c r="E18" s="266">
        <f>11.5*2</f>
        <v>23</v>
      </c>
      <c r="F18" s="207"/>
      <c r="G18" s="207">
        <f t="shared" si="1"/>
        <v>0</v>
      </c>
      <c r="H18" s="208">
        <v>0.33</v>
      </c>
      <c r="I18" s="209">
        <f t="shared" si="2"/>
        <v>0</v>
      </c>
      <c r="J18" s="210">
        <f t="shared" si="0"/>
        <v>0</v>
      </c>
      <c r="K18" s="121"/>
      <c r="L18" s="211"/>
      <c r="M18" s="212"/>
    </row>
    <row r="19" spans="2:16" s="249" customFormat="1" x14ac:dyDescent="0.3">
      <c r="B19" s="213">
        <v>3</v>
      </c>
      <c r="C19" s="214" t="s">
        <v>28</v>
      </c>
      <c r="D19" s="215"/>
      <c r="E19" s="216"/>
      <c r="F19" s="217"/>
      <c r="G19" s="218"/>
      <c r="H19" s="219"/>
      <c r="I19" s="220"/>
      <c r="J19" s="221"/>
      <c r="K19" s="250"/>
      <c r="L19" s="223"/>
      <c r="M19" s="224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31.92</v>
      </c>
      <c r="F20" s="207"/>
      <c r="G20" s="207">
        <f t="shared" si="1"/>
        <v>0</v>
      </c>
      <c r="H20" s="208">
        <v>0.33</v>
      </c>
      <c r="I20" s="209">
        <f t="shared" si="2"/>
        <v>0</v>
      </c>
      <c r="J20" s="210">
        <f t="shared" si="0"/>
        <v>0</v>
      </c>
      <c r="K20" s="121"/>
      <c r="L20" s="211"/>
      <c r="M20" s="212"/>
    </row>
    <row r="21" spans="2:16" ht="32.25" customHeight="1" x14ac:dyDescent="0.3">
      <c r="B21" s="225">
        <v>3.2</v>
      </c>
      <c r="C21" s="204" t="s">
        <v>240</v>
      </c>
      <c r="D21" s="205" t="s">
        <v>40</v>
      </c>
      <c r="E21" s="206">
        <f>10.64*1.5</f>
        <v>15.96</v>
      </c>
      <c r="F21" s="207"/>
      <c r="G21" s="207">
        <f t="shared" si="1"/>
        <v>0</v>
      </c>
      <c r="H21" s="208">
        <v>0.33</v>
      </c>
      <c r="I21" s="209">
        <f t="shared" si="2"/>
        <v>0</v>
      </c>
      <c r="J21" s="210">
        <f t="shared" si="0"/>
        <v>0</v>
      </c>
      <c r="K21" s="121"/>
      <c r="L21" s="211"/>
      <c r="M21" s="212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24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2</v>
      </c>
      <c r="F23" s="207"/>
      <c r="G23" s="207">
        <f t="shared" si="1"/>
        <v>0</v>
      </c>
      <c r="H23" s="208">
        <v>0.33</v>
      </c>
      <c r="I23" s="209">
        <f t="shared" si="2"/>
        <v>0</v>
      </c>
      <c r="J23" s="210">
        <f t="shared" si="0"/>
        <v>0</v>
      </c>
      <c r="K23" s="121"/>
      <c r="L23" s="211"/>
      <c r="M23" s="212"/>
    </row>
    <row r="24" spans="2:16" ht="75" customHeight="1" x14ac:dyDescent="0.3">
      <c r="B24" s="225">
        <v>4.2</v>
      </c>
      <c r="C24" s="227" t="s">
        <v>243</v>
      </c>
      <c r="D24" s="228" t="s">
        <v>19</v>
      </c>
      <c r="E24" s="206">
        <v>8</v>
      </c>
      <c r="F24" s="207"/>
      <c r="G24" s="207">
        <f t="shared" si="1"/>
        <v>0</v>
      </c>
      <c r="H24" s="208">
        <v>0.33</v>
      </c>
      <c r="I24" s="209">
        <f t="shared" si="2"/>
        <v>0</v>
      </c>
      <c r="J24" s="210">
        <f t="shared" si="0"/>
        <v>0</v>
      </c>
      <c r="K24" s="121"/>
      <c r="L24" s="211"/>
      <c r="M24" s="212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1"/>
        <v>0</v>
      </c>
      <c r="H25" s="208">
        <v>0.33</v>
      </c>
      <c r="I25" s="209">
        <f t="shared" si="2"/>
        <v>0</v>
      </c>
      <c r="J25" s="210">
        <f t="shared" si="0"/>
        <v>0</v>
      </c>
      <c r="K25" s="121"/>
      <c r="L25" s="211"/>
      <c r="M25" s="212"/>
    </row>
    <row r="26" spans="2:16" s="202" customFormat="1" x14ac:dyDescent="0.3">
      <c r="B26" s="213">
        <v>5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24"/>
    </row>
    <row r="27" spans="2:16" x14ac:dyDescent="0.3">
      <c r="B27" s="225">
        <v>5.0999999999999996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1"/>
        <v>0</v>
      </c>
      <c r="H27" s="208">
        <v>0.33</v>
      </c>
      <c r="I27" s="209">
        <f t="shared" si="2"/>
        <v>0</v>
      </c>
      <c r="J27" s="210">
        <f t="shared" si="0"/>
        <v>0</v>
      </c>
      <c r="K27" s="121"/>
      <c r="L27" s="211"/>
      <c r="M27" s="212"/>
    </row>
    <row r="28" spans="2:16" x14ac:dyDescent="0.3">
      <c r="B28" s="225">
        <v>5.2</v>
      </c>
      <c r="C28" s="226" t="s">
        <v>20</v>
      </c>
      <c r="D28" s="228" t="s">
        <v>19</v>
      </c>
      <c r="E28" s="206">
        <v>1</v>
      </c>
      <c r="F28" s="207"/>
      <c r="G28" s="207">
        <f t="shared" si="1"/>
        <v>0</v>
      </c>
      <c r="H28" s="208">
        <v>0.33</v>
      </c>
      <c r="I28" s="209">
        <f t="shared" si="2"/>
        <v>0</v>
      </c>
      <c r="J28" s="210">
        <f t="shared" si="0"/>
        <v>0</v>
      </c>
      <c r="K28" s="121"/>
      <c r="L28" s="211"/>
      <c r="M28" s="212"/>
    </row>
    <row r="29" spans="2:16" ht="80.400000000000006" customHeight="1" thickBot="1" x14ac:dyDescent="0.35">
      <c r="B29" s="229">
        <v>5.3</v>
      </c>
      <c r="C29" s="251" t="s">
        <v>245</v>
      </c>
      <c r="D29" s="231" t="s">
        <v>65</v>
      </c>
      <c r="E29" s="232">
        <v>6</v>
      </c>
      <c r="F29" s="233"/>
      <c r="G29" s="233">
        <f t="shared" si="1"/>
        <v>0</v>
      </c>
      <c r="H29" s="234">
        <v>0.33</v>
      </c>
      <c r="I29" s="235">
        <f t="shared" si="2"/>
        <v>0</v>
      </c>
      <c r="J29" s="236">
        <f t="shared" si="0"/>
        <v>0</v>
      </c>
      <c r="K29" s="121"/>
      <c r="L29" s="211"/>
      <c r="M29" s="212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16" s="119" customFormat="1" ht="18" customHeight="1" x14ac:dyDescent="0.3">
      <c r="B31" s="253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16" x14ac:dyDescent="0.3">
      <c r="B32" s="242"/>
      <c r="C32" s="243"/>
      <c r="D32" s="483" t="s">
        <v>31</v>
      </c>
      <c r="E32" s="483"/>
      <c r="F32" s="483"/>
      <c r="G32" s="255">
        <f>SUM(G8:G30)</f>
        <v>0</v>
      </c>
      <c r="H32" s="245"/>
      <c r="I32" s="141"/>
      <c r="J32" s="256">
        <f>SUM(J9:J29)</f>
        <v>0</v>
      </c>
      <c r="L32" s="133"/>
      <c r="M32" s="133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C768D-D6D8-4A16-A278-66A1C4393E85}">
  <sheetPr>
    <tabColor rgb="FF92D050"/>
  </sheetPr>
  <dimension ref="A1:P87"/>
  <sheetViews>
    <sheetView view="pageBreakPreview" topLeftCell="A71" zoomScale="60" zoomScaleNormal="70" workbookViewId="0">
      <selection activeCell="M17" sqref="M17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37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ht="23.25" customHeight="1" thickBot="1" x14ac:dyDescent="0.35">
      <c r="B8" s="530" t="s">
        <v>38</v>
      </c>
      <c r="C8" s="531"/>
      <c r="D8" s="531"/>
      <c r="E8" s="531"/>
      <c r="F8" s="531"/>
      <c r="G8" s="531"/>
      <c r="H8" s="531"/>
      <c r="I8" s="531"/>
      <c r="J8" s="532"/>
      <c r="K8" s="121"/>
      <c r="L8" s="211"/>
    </row>
    <row r="9" spans="2:13" s="119" customFormat="1" ht="45" customHeight="1" thickBot="1" x14ac:dyDescent="0.35">
      <c r="B9" s="267" t="s">
        <v>6</v>
      </c>
      <c r="C9" s="268" t="s">
        <v>7</v>
      </c>
      <c r="D9" s="269" t="s">
        <v>8</v>
      </c>
      <c r="E9" s="270" t="s">
        <v>9</v>
      </c>
      <c r="F9" s="271" t="s">
        <v>10</v>
      </c>
      <c r="G9" s="272" t="s">
        <v>11</v>
      </c>
      <c r="H9" s="272" t="s">
        <v>12</v>
      </c>
      <c r="I9" s="272" t="s">
        <v>13</v>
      </c>
      <c r="J9" s="273" t="s">
        <v>14</v>
      </c>
      <c r="L9" s="211"/>
      <c r="M9" s="117"/>
    </row>
    <row r="10" spans="2:13" s="202" customFormat="1" ht="14.25" customHeight="1" x14ac:dyDescent="0.3">
      <c r="B10" s="195">
        <v>1</v>
      </c>
      <c r="C10" s="248" t="s">
        <v>15</v>
      </c>
      <c r="D10" s="197"/>
      <c r="E10" s="198"/>
      <c r="F10" s="199"/>
      <c r="G10" s="199"/>
      <c r="H10" s="200"/>
      <c r="I10" s="196"/>
      <c r="J10" s="201"/>
      <c r="K10" s="222"/>
      <c r="L10" s="223"/>
      <c r="M10" s="249"/>
    </row>
    <row r="11" spans="2:13" ht="34.5" customHeight="1" x14ac:dyDescent="0.3">
      <c r="B11" s="203">
        <v>1.1000000000000001</v>
      </c>
      <c r="C11" s="274" t="s">
        <v>234</v>
      </c>
      <c r="D11" s="205" t="s">
        <v>39</v>
      </c>
      <c r="E11" s="206">
        <v>16.899999999999999</v>
      </c>
      <c r="F11" s="207"/>
      <c r="G11" s="207">
        <f>+ROUND(E11*F11,0)</f>
        <v>0</v>
      </c>
      <c r="H11" s="208">
        <v>0.33</v>
      </c>
      <c r="I11" s="209">
        <f>(F11*(1+H11))</f>
        <v>0</v>
      </c>
      <c r="J11" s="210">
        <f>ROUND(I11*E11,0)</f>
        <v>0</v>
      </c>
      <c r="K11" s="121"/>
      <c r="L11" s="211"/>
      <c r="M11" s="142"/>
    </row>
    <row r="12" spans="2:13" ht="25.5" customHeight="1" x14ac:dyDescent="0.3">
      <c r="B12" s="203">
        <v>1.2</v>
      </c>
      <c r="C12" s="274" t="s">
        <v>257</v>
      </c>
      <c r="D12" s="205" t="s">
        <v>40</v>
      </c>
      <c r="E12" s="206">
        <v>36.840000000000003</v>
      </c>
      <c r="F12" s="207"/>
      <c r="G12" s="207">
        <f t="shared" ref="G12:G43" si="0">+ROUND(E12*F12,0)</f>
        <v>0</v>
      </c>
      <c r="H12" s="208">
        <v>0.33</v>
      </c>
      <c r="I12" s="209">
        <f t="shared" ref="I12:I43" si="1">(F12*(1+H12))</f>
        <v>0</v>
      </c>
      <c r="J12" s="210">
        <f t="shared" ref="J12:J43" si="2">ROUND(I12*E12,0)</f>
        <v>0</v>
      </c>
      <c r="K12" s="121"/>
      <c r="L12" s="211"/>
      <c r="M12" s="142"/>
    </row>
    <row r="13" spans="2:13" ht="23.25" customHeight="1" x14ac:dyDescent="0.3">
      <c r="B13" s="203">
        <v>1.3</v>
      </c>
      <c r="C13" s="274" t="s">
        <v>258</v>
      </c>
      <c r="D13" s="205" t="s">
        <v>40</v>
      </c>
      <c r="E13" s="206">
        <v>5.75</v>
      </c>
      <c r="F13" s="207"/>
      <c r="G13" s="207">
        <f t="shared" si="0"/>
        <v>0</v>
      </c>
      <c r="H13" s="208">
        <v>0.33</v>
      </c>
      <c r="I13" s="209">
        <f t="shared" si="1"/>
        <v>0</v>
      </c>
      <c r="J13" s="210">
        <f t="shared" si="2"/>
        <v>0</v>
      </c>
      <c r="K13" s="121"/>
      <c r="L13" s="211"/>
      <c r="M13" s="142"/>
    </row>
    <row r="14" spans="2:13" ht="34.950000000000003" customHeight="1" x14ac:dyDescent="0.3">
      <c r="B14" s="203">
        <v>1.4</v>
      </c>
      <c r="C14" s="274" t="s">
        <v>259</v>
      </c>
      <c r="D14" s="205" t="s">
        <v>19</v>
      </c>
      <c r="E14" s="206">
        <v>4</v>
      </c>
      <c r="F14" s="207"/>
      <c r="G14" s="207">
        <f t="shared" si="0"/>
        <v>0</v>
      </c>
      <c r="H14" s="208">
        <v>0.33</v>
      </c>
      <c r="I14" s="209">
        <f t="shared" si="1"/>
        <v>0</v>
      </c>
      <c r="J14" s="210">
        <f t="shared" si="2"/>
        <v>0</v>
      </c>
      <c r="K14" s="121"/>
      <c r="L14" s="211"/>
      <c r="M14" s="142"/>
    </row>
    <row r="15" spans="2:13" ht="36.6" customHeight="1" x14ac:dyDescent="0.3">
      <c r="B15" s="203">
        <v>1.5</v>
      </c>
      <c r="C15" s="274" t="s">
        <v>231</v>
      </c>
      <c r="D15" s="205" t="s">
        <v>40</v>
      </c>
      <c r="E15" s="206">
        <v>26.700000000000003</v>
      </c>
      <c r="F15" s="207"/>
      <c r="G15" s="207">
        <f t="shared" si="0"/>
        <v>0</v>
      </c>
      <c r="H15" s="208">
        <v>0.33</v>
      </c>
      <c r="I15" s="209">
        <f t="shared" si="1"/>
        <v>0</v>
      </c>
      <c r="J15" s="210">
        <f t="shared" si="2"/>
        <v>0</v>
      </c>
      <c r="K15" s="121"/>
      <c r="L15" s="211"/>
      <c r="M15" s="142"/>
    </row>
    <row r="16" spans="2:13" s="202" customFormat="1" x14ac:dyDescent="0.3">
      <c r="B16" s="213">
        <v>2</v>
      </c>
      <c r="C16" s="214" t="s">
        <v>41</v>
      </c>
      <c r="D16" s="215"/>
      <c r="E16" s="216"/>
      <c r="F16" s="217"/>
      <c r="G16" s="218"/>
      <c r="H16" s="219"/>
      <c r="I16" s="220"/>
      <c r="J16" s="221"/>
      <c r="K16" s="222"/>
      <c r="L16" s="223"/>
      <c r="M16" s="275"/>
    </row>
    <row r="17" spans="1:15" s="119" customFormat="1" ht="34.5" customHeight="1" x14ac:dyDescent="0.3">
      <c r="B17" s="225">
        <v>2.1</v>
      </c>
      <c r="C17" s="226" t="s">
        <v>260</v>
      </c>
      <c r="D17" s="228" t="s">
        <v>19</v>
      </c>
      <c r="E17" s="206">
        <v>2</v>
      </c>
      <c r="F17" s="207"/>
      <c r="G17" s="207">
        <f t="shared" si="0"/>
        <v>0</v>
      </c>
      <c r="H17" s="208">
        <v>0.33</v>
      </c>
      <c r="I17" s="209">
        <f t="shared" si="1"/>
        <v>0</v>
      </c>
      <c r="J17" s="210">
        <f t="shared" si="2"/>
        <v>0</v>
      </c>
      <c r="K17" s="126"/>
      <c r="L17" s="211"/>
      <c r="M17" s="142"/>
    </row>
    <row r="18" spans="1:15" s="119" customFormat="1" ht="34.5" customHeight="1" x14ac:dyDescent="0.3">
      <c r="B18" s="225">
        <v>2.2000000000000002</v>
      </c>
      <c r="C18" s="226" t="s">
        <v>261</v>
      </c>
      <c r="D18" s="228" t="s">
        <v>19</v>
      </c>
      <c r="E18" s="206">
        <v>2</v>
      </c>
      <c r="F18" s="207"/>
      <c r="G18" s="207">
        <f t="shared" si="0"/>
        <v>0</v>
      </c>
      <c r="H18" s="208">
        <v>0.33</v>
      </c>
      <c r="I18" s="209">
        <f t="shared" si="1"/>
        <v>0</v>
      </c>
      <c r="J18" s="210">
        <f t="shared" si="2"/>
        <v>0</v>
      </c>
      <c r="K18" s="126"/>
      <c r="L18" s="211"/>
      <c r="M18" s="142"/>
    </row>
    <row r="19" spans="1:15" s="119" customFormat="1" ht="34.5" customHeight="1" x14ac:dyDescent="0.3">
      <c r="B19" s="225">
        <v>2.2999999999999998</v>
      </c>
      <c r="C19" s="226" t="s">
        <v>262</v>
      </c>
      <c r="D19" s="228" t="s">
        <v>19</v>
      </c>
      <c r="E19" s="206">
        <v>3</v>
      </c>
      <c r="F19" s="207"/>
      <c r="G19" s="207">
        <f t="shared" si="0"/>
        <v>0</v>
      </c>
      <c r="H19" s="208">
        <v>0.33</v>
      </c>
      <c r="I19" s="209">
        <f t="shared" si="1"/>
        <v>0</v>
      </c>
      <c r="J19" s="210">
        <f t="shared" si="2"/>
        <v>0</v>
      </c>
      <c r="K19" s="126"/>
      <c r="L19" s="211"/>
      <c r="M19" s="142"/>
    </row>
    <row r="20" spans="1:15" s="119" customFormat="1" ht="34.5" customHeight="1" x14ac:dyDescent="0.3">
      <c r="B20" s="225">
        <v>2.4</v>
      </c>
      <c r="C20" s="226" t="s">
        <v>263</v>
      </c>
      <c r="D20" s="228" t="s">
        <v>39</v>
      </c>
      <c r="E20" s="206">
        <v>3</v>
      </c>
      <c r="F20" s="207"/>
      <c r="G20" s="207">
        <f t="shared" si="0"/>
        <v>0</v>
      </c>
      <c r="H20" s="208">
        <v>0.33</v>
      </c>
      <c r="I20" s="209">
        <f t="shared" si="1"/>
        <v>0</v>
      </c>
      <c r="J20" s="210">
        <f t="shared" si="2"/>
        <v>0</v>
      </c>
      <c r="K20" s="126"/>
      <c r="L20" s="211"/>
      <c r="M20" s="142"/>
    </row>
    <row r="21" spans="1:15" s="119" customFormat="1" ht="34.5" customHeight="1" x14ac:dyDescent="0.3">
      <c r="B21" s="225">
        <v>2.5</v>
      </c>
      <c r="C21" s="226" t="s">
        <v>264</v>
      </c>
      <c r="D21" s="228" t="s">
        <v>39</v>
      </c>
      <c r="E21" s="206">
        <v>8</v>
      </c>
      <c r="F21" s="207"/>
      <c r="G21" s="207">
        <f t="shared" si="0"/>
        <v>0</v>
      </c>
      <c r="H21" s="208">
        <v>0.33</v>
      </c>
      <c r="I21" s="209">
        <f t="shared" si="1"/>
        <v>0</v>
      </c>
      <c r="J21" s="210">
        <f t="shared" si="2"/>
        <v>0</v>
      </c>
      <c r="K21" s="126"/>
      <c r="L21" s="211"/>
      <c r="M21" s="142"/>
    </row>
    <row r="22" spans="1:15" s="261" customFormat="1" ht="18" customHeight="1" x14ac:dyDescent="0.3">
      <c r="B22" s="213">
        <v>3</v>
      </c>
      <c r="C22" s="276" t="s">
        <v>42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75"/>
    </row>
    <row r="23" spans="1:15" s="119" customFormat="1" ht="48.6" customHeight="1" x14ac:dyDescent="0.3">
      <c r="A23" s="117"/>
      <c r="B23" s="225">
        <v>3.1</v>
      </c>
      <c r="C23" s="226" t="s">
        <v>265</v>
      </c>
      <c r="D23" s="228" t="s">
        <v>19</v>
      </c>
      <c r="E23" s="206">
        <v>4</v>
      </c>
      <c r="F23" s="207"/>
      <c r="G23" s="207">
        <f t="shared" si="0"/>
        <v>0</v>
      </c>
      <c r="H23" s="208">
        <v>0.33</v>
      </c>
      <c r="I23" s="209">
        <f t="shared" si="1"/>
        <v>0</v>
      </c>
      <c r="J23" s="210">
        <f t="shared" si="2"/>
        <v>0</v>
      </c>
      <c r="K23" s="121"/>
      <c r="L23" s="211"/>
      <c r="M23" s="142"/>
      <c r="N23" s="117"/>
      <c r="O23" s="117"/>
    </row>
    <row r="24" spans="1:15" s="202" customFormat="1" x14ac:dyDescent="0.3">
      <c r="B24" s="213">
        <v>4</v>
      </c>
      <c r="C24" s="214" t="s">
        <v>43</v>
      </c>
      <c r="D24" s="215"/>
      <c r="E24" s="216"/>
      <c r="F24" s="217"/>
      <c r="G24" s="218"/>
      <c r="H24" s="219"/>
      <c r="I24" s="220"/>
      <c r="J24" s="221"/>
      <c r="K24" s="222"/>
      <c r="L24" s="223"/>
      <c r="M24" s="275"/>
    </row>
    <row r="25" spans="1:15" s="119" customFormat="1" ht="48.6" customHeight="1" x14ac:dyDescent="0.3">
      <c r="B25" s="225">
        <v>4.0999999999999996</v>
      </c>
      <c r="C25" s="226" t="s">
        <v>266</v>
      </c>
      <c r="D25" s="228" t="s">
        <v>19</v>
      </c>
      <c r="E25" s="206">
        <v>8</v>
      </c>
      <c r="F25" s="207"/>
      <c r="G25" s="207">
        <f t="shared" si="0"/>
        <v>0</v>
      </c>
      <c r="H25" s="208">
        <v>0.33</v>
      </c>
      <c r="I25" s="209">
        <f t="shared" si="1"/>
        <v>0</v>
      </c>
      <c r="J25" s="210">
        <f t="shared" si="2"/>
        <v>0</v>
      </c>
      <c r="K25" s="126"/>
      <c r="L25" s="211"/>
      <c r="M25" s="142"/>
    </row>
    <row r="26" spans="1:15" ht="51.6" customHeight="1" x14ac:dyDescent="0.3">
      <c r="B26" s="225">
        <v>4.2</v>
      </c>
      <c r="C26" s="226" t="s">
        <v>267</v>
      </c>
      <c r="D26" s="228" t="s">
        <v>19</v>
      </c>
      <c r="E26" s="206">
        <v>6</v>
      </c>
      <c r="F26" s="207"/>
      <c r="G26" s="207">
        <f t="shared" si="0"/>
        <v>0</v>
      </c>
      <c r="H26" s="208">
        <v>0.33</v>
      </c>
      <c r="I26" s="209">
        <f t="shared" si="1"/>
        <v>0</v>
      </c>
      <c r="J26" s="210">
        <f t="shared" si="2"/>
        <v>0</v>
      </c>
      <c r="K26" s="121"/>
      <c r="L26" s="211"/>
      <c r="M26" s="142"/>
    </row>
    <row r="27" spans="1:15" s="202" customFormat="1" x14ac:dyDescent="0.3">
      <c r="B27" s="213">
        <v>5</v>
      </c>
      <c r="C27" s="214" t="s">
        <v>44</v>
      </c>
      <c r="D27" s="215"/>
      <c r="E27" s="216"/>
      <c r="F27" s="217"/>
      <c r="G27" s="218"/>
      <c r="H27" s="219"/>
      <c r="I27" s="220"/>
      <c r="J27" s="221"/>
      <c r="K27" s="222"/>
      <c r="L27" s="223"/>
      <c r="M27" s="275"/>
    </row>
    <row r="28" spans="1:15" ht="31.95" customHeight="1" x14ac:dyDescent="0.3">
      <c r="B28" s="225">
        <v>5.0999999999999996</v>
      </c>
      <c r="C28" s="226" t="s">
        <v>253</v>
      </c>
      <c r="D28" s="228" t="s">
        <v>40</v>
      </c>
      <c r="E28" s="206">
        <v>23.799999999999997</v>
      </c>
      <c r="F28" s="207"/>
      <c r="G28" s="207">
        <f t="shared" si="0"/>
        <v>0</v>
      </c>
      <c r="H28" s="208">
        <v>0.33</v>
      </c>
      <c r="I28" s="209">
        <f t="shared" si="1"/>
        <v>0</v>
      </c>
      <c r="J28" s="210">
        <f t="shared" si="2"/>
        <v>0</v>
      </c>
      <c r="K28" s="121"/>
      <c r="L28" s="211"/>
      <c r="M28" s="142"/>
    </row>
    <row r="29" spans="1:15" ht="50.4" customHeight="1" x14ac:dyDescent="0.3">
      <c r="B29" s="225">
        <v>5.2</v>
      </c>
      <c r="C29" s="226" t="s">
        <v>268</v>
      </c>
      <c r="D29" s="228" t="s">
        <v>40</v>
      </c>
      <c r="E29" s="206">
        <v>36.840000000000003</v>
      </c>
      <c r="F29" s="207"/>
      <c r="G29" s="207">
        <f t="shared" si="0"/>
        <v>0</v>
      </c>
      <c r="H29" s="208">
        <v>0.33</v>
      </c>
      <c r="I29" s="209">
        <f t="shared" si="1"/>
        <v>0</v>
      </c>
      <c r="J29" s="210">
        <f t="shared" si="2"/>
        <v>0</v>
      </c>
      <c r="K29" s="121"/>
      <c r="L29" s="211"/>
      <c r="M29" s="142"/>
    </row>
    <row r="30" spans="1:15" ht="45" customHeight="1" x14ac:dyDescent="0.3">
      <c r="B30" s="225">
        <v>5.3</v>
      </c>
      <c r="C30" s="226" t="s">
        <v>269</v>
      </c>
      <c r="D30" s="228" t="s">
        <v>40</v>
      </c>
      <c r="E30" s="206">
        <v>23.799999999999997</v>
      </c>
      <c r="F30" s="207"/>
      <c r="G30" s="207">
        <f t="shared" si="0"/>
        <v>0</v>
      </c>
      <c r="H30" s="208">
        <v>0.33</v>
      </c>
      <c r="I30" s="209">
        <f t="shared" si="1"/>
        <v>0</v>
      </c>
      <c r="J30" s="210">
        <f t="shared" si="2"/>
        <v>0</v>
      </c>
      <c r="K30" s="121"/>
      <c r="L30" s="211"/>
      <c r="M30" s="142"/>
    </row>
    <row r="31" spans="1:15" s="202" customFormat="1" x14ac:dyDescent="0.3">
      <c r="B31" s="213">
        <v>6</v>
      </c>
      <c r="C31" s="214" t="s">
        <v>45</v>
      </c>
      <c r="D31" s="215"/>
      <c r="E31" s="216"/>
      <c r="F31" s="217"/>
      <c r="G31" s="218"/>
      <c r="H31" s="219"/>
      <c r="I31" s="220"/>
      <c r="J31" s="221"/>
      <c r="K31" s="222"/>
      <c r="L31" s="223"/>
      <c r="M31" s="275"/>
    </row>
    <row r="32" spans="1:15" ht="81" customHeight="1" x14ac:dyDescent="0.3">
      <c r="B32" s="225">
        <v>6.1</v>
      </c>
      <c r="C32" s="226" t="s">
        <v>270</v>
      </c>
      <c r="D32" s="228" t="s">
        <v>19</v>
      </c>
      <c r="E32" s="206">
        <v>4</v>
      </c>
      <c r="F32" s="277"/>
      <c r="G32" s="207">
        <f t="shared" si="0"/>
        <v>0</v>
      </c>
      <c r="H32" s="208">
        <v>0.33</v>
      </c>
      <c r="I32" s="209">
        <f t="shared" si="1"/>
        <v>0</v>
      </c>
      <c r="J32" s="210">
        <f t="shared" si="2"/>
        <v>0</v>
      </c>
      <c r="K32" s="121"/>
      <c r="L32" s="211"/>
      <c r="M32" s="142"/>
    </row>
    <row r="33" spans="1:15" s="278" customFormat="1" ht="21" customHeight="1" x14ac:dyDescent="0.3">
      <c r="A33" s="261"/>
      <c r="B33" s="213">
        <v>7</v>
      </c>
      <c r="C33" s="276" t="s">
        <v>46</v>
      </c>
      <c r="D33" s="215"/>
      <c r="E33" s="216"/>
      <c r="F33" s="217"/>
      <c r="G33" s="218"/>
      <c r="H33" s="219"/>
      <c r="I33" s="220"/>
      <c r="J33" s="221"/>
      <c r="K33" s="222"/>
      <c r="L33" s="223"/>
      <c r="M33" s="275"/>
      <c r="N33" s="261"/>
      <c r="O33" s="261"/>
    </row>
    <row r="34" spans="1:15" ht="66.75" customHeight="1" x14ac:dyDescent="0.3">
      <c r="B34" s="225">
        <v>7.1</v>
      </c>
      <c r="C34" s="226" t="s">
        <v>235</v>
      </c>
      <c r="D34" s="228" t="s">
        <v>40</v>
      </c>
      <c r="E34" s="206">
        <f>E15</f>
        <v>26.700000000000003</v>
      </c>
      <c r="F34" s="207"/>
      <c r="G34" s="207">
        <f t="shared" si="0"/>
        <v>0</v>
      </c>
      <c r="H34" s="208">
        <v>0.33</v>
      </c>
      <c r="I34" s="209">
        <f t="shared" si="1"/>
        <v>0</v>
      </c>
      <c r="J34" s="210">
        <f t="shared" si="2"/>
        <v>0</v>
      </c>
      <c r="K34" s="121"/>
      <c r="L34" s="211"/>
      <c r="M34" s="142"/>
    </row>
    <row r="35" spans="1:15" s="249" customFormat="1" ht="22.5" customHeight="1" x14ac:dyDescent="0.3">
      <c r="A35" s="261"/>
      <c r="B35" s="213">
        <v>8</v>
      </c>
      <c r="C35" s="276" t="s">
        <v>47</v>
      </c>
      <c r="D35" s="215"/>
      <c r="E35" s="216"/>
      <c r="F35" s="217"/>
      <c r="G35" s="218"/>
      <c r="H35" s="219"/>
      <c r="I35" s="220"/>
      <c r="J35" s="221"/>
      <c r="K35" s="222"/>
      <c r="L35" s="223"/>
      <c r="M35" s="275"/>
      <c r="N35" s="261"/>
      <c r="O35" s="261"/>
    </row>
    <row r="36" spans="1:15" ht="31.2" x14ac:dyDescent="0.3">
      <c r="B36" s="225">
        <v>8.1</v>
      </c>
      <c r="C36" s="226" t="s">
        <v>271</v>
      </c>
      <c r="D36" s="228" t="s">
        <v>40</v>
      </c>
      <c r="E36" s="206">
        <f>2.5*2.5</f>
        <v>6.25</v>
      </c>
      <c r="F36" s="207"/>
      <c r="G36" s="207">
        <f t="shared" si="0"/>
        <v>0</v>
      </c>
      <c r="H36" s="208">
        <v>0.33</v>
      </c>
      <c r="I36" s="209">
        <f t="shared" si="1"/>
        <v>0</v>
      </c>
      <c r="J36" s="210">
        <f t="shared" si="2"/>
        <v>0</v>
      </c>
      <c r="K36" s="121"/>
      <c r="L36" s="211"/>
      <c r="M36" s="142"/>
    </row>
    <row r="37" spans="1:15" s="202" customFormat="1" x14ac:dyDescent="0.3">
      <c r="B37" s="213">
        <v>9</v>
      </c>
      <c r="C37" s="214" t="s">
        <v>48</v>
      </c>
      <c r="D37" s="215"/>
      <c r="E37" s="216"/>
      <c r="F37" s="217"/>
      <c r="G37" s="218"/>
      <c r="H37" s="219"/>
      <c r="I37" s="220"/>
      <c r="J37" s="221"/>
      <c r="K37" s="222"/>
      <c r="L37" s="223"/>
      <c r="M37" s="275"/>
    </row>
    <row r="38" spans="1:15" ht="31.2" x14ac:dyDescent="0.3">
      <c r="B38" s="225">
        <v>9.1</v>
      </c>
      <c r="C38" s="226" t="s">
        <v>272</v>
      </c>
      <c r="D38" s="228" t="s">
        <v>40</v>
      </c>
      <c r="E38" s="206">
        <v>44.6</v>
      </c>
      <c r="F38" s="207"/>
      <c r="G38" s="207">
        <f t="shared" si="0"/>
        <v>0</v>
      </c>
      <c r="H38" s="208">
        <v>0.33</v>
      </c>
      <c r="I38" s="209">
        <f t="shared" si="1"/>
        <v>0</v>
      </c>
      <c r="J38" s="210">
        <f t="shared" si="2"/>
        <v>0</v>
      </c>
      <c r="K38" s="121"/>
      <c r="L38" s="211"/>
      <c r="M38" s="142"/>
    </row>
    <row r="39" spans="1:15" ht="21" customHeight="1" x14ac:dyDescent="0.3">
      <c r="B39" s="225">
        <v>9.1999999999999993</v>
      </c>
      <c r="C39" s="226" t="s">
        <v>273</v>
      </c>
      <c r="D39" s="228" t="s">
        <v>40</v>
      </c>
      <c r="E39" s="206">
        <v>8.98</v>
      </c>
      <c r="F39" s="207"/>
      <c r="G39" s="207">
        <f t="shared" si="0"/>
        <v>0</v>
      </c>
      <c r="H39" s="208">
        <v>0.33</v>
      </c>
      <c r="I39" s="209">
        <f t="shared" si="1"/>
        <v>0</v>
      </c>
      <c r="J39" s="210">
        <f t="shared" si="2"/>
        <v>0</v>
      </c>
      <c r="K39" s="121"/>
      <c r="L39" s="211"/>
      <c r="M39" s="142"/>
    </row>
    <row r="40" spans="1:15" s="202" customFormat="1" x14ac:dyDescent="0.3">
      <c r="B40" s="213">
        <v>10</v>
      </c>
      <c r="C40" s="214" t="s">
        <v>17</v>
      </c>
      <c r="D40" s="215"/>
      <c r="E40" s="216"/>
      <c r="F40" s="217"/>
      <c r="G40" s="218"/>
      <c r="H40" s="219"/>
      <c r="I40" s="220"/>
      <c r="J40" s="221"/>
      <c r="K40" s="222"/>
      <c r="L40" s="223"/>
      <c r="M40" s="275"/>
    </row>
    <row r="41" spans="1:15" x14ac:dyDescent="0.3">
      <c r="B41" s="225">
        <v>10.1</v>
      </c>
      <c r="C41" s="226" t="s">
        <v>18</v>
      </c>
      <c r="D41" s="228" t="s">
        <v>19</v>
      </c>
      <c r="E41" s="206">
        <v>1</v>
      </c>
      <c r="F41" s="207"/>
      <c r="G41" s="207">
        <f t="shared" si="0"/>
        <v>0</v>
      </c>
      <c r="H41" s="208">
        <v>0.33</v>
      </c>
      <c r="I41" s="209">
        <f t="shared" si="1"/>
        <v>0</v>
      </c>
      <c r="J41" s="210">
        <f t="shared" si="2"/>
        <v>0</v>
      </c>
      <c r="K41" s="121"/>
      <c r="L41" s="211"/>
      <c r="M41" s="142"/>
    </row>
    <row r="42" spans="1:15" x14ac:dyDescent="0.3">
      <c r="B42" s="225">
        <v>10.199999999999999</v>
      </c>
      <c r="C42" s="226" t="s">
        <v>20</v>
      </c>
      <c r="D42" s="228" t="s">
        <v>19</v>
      </c>
      <c r="E42" s="206">
        <v>1</v>
      </c>
      <c r="F42" s="207"/>
      <c r="G42" s="207">
        <f t="shared" si="0"/>
        <v>0</v>
      </c>
      <c r="H42" s="208">
        <v>0.33</v>
      </c>
      <c r="I42" s="209">
        <f t="shared" si="1"/>
        <v>0</v>
      </c>
      <c r="J42" s="210">
        <f t="shared" si="2"/>
        <v>0</v>
      </c>
      <c r="K42" s="121"/>
      <c r="L42" s="211"/>
      <c r="M42" s="142"/>
    </row>
    <row r="43" spans="1:15" ht="80.400000000000006" customHeight="1" thickBot="1" x14ac:dyDescent="0.35">
      <c r="B43" s="229">
        <v>10.3</v>
      </c>
      <c r="C43" s="251" t="s">
        <v>245</v>
      </c>
      <c r="D43" s="231" t="s">
        <v>65</v>
      </c>
      <c r="E43" s="232">
        <v>12</v>
      </c>
      <c r="F43" s="233"/>
      <c r="G43" s="233">
        <f t="shared" si="0"/>
        <v>0</v>
      </c>
      <c r="H43" s="234">
        <v>0.33</v>
      </c>
      <c r="I43" s="235">
        <f t="shared" si="1"/>
        <v>0</v>
      </c>
      <c r="J43" s="236">
        <f t="shared" si="2"/>
        <v>0</v>
      </c>
      <c r="K43" s="121"/>
      <c r="L43" s="211"/>
      <c r="M43" s="142"/>
    </row>
    <row r="44" spans="1:15" ht="16.2" thickBot="1" x14ac:dyDescent="0.35">
      <c r="B44" s="279"/>
      <c r="C44" s="122"/>
      <c r="D44" s="121"/>
      <c r="E44" s="238"/>
      <c r="F44" s="239"/>
      <c r="G44" s="280"/>
      <c r="H44" s="252"/>
      <c r="I44" s="133"/>
      <c r="J44" s="133"/>
      <c r="K44" s="121"/>
      <c r="L44" s="211"/>
    </row>
    <row r="45" spans="1:15" ht="32.4" customHeight="1" thickBot="1" x14ac:dyDescent="0.35">
      <c r="A45" s="119"/>
      <c r="B45" s="281"/>
      <c r="C45" s="243"/>
      <c r="D45" s="533" t="s">
        <v>49</v>
      </c>
      <c r="E45" s="534"/>
      <c r="F45" s="535"/>
      <c r="G45" s="282">
        <f>SUM(G11:G43)</f>
        <v>0</v>
      </c>
      <c r="H45" s="283"/>
      <c r="I45" s="136"/>
      <c r="J45" s="282">
        <f>SUM(J11:J43)</f>
        <v>0</v>
      </c>
      <c r="K45" s="119"/>
      <c r="L45" s="133"/>
      <c r="M45" s="133"/>
      <c r="N45" s="119"/>
      <c r="O45" s="119"/>
    </row>
    <row r="46" spans="1:15" ht="16.2" thickBot="1" x14ac:dyDescent="0.35">
      <c r="A46" s="119"/>
      <c r="B46" s="281"/>
      <c r="C46" s="243"/>
      <c r="D46" s="135"/>
      <c r="E46" s="247"/>
      <c r="F46" s="135"/>
      <c r="G46" s="284"/>
      <c r="H46" s="283"/>
      <c r="I46" s="136"/>
      <c r="J46" s="119"/>
      <c r="K46" s="119"/>
      <c r="L46" s="211"/>
      <c r="N46" s="119"/>
      <c r="O46" s="119"/>
    </row>
    <row r="47" spans="1:15" ht="23.25" customHeight="1" thickBot="1" x14ac:dyDescent="0.35">
      <c r="B47" s="530" t="s">
        <v>50</v>
      </c>
      <c r="C47" s="531"/>
      <c r="D47" s="531"/>
      <c r="E47" s="531"/>
      <c r="F47" s="531"/>
      <c r="G47" s="531"/>
      <c r="H47" s="531"/>
      <c r="I47" s="531"/>
      <c r="J47" s="532"/>
      <c r="K47" s="121"/>
      <c r="L47" s="211"/>
    </row>
    <row r="48" spans="1:15" s="119" customFormat="1" ht="46.2" customHeight="1" thickBot="1" x14ac:dyDescent="0.35">
      <c r="B48" s="267" t="s">
        <v>6</v>
      </c>
      <c r="C48" s="268" t="s">
        <v>7</v>
      </c>
      <c r="D48" s="269" t="s">
        <v>8</v>
      </c>
      <c r="E48" s="270" t="s">
        <v>9</v>
      </c>
      <c r="F48" s="271" t="s">
        <v>10</v>
      </c>
      <c r="G48" s="272" t="s">
        <v>11</v>
      </c>
      <c r="H48" s="272" t="s">
        <v>12</v>
      </c>
      <c r="I48" s="272" t="s">
        <v>13</v>
      </c>
      <c r="J48" s="273" t="s">
        <v>14</v>
      </c>
      <c r="L48" s="211"/>
      <c r="M48" s="117"/>
    </row>
    <row r="49" spans="1:15" s="249" customFormat="1" x14ac:dyDescent="0.3">
      <c r="A49" s="202"/>
      <c r="B49" s="195">
        <v>1</v>
      </c>
      <c r="C49" s="248" t="s">
        <v>15</v>
      </c>
      <c r="D49" s="197"/>
      <c r="E49" s="198"/>
      <c r="F49" s="199"/>
      <c r="G49" s="199"/>
      <c r="H49" s="200"/>
      <c r="I49" s="196"/>
      <c r="J49" s="201"/>
      <c r="K49" s="222"/>
      <c r="L49" s="223"/>
      <c r="N49" s="202"/>
      <c r="O49" s="202"/>
    </row>
    <row r="50" spans="1:15" ht="33.75" customHeight="1" x14ac:dyDescent="0.3">
      <c r="B50" s="203">
        <v>1.1000000000000001</v>
      </c>
      <c r="C50" s="274" t="s">
        <v>234</v>
      </c>
      <c r="D50" s="205" t="s">
        <v>39</v>
      </c>
      <c r="E50" s="206">
        <v>17.899999999999999</v>
      </c>
      <c r="F50" s="207"/>
      <c r="G50" s="207">
        <f>+ROUND(E50*F50,0)</f>
        <v>0</v>
      </c>
      <c r="H50" s="208">
        <v>0.33</v>
      </c>
      <c r="I50" s="209">
        <f>(F50*(1+H50))</f>
        <v>0</v>
      </c>
      <c r="J50" s="210">
        <f t="shared" ref="J50:J53" si="3">ROUND(I50*E50,0)</f>
        <v>0</v>
      </c>
      <c r="K50" s="121"/>
      <c r="L50" s="211"/>
      <c r="M50" s="212"/>
    </row>
    <row r="51" spans="1:15" x14ac:dyDescent="0.3">
      <c r="B51" s="203">
        <v>1.2</v>
      </c>
      <c r="C51" s="274" t="s">
        <v>257</v>
      </c>
      <c r="D51" s="205" t="s">
        <v>40</v>
      </c>
      <c r="E51" s="206">
        <v>6.59</v>
      </c>
      <c r="F51" s="207"/>
      <c r="G51" s="207">
        <f t="shared" ref="G51:G53" si="4">+ROUND(E51*F51,0)</f>
        <v>0</v>
      </c>
      <c r="H51" s="208">
        <v>0.33</v>
      </c>
      <c r="I51" s="209">
        <f t="shared" ref="I51:I53" si="5">(F51*(1+H51))</f>
        <v>0</v>
      </c>
      <c r="J51" s="210">
        <f t="shared" si="3"/>
        <v>0</v>
      </c>
      <c r="K51" s="121"/>
      <c r="L51" s="211"/>
      <c r="M51" s="212"/>
    </row>
    <row r="52" spans="1:15" ht="20.25" customHeight="1" x14ac:dyDescent="0.3">
      <c r="B52" s="203">
        <v>1.3</v>
      </c>
      <c r="C52" s="274" t="s">
        <v>258</v>
      </c>
      <c r="D52" s="205" t="s">
        <v>40</v>
      </c>
      <c r="E52" s="206">
        <v>33.28</v>
      </c>
      <c r="F52" s="207"/>
      <c r="G52" s="207">
        <f t="shared" si="4"/>
        <v>0</v>
      </c>
      <c r="H52" s="208">
        <v>0.33</v>
      </c>
      <c r="I52" s="209">
        <f t="shared" si="5"/>
        <v>0</v>
      </c>
      <c r="J52" s="210">
        <f t="shared" si="3"/>
        <v>0</v>
      </c>
      <c r="K52" s="121"/>
      <c r="L52" s="211"/>
      <c r="M52" s="212"/>
    </row>
    <row r="53" spans="1:15" ht="33.6" customHeight="1" x14ac:dyDescent="0.3">
      <c r="B53" s="203">
        <v>1.4</v>
      </c>
      <c r="C53" s="274" t="s">
        <v>259</v>
      </c>
      <c r="D53" s="205" t="s">
        <v>19</v>
      </c>
      <c r="E53" s="206">
        <v>8</v>
      </c>
      <c r="F53" s="207"/>
      <c r="G53" s="207">
        <f t="shared" si="4"/>
        <v>0</v>
      </c>
      <c r="H53" s="208">
        <v>0.33</v>
      </c>
      <c r="I53" s="209">
        <f t="shared" si="5"/>
        <v>0</v>
      </c>
      <c r="J53" s="210">
        <f t="shared" si="3"/>
        <v>0</v>
      </c>
      <c r="K53" s="121"/>
      <c r="L53" s="211"/>
      <c r="M53" s="212"/>
    </row>
    <row r="54" spans="1:15" s="278" customFormat="1" ht="21" customHeight="1" x14ac:dyDescent="0.3">
      <c r="A54" s="261"/>
      <c r="B54" s="213">
        <v>2</v>
      </c>
      <c r="C54" s="276" t="s">
        <v>41</v>
      </c>
      <c r="D54" s="215"/>
      <c r="E54" s="216"/>
      <c r="F54" s="217"/>
      <c r="G54" s="218"/>
      <c r="H54" s="219"/>
      <c r="I54" s="220"/>
      <c r="J54" s="221"/>
      <c r="K54" s="222"/>
      <c r="L54" s="223"/>
      <c r="M54" s="224"/>
      <c r="N54" s="261"/>
      <c r="O54" s="261"/>
    </row>
    <row r="55" spans="1:15" ht="31.5" customHeight="1" x14ac:dyDescent="0.3">
      <c r="A55" s="119"/>
      <c r="B55" s="225">
        <v>2.1</v>
      </c>
      <c r="C55" s="226" t="s">
        <v>260</v>
      </c>
      <c r="D55" s="228" t="s">
        <v>19</v>
      </c>
      <c r="E55" s="206">
        <v>4</v>
      </c>
      <c r="F55" s="207"/>
      <c r="G55" s="207">
        <f t="shared" ref="G55:G81" si="6">+ROUND(E55*F55,0)</f>
        <v>0</v>
      </c>
      <c r="H55" s="208">
        <v>0.33</v>
      </c>
      <c r="I55" s="209">
        <f t="shared" ref="I55:I81" si="7">(F55*(1+H55))</f>
        <v>0</v>
      </c>
      <c r="J55" s="210">
        <f t="shared" ref="J55:J81" si="8">ROUND(I55*E55,0)</f>
        <v>0</v>
      </c>
      <c r="K55" s="126"/>
      <c r="L55" s="211"/>
      <c r="M55" s="212"/>
      <c r="N55" s="119"/>
      <c r="O55" s="119"/>
    </row>
    <row r="56" spans="1:15" ht="31.5" customHeight="1" x14ac:dyDescent="0.3">
      <c r="A56" s="119"/>
      <c r="B56" s="225">
        <v>2.2000000000000002</v>
      </c>
      <c r="C56" s="226" t="s">
        <v>262</v>
      </c>
      <c r="D56" s="228" t="s">
        <v>19</v>
      </c>
      <c r="E56" s="206">
        <v>2</v>
      </c>
      <c r="F56" s="207"/>
      <c r="G56" s="207">
        <f t="shared" si="6"/>
        <v>0</v>
      </c>
      <c r="H56" s="208">
        <v>0.33</v>
      </c>
      <c r="I56" s="209">
        <f t="shared" si="7"/>
        <v>0</v>
      </c>
      <c r="J56" s="210">
        <f t="shared" si="8"/>
        <v>0</v>
      </c>
      <c r="K56" s="126"/>
      <c r="L56" s="211"/>
      <c r="M56" s="212"/>
      <c r="N56" s="119"/>
      <c r="O56" s="119"/>
    </row>
    <row r="57" spans="1:15" ht="46.95" customHeight="1" x14ac:dyDescent="0.3">
      <c r="A57" s="119"/>
      <c r="B57" s="225">
        <v>2.2999999999999998</v>
      </c>
      <c r="C57" s="226" t="s">
        <v>263</v>
      </c>
      <c r="D57" s="228" t="s">
        <v>39</v>
      </c>
      <c r="E57" s="206">
        <v>6</v>
      </c>
      <c r="F57" s="207"/>
      <c r="G57" s="207">
        <f t="shared" si="6"/>
        <v>0</v>
      </c>
      <c r="H57" s="208">
        <v>0.33</v>
      </c>
      <c r="I57" s="209">
        <f t="shared" si="7"/>
        <v>0</v>
      </c>
      <c r="J57" s="210">
        <f t="shared" si="8"/>
        <v>0</v>
      </c>
      <c r="K57" s="126"/>
      <c r="L57" s="211"/>
      <c r="M57" s="212"/>
      <c r="N57" s="119"/>
      <c r="O57" s="119"/>
    </row>
    <row r="58" spans="1:15" ht="37.5" customHeight="1" x14ac:dyDescent="0.3">
      <c r="A58" s="119"/>
      <c r="B58" s="225">
        <v>2.4</v>
      </c>
      <c r="C58" s="226" t="s">
        <v>264</v>
      </c>
      <c r="D58" s="228" t="s">
        <v>39</v>
      </c>
      <c r="E58" s="206">
        <v>6</v>
      </c>
      <c r="F58" s="207"/>
      <c r="G58" s="207">
        <f t="shared" si="6"/>
        <v>0</v>
      </c>
      <c r="H58" s="208">
        <v>0.33</v>
      </c>
      <c r="I58" s="209">
        <f t="shared" si="7"/>
        <v>0</v>
      </c>
      <c r="J58" s="210">
        <f t="shared" si="8"/>
        <v>0</v>
      </c>
      <c r="K58" s="126"/>
      <c r="L58" s="211"/>
      <c r="M58" s="212"/>
      <c r="N58" s="119"/>
      <c r="O58" s="119"/>
    </row>
    <row r="59" spans="1:15" s="249" customFormat="1" ht="16.5" customHeight="1" x14ac:dyDescent="0.3">
      <c r="A59" s="261"/>
      <c r="B59" s="213">
        <v>3</v>
      </c>
      <c r="C59" s="276" t="s">
        <v>42</v>
      </c>
      <c r="D59" s="215"/>
      <c r="E59" s="216"/>
      <c r="F59" s="217"/>
      <c r="G59" s="218"/>
      <c r="H59" s="219"/>
      <c r="I59" s="220"/>
      <c r="J59" s="221"/>
      <c r="K59" s="222"/>
      <c r="L59" s="223"/>
      <c r="M59" s="224"/>
      <c r="N59" s="261"/>
      <c r="O59" s="261"/>
    </row>
    <row r="60" spans="1:15" ht="48" customHeight="1" x14ac:dyDescent="0.3">
      <c r="B60" s="225">
        <v>3.1</v>
      </c>
      <c r="C60" s="226" t="s">
        <v>265</v>
      </c>
      <c r="D60" s="228" t="s">
        <v>19</v>
      </c>
      <c r="E60" s="206">
        <v>8</v>
      </c>
      <c r="F60" s="207"/>
      <c r="G60" s="207">
        <f t="shared" si="6"/>
        <v>0</v>
      </c>
      <c r="H60" s="208">
        <v>0.33</v>
      </c>
      <c r="I60" s="209">
        <f t="shared" si="7"/>
        <v>0</v>
      </c>
      <c r="J60" s="210">
        <f t="shared" si="8"/>
        <v>0</v>
      </c>
      <c r="K60" s="121"/>
      <c r="L60" s="211"/>
      <c r="M60" s="212"/>
    </row>
    <row r="61" spans="1:15" s="249" customFormat="1" ht="16.5" customHeight="1" x14ac:dyDescent="0.3">
      <c r="A61" s="202"/>
      <c r="B61" s="213">
        <v>4</v>
      </c>
      <c r="C61" s="214" t="s">
        <v>43</v>
      </c>
      <c r="D61" s="215"/>
      <c r="E61" s="216"/>
      <c r="F61" s="217"/>
      <c r="G61" s="218"/>
      <c r="H61" s="219"/>
      <c r="I61" s="220"/>
      <c r="J61" s="221"/>
      <c r="K61" s="222"/>
      <c r="L61" s="223"/>
      <c r="M61" s="224"/>
      <c r="N61" s="202"/>
      <c r="O61" s="202"/>
    </row>
    <row r="62" spans="1:15" ht="50.4" customHeight="1" x14ac:dyDescent="0.3">
      <c r="A62" s="119"/>
      <c r="B62" s="225">
        <v>4.0999999999999996</v>
      </c>
      <c r="C62" s="226" t="s">
        <v>266</v>
      </c>
      <c r="D62" s="228" t="s">
        <v>19</v>
      </c>
      <c r="E62" s="206">
        <v>8</v>
      </c>
      <c r="F62" s="207"/>
      <c r="G62" s="207">
        <f t="shared" si="6"/>
        <v>0</v>
      </c>
      <c r="H62" s="208">
        <v>0.33</v>
      </c>
      <c r="I62" s="209">
        <f t="shared" si="7"/>
        <v>0</v>
      </c>
      <c r="J62" s="210">
        <f t="shared" si="8"/>
        <v>0</v>
      </c>
      <c r="K62" s="126"/>
      <c r="L62" s="211"/>
      <c r="M62" s="212"/>
      <c r="N62" s="119"/>
      <c r="O62" s="119"/>
    </row>
    <row r="63" spans="1:15" ht="48.6" customHeight="1" x14ac:dyDescent="0.3">
      <c r="B63" s="225">
        <v>4.2</v>
      </c>
      <c r="C63" s="226" t="s">
        <v>267</v>
      </c>
      <c r="D63" s="228" t="s">
        <v>19</v>
      </c>
      <c r="E63" s="206">
        <v>6</v>
      </c>
      <c r="F63" s="207"/>
      <c r="G63" s="207">
        <f t="shared" si="6"/>
        <v>0</v>
      </c>
      <c r="H63" s="208">
        <v>0.33</v>
      </c>
      <c r="I63" s="209">
        <f t="shared" si="7"/>
        <v>0</v>
      </c>
      <c r="J63" s="210">
        <f t="shared" si="8"/>
        <v>0</v>
      </c>
      <c r="K63" s="121"/>
      <c r="L63" s="211"/>
      <c r="M63" s="212"/>
    </row>
    <row r="64" spans="1:15" ht="49.95" customHeight="1" x14ac:dyDescent="0.3">
      <c r="B64" s="225">
        <v>4.3</v>
      </c>
      <c r="C64" s="226" t="s">
        <v>242</v>
      </c>
      <c r="D64" s="228" t="s">
        <v>19</v>
      </c>
      <c r="E64" s="206">
        <v>1</v>
      </c>
      <c r="F64" s="207"/>
      <c r="G64" s="207">
        <f t="shared" si="6"/>
        <v>0</v>
      </c>
      <c r="H64" s="208">
        <v>0.33</v>
      </c>
      <c r="I64" s="209">
        <f t="shared" si="7"/>
        <v>0</v>
      </c>
      <c r="J64" s="210">
        <f t="shared" si="8"/>
        <v>0</v>
      </c>
      <c r="K64" s="121"/>
      <c r="L64" s="211"/>
      <c r="M64" s="212"/>
    </row>
    <row r="65" spans="1:15" ht="34.5" customHeight="1" x14ac:dyDescent="0.3">
      <c r="B65" s="225">
        <v>4.4000000000000004</v>
      </c>
      <c r="C65" s="226" t="s">
        <v>51</v>
      </c>
      <c r="D65" s="228" t="s">
        <v>19</v>
      </c>
      <c r="E65" s="206">
        <v>2</v>
      </c>
      <c r="F65" s="277"/>
      <c r="G65" s="207">
        <f t="shared" si="6"/>
        <v>0</v>
      </c>
      <c r="H65" s="208">
        <v>0.33</v>
      </c>
      <c r="I65" s="209">
        <f t="shared" si="7"/>
        <v>0</v>
      </c>
      <c r="J65" s="210">
        <f t="shared" si="8"/>
        <v>0</v>
      </c>
      <c r="K65" s="121"/>
      <c r="L65" s="211"/>
      <c r="M65" s="212"/>
    </row>
    <row r="66" spans="1:15" s="249" customFormat="1" ht="16.5" customHeight="1" x14ac:dyDescent="0.3">
      <c r="A66" s="202"/>
      <c r="B66" s="213">
        <v>5</v>
      </c>
      <c r="C66" s="214" t="s">
        <v>44</v>
      </c>
      <c r="D66" s="215"/>
      <c r="E66" s="216"/>
      <c r="F66" s="217"/>
      <c r="G66" s="218"/>
      <c r="H66" s="219"/>
      <c r="I66" s="220"/>
      <c r="J66" s="221"/>
      <c r="K66" s="222"/>
      <c r="L66" s="223"/>
      <c r="M66" s="224"/>
      <c r="N66" s="202"/>
      <c r="O66" s="202"/>
    </row>
    <row r="67" spans="1:15" ht="31.2" customHeight="1" x14ac:dyDescent="0.3">
      <c r="B67" s="225">
        <v>5.0999999999999996</v>
      </c>
      <c r="C67" s="226" t="s">
        <v>253</v>
      </c>
      <c r="D67" s="228" t="s">
        <v>40</v>
      </c>
      <c r="E67" s="206">
        <v>33.28</v>
      </c>
      <c r="F67" s="207"/>
      <c r="G67" s="207">
        <f t="shared" si="6"/>
        <v>0</v>
      </c>
      <c r="H67" s="208">
        <v>0.33</v>
      </c>
      <c r="I67" s="209">
        <f t="shared" si="7"/>
        <v>0</v>
      </c>
      <c r="J67" s="210">
        <f t="shared" si="8"/>
        <v>0</v>
      </c>
      <c r="K67" s="121"/>
      <c r="L67" s="211"/>
      <c r="M67" s="212"/>
    </row>
    <row r="68" spans="1:15" ht="49.95" customHeight="1" x14ac:dyDescent="0.3">
      <c r="B68" s="225">
        <v>5.2</v>
      </c>
      <c r="C68" s="226" t="s">
        <v>268</v>
      </c>
      <c r="D68" s="228" t="s">
        <v>40</v>
      </c>
      <c r="E68" s="266">
        <v>64.670000000000016</v>
      </c>
      <c r="F68" s="207"/>
      <c r="G68" s="207">
        <f t="shared" si="6"/>
        <v>0</v>
      </c>
      <c r="H68" s="208">
        <v>0.33</v>
      </c>
      <c r="I68" s="209">
        <f t="shared" si="7"/>
        <v>0</v>
      </c>
      <c r="J68" s="210">
        <f t="shared" si="8"/>
        <v>0</v>
      </c>
      <c r="K68" s="121"/>
      <c r="L68" s="211"/>
      <c r="M68" s="212"/>
    </row>
    <row r="69" spans="1:15" ht="48" customHeight="1" x14ac:dyDescent="0.3">
      <c r="B69" s="225">
        <v>5.3</v>
      </c>
      <c r="C69" s="226" t="s">
        <v>269</v>
      </c>
      <c r="D69" s="228" t="s">
        <v>40</v>
      </c>
      <c r="E69" s="206">
        <v>33.28</v>
      </c>
      <c r="F69" s="207"/>
      <c r="G69" s="207">
        <f t="shared" si="6"/>
        <v>0</v>
      </c>
      <c r="H69" s="208">
        <v>0.33</v>
      </c>
      <c r="I69" s="209">
        <f t="shared" si="7"/>
        <v>0</v>
      </c>
      <c r="J69" s="210">
        <f t="shared" si="8"/>
        <v>0</v>
      </c>
      <c r="K69" s="121"/>
      <c r="L69" s="211"/>
      <c r="M69" s="212"/>
    </row>
    <row r="70" spans="1:15" s="249" customFormat="1" ht="16.5" customHeight="1" x14ac:dyDescent="0.3">
      <c r="A70" s="202"/>
      <c r="B70" s="213">
        <v>6</v>
      </c>
      <c r="C70" s="214" t="s">
        <v>45</v>
      </c>
      <c r="D70" s="215"/>
      <c r="E70" s="216"/>
      <c r="F70" s="217"/>
      <c r="G70" s="218"/>
      <c r="H70" s="219"/>
      <c r="I70" s="220"/>
      <c r="J70" s="221"/>
      <c r="K70" s="222"/>
      <c r="L70" s="223"/>
      <c r="M70" s="224"/>
      <c r="N70" s="202"/>
      <c r="O70" s="202"/>
    </row>
    <row r="71" spans="1:15" ht="79.95" customHeight="1" x14ac:dyDescent="0.3">
      <c r="B71" s="225">
        <v>6.1</v>
      </c>
      <c r="C71" s="226" t="s">
        <v>270</v>
      </c>
      <c r="D71" s="228" t="s">
        <v>19</v>
      </c>
      <c r="E71" s="206">
        <v>8</v>
      </c>
      <c r="F71" s="277"/>
      <c r="G71" s="207">
        <f t="shared" si="6"/>
        <v>0</v>
      </c>
      <c r="H71" s="208">
        <v>0.33</v>
      </c>
      <c r="I71" s="209">
        <f t="shared" si="7"/>
        <v>0</v>
      </c>
      <c r="J71" s="210">
        <f t="shared" si="8"/>
        <v>0</v>
      </c>
      <c r="K71" s="121"/>
      <c r="L71" s="211"/>
      <c r="M71" s="212"/>
    </row>
    <row r="72" spans="1:15" s="249" customFormat="1" ht="16.5" customHeight="1" x14ac:dyDescent="0.3">
      <c r="A72" s="261"/>
      <c r="B72" s="213">
        <v>7</v>
      </c>
      <c r="C72" s="276" t="s">
        <v>47</v>
      </c>
      <c r="D72" s="215"/>
      <c r="E72" s="216"/>
      <c r="F72" s="217"/>
      <c r="G72" s="218"/>
      <c r="H72" s="219"/>
      <c r="I72" s="220"/>
      <c r="J72" s="221"/>
      <c r="K72" s="222"/>
      <c r="L72" s="223"/>
      <c r="M72" s="224"/>
      <c r="N72" s="261"/>
      <c r="O72" s="261"/>
    </row>
    <row r="73" spans="1:15" ht="31.2" x14ac:dyDescent="0.3">
      <c r="B73" s="225">
        <v>7.1</v>
      </c>
      <c r="C73" s="226" t="s">
        <v>271</v>
      </c>
      <c r="D73" s="228" t="s">
        <v>40</v>
      </c>
      <c r="E73" s="266">
        <v>123.67</v>
      </c>
      <c r="F73" s="207"/>
      <c r="G73" s="207">
        <f t="shared" si="6"/>
        <v>0</v>
      </c>
      <c r="H73" s="208">
        <v>0.33</v>
      </c>
      <c r="I73" s="209">
        <f t="shared" si="7"/>
        <v>0</v>
      </c>
      <c r="J73" s="210">
        <f t="shared" si="8"/>
        <v>0</v>
      </c>
      <c r="K73" s="121"/>
      <c r="L73" s="211"/>
      <c r="M73" s="212"/>
    </row>
    <row r="74" spans="1:15" s="249" customFormat="1" ht="16.5" customHeight="1" x14ac:dyDescent="0.3">
      <c r="A74" s="202"/>
      <c r="B74" s="213">
        <v>8</v>
      </c>
      <c r="C74" s="214" t="s">
        <v>48</v>
      </c>
      <c r="D74" s="215"/>
      <c r="E74" s="216"/>
      <c r="F74" s="217"/>
      <c r="G74" s="218"/>
      <c r="H74" s="219"/>
      <c r="I74" s="220"/>
      <c r="J74" s="221"/>
      <c r="K74" s="222"/>
      <c r="L74" s="223"/>
      <c r="M74" s="224"/>
      <c r="N74" s="202"/>
      <c r="O74" s="202"/>
    </row>
    <row r="75" spans="1:15" ht="54" customHeight="1" x14ac:dyDescent="0.3">
      <c r="B75" s="225">
        <v>8.1</v>
      </c>
      <c r="C75" s="226" t="s">
        <v>272</v>
      </c>
      <c r="D75" s="228" t="s">
        <v>40</v>
      </c>
      <c r="E75" s="266">
        <v>81.099999999999994</v>
      </c>
      <c r="F75" s="207"/>
      <c r="G75" s="207">
        <f t="shared" si="6"/>
        <v>0</v>
      </c>
      <c r="H75" s="208">
        <v>0.33</v>
      </c>
      <c r="I75" s="209">
        <f t="shared" si="7"/>
        <v>0</v>
      </c>
      <c r="J75" s="210">
        <f t="shared" si="8"/>
        <v>0</v>
      </c>
      <c r="K75" s="121"/>
      <c r="L75" s="211"/>
      <c r="M75" s="212"/>
    </row>
    <row r="76" spans="1:15" ht="16.5" customHeight="1" x14ac:dyDescent="0.3">
      <c r="B76" s="225">
        <v>8.1999999999999993</v>
      </c>
      <c r="C76" s="226" t="s">
        <v>273</v>
      </c>
      <c r="D76" s="228" t="s">
        <v>40</v>
      </c>
      <c r="E76" s="206">
        <v>18.239999999999998</v>
      </c>
      <c r="F76" s="207"/>
      <c r="G76" s="207">
        <f t="shared" si="6"/>
        <v>0</v>
      </c>
      <c r="H76" s="208">
        <v>0.33</v>
      </c>
      <c r="I76" s="209">
        <f t="shared" si="7"/>
        <v>0</v>
      </c>
      <c r="J76" s="210">
        <f t="shared" si="8"/>
        <v>0</v>
      </c>
      <c r="K76" s="121"/>
      <c r="L76" s="211"/>
      <c r="M76" s="212"/>
    </row>
    <row r="77" spans="1:15" ht="36" customHeight="1" x14ac:dyDescent="0.3">
      <c r="B77" s="225">
        <v>8.3000000000000007</v>
      </c>
      <c r="C77" s="226" t="s">
        <v>274</v>
      </c>
      <c r="D77" s="228" t="s">
        <v>40</v>
      </c>
      <c r="E77" s="206">
        <v>21.02</v>
      </c>
      <c r="F77" s="277"/>
      <c r="G77" s="207">
        <f t="shared" si="6"/>
        <v>0</v>
      </c>
      <c r="H77" s="208">
        <v>0.33</v>
      </c>
      <c r="I77" s="209">
        <f t="shared" si="7"/>
        <v>0</v>
      </c>
      <c r="J77" s="210">
        <f t="shared" si="8"/>
        <v>0</v>
      </c>
      <c r="K77" s="121"/>
      <c r="L77" s="211"/>
      <c r="M77" s="212"/>
    </row>
    <row r="78" spans="1:15" s="249" customFormat="1" ht="16.5" customHeight="1" x14ac:dyDescent="0.3">
      <c r="A78" s="202"/>
      <c r="B78" s="213">
        <v>9</v>
      </c>
      <c r="C78" s="214" t="s">
        <v>17</v>
      </c>
      <c r="D78" s="215"/>
      <c r="E78" s="216"/>
      <c r="F78" s="217"/>
      <c r="G78" s="218"/>
      <c r="H78" s="219"/>
      <c r="I78" s="220"/>
      <c r="J78" s="221"/>
      <c r="K78" s="222"/>
      <c r="L78" s="223"/>
      <c r="M78" s="224"/>
      <c r="N78" s="202"/>
      <c r="O78" s="202"/>
    </row>
    <row r="79" spans="1:15" ht="16.5" customHeight="1" x14ac:dyDescent="0.3">
      <c r="B79" s="225">
        <v>9.1</v>
      </c>
      <c r="C79" s="226" t="s">
        <v>18</v>
      </c>
      <c r="D79" s="228" t="s">
        <v>19</v>
      </c>
      <c r="E79" s="206">
        <v>1</v>
      </c>
      <c r="F79" s="207"/>
      <c r="G79" s="207">
        <f t="shared" si="6"/>
        <v>0</v>
      </c>
      <c r="H79" s="208">
        <v>0.33</v>
      </c>
      <c r="I79" s="209">
        <f t="shared" si="7"/>
        <v>0</v>
      </c>
      <c r="J79" s="210">
        <f t="shared" si="8"/>
        <v>0</v>
      </c>
      <c r="K79" s="121"/>
      <c r="L79" s="211"/>
      <c r="M79" s="212"/>
    </row>
    <row r="80" spans="1:15" ht="16.5" customHeight="1" x14ac:dyDescent="0.3">
      <c r="A80" s="119"/>
      <c r="B80" s="225">
        <v>9.1999999999999993</v>
      </c>
      <c r="C80" s="226" t="s">
        <v>20</v>
      </c>
      <c r="D80" s="228" t="s">
        <v>19</v>
      </c>
      <c r="E80" s="206">
        <v>1</v>
      </c>
      <c r="F80" s="207"/>
      <c r="G80" s="207">
        <f t="shared" si="6"/>
        <v>0</v>
      </c>
      <c r="H80" s="208">
        <v>0.33</v>
      </c>
      <c r="I80" s="209">
        <f t="shared" si="7"/>
        <v>0</v>
      </c>
      <c r="J80" s="210">
        <f t="shared" si="8"/>
        <v>0</v>
      </c>
      <c r="K80" s="126"/>
      <c r="L80" s="211"/>
      <c r="M80" s="212"/>
      <c r="N80" s="119"/>
      <c r="O80" s="119"/>
    </row>
    <row r="81" spans="1:16" ht="76.95" customHeight="1" thickBot="1" x14ac:dyDescent="0.35">
      <c r="A81" s="119"/>
      <c r="B81" s="229">
        <v>9.3000000000000007</v>
      </c>
      <c r="C81" s="251" t="s">
        <v>245</v>
      </c>
      <c r="D81" s="231" t="s">
        <v>65</v>
      </c>
      <c r="E81" s="232">
        <v>12</v>
      </c>
      <c r="F81" s="233"/>
      <c r="G81" s="233">
        <f t="shared" si="6"/>
        <v>0</v>
      </c>
      <c r="H81" s="234">
        <v>0.33</v>
      </c>
      <c r="I81" s="235">
        <f t="shared" si="7"/>
        <v>0</v>
      </c>
      <c r="J81" s="236">
        <f t="shared" si="8"/>
        <v>0</v>
      </c>
      <c r="K81" s="126"/>
      <c r="L81" s="211"/>
      <c r="M81" s="212"/>
      <c r="N81" s="119"/>
      <c r="O81" s="119"/>
    </row>
    <row r="82" spans="1:16" ht="16.2" thickBot="1" x14ac:dyDescent="0.35">
      <c r="B82" s="121"/>
      <c r="C82" s="122"/>
      <c r="D82" s="123"/>
      <c r="E82" s="238"/>
      <c r="F82" s="239"/>
      <c r="G82" s="239"/>
      <c r="H82" s="252"/>
      <c r="I82" s="133"/>
      <c r="J82" s="133"/>
      <c r="K82" s="121"/>
      <c r="L82" s="211"/>
    </row>
    <row r="83" spans="1:16" ht="32.4" customHeight="1" thickBot="1" x14ac:dyDescent="0.35">
      <c r="A83" s="119"/>
      <c r="B83" s="281"/>
      <c r="C83" s="243"/>
      <c r="D83" s="533" t="s">
        <v>52</v>
      </c>
      <c r="E83" s="534"/>
      <c r="F83" s="535"/>
      <c r="G83" s="282">
        <f>SUM(G49:G81)</f>
        <v>0</v>
      </c>
      <c r="H83" s="283"/>
      <c r="I83" s="136"/>
      <c r="J83" s="282">
        <f>SUM(J49:J81)</f>
        <v>0</v>
      </c>
      <c r="K83" s="119"/>
      <c r="L83" s="133"/>
      <c r="M83" s="133"/>
      <c r="N83" s="119"/>
      <c r="O83" s="119"/>
    </row>
    <row r="84" spans="1:16" s="119" customFormat="1" ht="18" customHeight="1" x14ac:dyDescent="0.3">
      <c r="B84" s="253"/>
      <c r="C84" s="118"/>
      <c r="D84" s="121"/>
      <c r="E84" s="124"/>
      <c r="F84" s="125"/>
      <c r="G84" s="125"/>
      <c r="H84" s="125"/>
      <c r="I84" s="125"/>
      <c r="J84" s="254"/>
      <c r="L84" s="211"/>
      <c r="M84" s="117"/>
      <c r="N84" s="126"/>
      <c r="O84" s="126"/>
      <c r="P84" s="126"/>
    </row>
    <row r="85" spans="1:16" x14ac:dyDescent="0.3">
      <c r="B85" s="242"/>
      <c r="C85" s="243"/>
      <c r="D85" s="483" t="s">
        <v>34</v>
      </c>
      <c r="E85" s="483"/>
      <c r="F85" s="483"/>
      <c r="G85" s="255">
        <f>+G83+G45</f>
        <v>0</v>
      </c>
      <c r="H85" s="245"/>
      <c r="I85" s="141"/>
      <c r="J85" s="256">
        <f>+J83+J45</f>
        <v>0</v>
      </c>
      <c r="L85" s="211"/>
    </row>
    <row r="86" spans="1:16" x14ac:dyDescent="0.3">
      <c r="L86" s="119"/>
    </row>
    <row r="87" spans="1:16" x14ac:dyDescent="0.3">
      <c r="L87" s="469"/>
      <c r="M87" s="142"/>
    </row>
  </sheetData>
  <mergeCells count="14">
    <mergeCell ref="B5:J5"/>
    <mergeCell ref="B6:J6"/>
    <mergeCell ref="B1:B4"/>
    <mergeCell ref="C1:I1"/>
    <mergeCell ref="J1:J4"/>
    <mergeCell ref="C2:I2"/>
    <mergeCell ref="C3:I3"/>
    <mergeCell ref="C4:I4"/>
    <mergeCell ref="D83:F83"/>
    <mergeCell ref="D85:F85"/>
    <mergeCell ref="B7:J7"/>
    <mergeCell ref="B8:J8"/>
    <mergeCell ref="D45:F45"/>
    <mergeCell ref="B47:J47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1CFD8-CEF6-4C4F-B5B3-4D3433181082}">
  <sheetPr>
    <tabColor rgb="FF92D050"/>
  </sheetPr>
  <dimension ref="B1:P34"/>
  <sheetViews>
    <sheetView view="pageBreakPreview" topLeftCell="A21" zoomScale="60" zoomScaleNormal="70" workbookViewId="0">
      <selection activeCell="F16" sqref="F16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53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6.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4.200000000000003" customHeight="1" x14ac:dyDescent="0.3">
      <c r="B10" s="203">
        <v>1.1000000000000001</v>
      </c>
      <c r="C10" s="226" t="s">
        <v>231</v>
      </c>
      <c r="D10" s="205" t="s">
        <v>40</v>
      </c>
      <c r="E10" s="206">
        <v>260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  <c r="M10" s="212"/>
    </row>
    <row r="11" spans="2:13" ht="31.95" customHeight="1" x14ac:dyDescent="0.3">
      <c r="B11" s="203">
        <v>1.2</v>
      </c>
      <c r="C11" s="204" t="s">
        <v>232</v>
      </c>
      <c r="D11" s="205" t="s">
        <v>40</v>
      </c>
      <c r="E11" s="206">
        <f>+E10</f>
        <v>260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  <c r="M11" s="212"/>
    </row>
    <row r="12" spans="2:13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  <c r="M12" s="212"/>
    </row>
    <row r="13" spans="2:13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  <c r="M13" s="212"/>
    </row>
    <row r="14" spans="2:13" s="249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50"/>
      <c r="L14" s="223"/>
      <c r="M14" s="224"/>
    </row>
    <row r="15" spans="2:13" ht="62.4" x14ac:dyDescent="0.3">
      <c r="B15" s="225">
        <v>2.1</v>
      </c>
      <c r="C15" s="226" t="s">
        <v>235</v>
      </c>
      <c r="D15" s="205" t="s">
        <v>40</v>
      </c>
      <c r="E15" s="206">
        <v>260</v>
      </c>
      <c r="F15" s="207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K15" s="121"/>
      <c r="L15" s="211"/>
      <c r="M15" s="212"/>
    </row>
    <row r="16" spans="2:13" ht="66.599999999999994" customHeight="1" x14ac:dyDescent="0.3">
      <c r="B16" s="225">
        <v>2.2000000000000002</v>
      </c>
      <c r="C16" s="226" t="s">
        <v>246</v>
      </c>
      <c r="D16" s="228" t="s">
        <v>39</v>
      </c>
      <c r="E16" s="206">
        <v>176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211"/>
      <c r="M16" s="212"/>
    </row>
    <row r="17" spans="2:16" ht="46.8" x14ac:dyDescent="0.3">
      <c r="B17" s="225">
        <v>2.2999999999999998</v>
      </c>
      <c r="C17" s="226" t="s">
        <v>236</v>
      </c>
      <c r="D17" s="205" t="s">
        <v>371</v>
      </c>
      <c r="E17" s="206">
        <v>22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  <c r="M17" s="212"/>
    </row>
    <row r="18" spans="2:16" ht="68.400000000000006" customHeight="1" x14ac:dyDescent="0.3">
      <c r="B18" s="225">
        <v>2.5</v>
      </c>
      <c r="C18" s="226" t="s">
        <v>247</v>
      </c>
      <c r="D18" s="205" t="s">
        <v>39</v>
      </c>
      <c r="E18" s="206">
        <f>11.5*2</f>
        <v>23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  <c r="M18" s="212"/>
    </row>
    <row r="19" spans="2:16" s="249" customFormat="1" x14ac:dyDescent="0.3">
      <c r="B19" s="213">
        <v>3</v>
      </c>
      <c r="C19" s="214" t="s">
        <v>28</v>
      </c>
      <c r="D19" s="215"/>
      <c r="E19" s="216"/>
      <c r="F19" s="217"/>
      <c r="G19" s="218"/>
      <c r="H19" s="219"/>
      <c r="I19" s="220"/>
      <c r="J19" s="221"/>
      <c r="K19" s="250"/>
      <c r="L19" s="223"/>
      <c r="M19" s="224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31.92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  <c r="M20" s="212"/>
    </row>
    <row r="21" spans="2:16" ht="32.25" customHeight="1" x14ac:dyDescent="0.3">
      <c r="B21" s="225">
        <v>2.8</v>
      </c>
      <c r="C21" s="204" t="s">
        <v>240</v>
      </c>
      <c r="D21" s="205" t="s">
        <v>40</v>
      </c>
      <c r="E21" s="206">
        <f>10.64*1.5</f>
        <v>15.96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  <c r="M21" s="212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24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2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211"/>
      <c r="M23" s="212"/>
    </row>
    <row r="24" spans="2:16" ht="75" customHeight="1" x14ac:dyDescent="0.3">
      <c r="B24" s="225">
        <v>4.2</v>
      </c>
      <c r="C24" s="227" t="s">
        <v>243</v>
      </c>
      <c r="D24" s="228" t="s">
        <v>19</v>
      </c>
      <c r="E24" s="206">
        <v>8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  <c r="M24" s="212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  <c r="M25" s="212"/>
    </row>
    <row r="26" spans="2:16" s="202" customFormat="1" x14ac:dyDescent="0.3">
      <c r="B26" s="213">
        <v>4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24"/>
    </row>
    <row r="27" spans="2:16" x14ac:dyDescent="0.3">
      <c r="B27" s="225">
        <v>4.0999999999999996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  <c r="M27" s="212"/>
    </row>
    <row r="28" spans="2:16" x14ac:dyDescent="0.3">
      <c r="B28" s="225">
        <v>4.2</v>
      </c>
      <c r="C28" s="226" t="s">
        <v>20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  <c r="M28" s="212"/>
    </row>
    <row r="29" spans="2:16" ht="79.95" customHeight="1" thickBot="1" x14ac:dyDescent="0.35">
      <c r="B29" s="229">
        <v>4.3</v>
      </c>
      <c r="C29" s="251" t="s">
        <v>245</v>
      </c>
      <c r="D29" s="231" t="s">
        <v>65</v>
      </c>
      <c r="E29" s="232">
        <v>12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K29" s="121"/>
      <c r="L29" s="211"/>
      <c r="M29" s="212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16" s="119" customFormat="1" ht="18" customHeight="1" x14ac:dyDescent="0.3">
      <c r="B31" s="253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16" x14ac:dyDescent="0.3">
      <c r="B32" s="242"/>
      <c r="C32" s="243"/>
      <c r="D32" s="483" t="s">
        <v>36</v>
      </c>
      <c r="E32" s="483"/>
      <c r="F32" s="483"/>
      <c r="G32" s="255">
        <f>SUM(G8:G30)</f>
        <v>0</v>
      </c>
      <c r="H32" s="245"/>
      <c r="I32" s="141"/>
      <c r="J32" s="256">
        <f>SUM(J9:J29)</f>
        <v>0</v>
      </c>
      <c r="L32" s="133"/>
      <c r="M32" s="133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50A9A-146B-4480-80C3-CBD1DC0FDA7F}">
  <sheetPr>
    <tabColor rgb="FF92D050"/>
  </sheetPr>
  <dimension ref="B1:P26"/>
  <sheetViews>
    <sheetView view="pageBreakPreview" topLeftCell="A5" zoomScale="60" zoomScaleNormal="70" workbookViewId="0">
      <selection activeCell="G33" sqref="G33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55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6.95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1.2" x14ac:dyDescent="0.3">
      <c r="B10" s="203">
        <v>1.1000000000000001</v>
      </c>
      <c r="C10" s="226" t="s">
        <v>254</v>
      </c>
      <c r="D10" s="205" t="s">
        <v>40</v>
      </c>
      <c r="E10" s="206">
        <v>24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21" si="0">ROUND(I10*E10,0)</f>
        <v>0</v>
      </c>
      <c r="L10" s="211"/>
      <c r="M10" s="212"/>
    </row>
    <row r="11" spans="2:13" ht="31.2" x14ac:dyDescent="0.3">
      <c r="B11" s="203">
        <v>1.2</v>
      </c>
      <c r="C11" s="226" t="s">
        <v>255</v>
      </c>
      <c r="D11" s="205" t="s">
        <v>19</v>
      </c>
      <c r="E11" s="206">
        <v>1</v>
      </c>
      <c r="F11" s="207"/>
      <c r="G11" s="207">
        <f t="shared" ref="G11:G21" si="1">+ROUND(E11*F11,0)</f>
        <v>0</v>
      </c>
      <c r="H11" s="208">
        <v>0.33</v>
      </c>
      <c r="I11" s="209">
        <f t="shared" ref="I11:I21" si="2">(F11*(1+H11))</f>
        <v>0</v>
      </c>
      <c r="J11" s="210">
        <f t="shared" si="0"/>
        <v>0</v>
      </c>
      <c r="L11" s="211"/>
      <c r="M11" s="212"/>
    </row>
    <row r="12" spans="2:13" s="249" customFormat="1" x14ac:dyDescent="0.3">
      <c r="B12" s="213">
        <v>2</v>
      </c>
      <c r="C12" s="214" t="s">
        <v>56</v>
      </c>
      <c r="D12" s="215"/>
      <c r="E12" s="216"/>
      <c r="F12" s="217"/>
      <c r="G12" s="218"/>
      <c r="H12" s="219"/>
      <c r="I12" s="220"/>
      <c r="J12" s="221"/>
      <c r="K12" s="250"/>
      <c r="L12" s="223"/>
      <c r="M12" s="224"/>
    </row>
    <row r="13" spans="2:13" ht="31.2" x14ac:dyDescent="0.3">
      <c r="B13" s="225">
        <v>2.1</v>
      </c>
      <c r="C13" s="226" t="s">
        <v>275</v>
      </c>
      <c r="D13" s="205" t="s">
        <v>40</v>
      </c>
      <c r="E13" s="206">
        <v>24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K13" s="121"/>
      <c r="L13" s="211"/>
      <c r="M13" s="212"/>
    </row>
    <row r="14" spans="2:13" x14ac:dyDescent="0.3">
      <c r="B14" s="225">
        <v>2.2000000000000002</v>
      </c>
      <c r="C14" s="226" t="s">
        <v>276</v>
      </c>
      <c r="D14" s="205" t="s">
        <v>40</v>
      </c>
      <c r="E14" s="206">
        <v>24</v>
      </c>
      <c r="F14" s="207"/>
      <c r="G14" s="207">
        <f t="shared" si="1"/>
        <v>0</v>
      </c>
      <c r="H14" s="208">
        <v>0.33</v>
      </c>
      <c r="I14" s="209">
        <f t="shared" si="2"/>
        <v>0</v>
      </c>
      <c r="J14" s="210">
        <f t="shared" si="0"/>
        <v>0</v>
      </c>
      <c r="K14" s="121"/>
      <c r="L14" s="211"/>
      <c r="M14" s="212"/>
    </row>
    <row r="15" spans="2:13" x14ac:dyDescent="0.3">
      <c r="B15" s="225">
        <v>2.2999999999999998</v>
      </c>
      <c r="C15" s="226" t="s">
        <v>277</v>
      </c>
      <c r="D15" s="205" t="s">
        <v>40</v>
      </c>
      <c r="E15" s="206">
        <v>25</v>
      </c>
      <c r="F15" s="207"/>
      <c r="G15" s="207">
        <f t="shared" si="1"/>
        <v>0</v>
      </c>
      <c r="H15" s="208">
        <v>0.33</v>
      </c>
      <c r="I15" s="209">
        <f t="shared" si="2"/>
        <v>0</v>
      </c>
      <c r="J15" s="210">
        <f t="shared" si="0"/>
        <v>0</v>
      </c>
      <c r="K15" s="121"/>
      <c r="L15" s="211"/>
      <c r="M15" s="212"/>
    </row>
    <row r="16" spans="2:13" s="249" customFormat="1" x14ac:dyDescent="0.3">
      <c r="B16" s="213">
        <v>3</v>
      </c>
      <c r="C16" s="214" t="s">
        <v>27</v>
      </c>
      <c r="D16" s="215"/>
      <c r="E16" s="216"/>
      <c r="F16" s="217"/>
      <c r="G16" s="218"/>
      <c r="H16" s="219"/>
      <c r="I16" s="220"/>
      <c r="J16" s="221"/>
      <c r="K16" s="250"/>
      <c r="L16" s="223"/>
      <c r="M16" s="224"/>
    </row>
    <row r="17" spans="2:16" ht="49.95" customHeight="1" x14ac:dyDescent="0.3">
      <c r="B17" s="225">
        <v>3.1</v>
      </c>
      <c r="C17" s="226" t="s">
        <v>278</v>
      </c>
      <c r="D17" s="205" t="s">
        <v>40</v>
      </c>
      <c r="E17" s="206">
        <v>7</v>
      </c>
      <c r="F17" s="207"/>
      <c r="G17" s="207">
        <f t="shared" si="1"/>
        <v>0</v>
      </c>
      <c r="H17" s="208">
        <v>0.33</v>
      </c>
      <c r="I17" s="209">
        <f t="shared" si="2"/>
        <v>0</v>
      </c>
      <c r="J17" s="210">
        <f t="shared" si="0"/>
        <v>0</v>
      </c>
      <c r="K17" s="121"/>
      <c r="L17" s="211"/>
      <c r="M17" s="212"/>
    </row>
    <row r="18" spans="2:16" s="202" customFormat="1" x14ac:dyDescent="0.3">
      <c r="B18" s="213">
        <v>4</v>
      </c>
      <c r="C18" s="214" t="s">
        <v>17</v>
      </c>
      <c r="D18" s="215"/>
      <c r="E18" s="216"/>
      <c r="F18" s="217"/>
      <c r="G18" s="218"/>
      <c r="H18" s="219"/>
      <c r="I18" s="220"/>
      <c r="J18" s="221"/>
      <c r="K18" s="222"/>
      <c r="L18" s="223"/>
      <c r="M18" s="224"/>
    </row>
    <row r="19" spans="2:16" x14ac:dyDescent="0.3">
      <c r="B19" s="225">
        <v>4.0999999999999996</v>
      </c>
      <c r="C19" s="226" t="s">
        <v>18</v>
      </c>
      <c r="D19" s="228" t="s">
        <v>19</v>
      </c>
      <c r="E19" s="206">
        <v>1</v>
      </c>
      <c r="F19" s="207"/>
      <c r="G19" s="207">
        <f t="shared" si="1"/>
        <v>0</v>
      </c>
      <c r="H19" s="208">
        <v>0.33</v>
      </c>
      <c r="I19" s="209">
        <f t="shared" si="2"/>
        <v>0</v>
      </c>
      <c r="J19" s="210">
        <f t="shared" si="0"/>
        <v>0</v>
      </c>
      <c r="K19" s="121"/>
      <c r="L19" s="211"/>
      <c r="M19" s="212"/>
    </row>
    <row r="20" spans="2:16" x14ac:dyDescent="0.3">
      <c r="B20" s="225">
        <v>4.2</v>
      </c>
      <c r="C20" s="226" t="s">
        <v>20</v>
      </c>
      <c r="D20" s="228" t="s">
        <v>19</v>
      </c>
      <c r="E20" s="206">
        <v>1</v>
      </c>
      <c r="F20" s="207"/>
      <c r="G20" s="207">
        <f t="shared" si="1"/>
        <v>0</v>
      </c>
      <c r="H20" s="208">
        <v>0.33</v>
      </c>
      <c r="I20" s="209">
        <f t="shared" si="2"/>
        <v>0</v>
      </c>
      <c r="J20" s="210">
        <f t="shared" si="0"/>
        <v>0</v>
      </c>
      <c r="K20" s="121"/>
      <c r="L20" s="211"/>
      <c r="M20" s="212"/>
    </row>
    <row r="21" spans="2:16" ht="77.400000000000006" customHeight="1" thickBot="1" x14ac:dyDescent="0.35">
      <c r="B21" s="229">
        <v>4.3</v>
      </c>
      <c r="C21" s="251" t="s">
        <v>245</v>
      </c>
      <c r="D21" s="231" t="s">
        <v>65</v>
      </c>
      <c r="E21" s="232">
        <v>6</v>
      </c>
      <c r="F21" s="233"/>
      <c r="G21" s="233">
        <f t="shared" si="1"/>
        <v>0</v>
      </c>
      <c r="H21" s="234">
        <v>0.33</v>
      </c>
      <c r="I21" s="235">
        <f t="shared" si="2"/>
        <v>0</v>
      </c>
      <c r="J21" s="236">
        <f t="shared" si="0"/>
        <v>0</v>
      </c>
      <c r="K21" s="121"/>
      <c r="L21" s="211"/>
      <c r="M21" s="212"/>
    </row>
    <row r="22" spans="2:16" x14ac:dyDescent="0.3">
      <c r="B22" s="121"/>
      <c r="C22" s="122"/>
      <c r="D22" s="123"/>
      <c r="E22" s="238"/>
      <c r="F22" s="239"/>
      <c r="G22" s="239"/>
      <c r="H22" s="252"/>
      <c r="I22" s="133"/>
      <c r="J22" s="133"/>
      <c r="K22" s="121"/>
      <c r="L22" s="211"/>
    </row>
    <row r="23" spans="2:16" s="119" customFormat="1" ht="18" customHeight="1" x14ac:dyDescent="0.3">
      <c r="B23" s="253"/>
      <c r="C23" s="118"/>
      <c r="D23" s="121"/>
      <c r="E23" s="124"/>
      <c r="F23" s="125"/>
      <c r="G23" s="125"/>
      <c r="H23" s="125"/>
      <c r="I23" s="125"/>
      <c r="J23" s="254"/>
      <c r="L23" s="211"/>
      <c r="M23" s="117"/>
      <c r="N23" s="126"/>
      <c r="O23" s="126"/>
      <c r="P23" s="126"/>
    </row>
    <row r="24" spans="2:16" x14ac:dyDescent="0.3">
      <c r="B24" s="242"/>
      <c r="C24" s="243"/>
      <c r="D24" s="483" t="s">
        <v>54</v>
      </c>
      <c r="E24" s="483"/>
      <c r="F24" s="483"/>
      <c r="G24" s="255">
        <f>SUM(G8:G22)</f>
        <v>0</v>
      </c>
      <c r="H24" s="245"/>
      <c r="I24" s="141"/>
      <c r="J24" s="256">
        <f>SUM(J9:J21)</f>
        <v>0</v>
      </c>
      <c r="L24" s="133"/>
      <c r="M24" s="133"/>
    </row>
    <row r="25" spans="2:16" x14ac:dyDescent="0.3">
      <c r="L25" s="119"/>
    </row>
    <row r="26" spans="2:16" x14ac:dyDescent="0.3">
      <c r="L26" s="469"/>
      <c r="M26" s="142"/>
    </row>
  </sheetData>
  <mergeCells count="10">
    <mergeCell ref="B7:J7"/>
    <mergeCell ref="D24:F24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782FB-057C-433A-96A7-FF72B3BE5E2D}">
  <sheetPr>
    <tabColor rgb="FF92D050"/>
  </sheetPr>
  <dimension ref="B1:P40"/>
  <sheetViews>
    <sheetView view="pageBreakPreview" topLeftCell="A24" zoomScale="60" zoomScaleNormal="70" workbookViewId="0">
      <selection activeCell="M14" sqref="M14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58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2:13" ht="34.200000000000003" customHeight="1" x14ac:dyDescent="0.3">
      <c r="B10" s="203">
        <v>1.1000000000000001</v>
      </c>
      <c r="C10" s="226" t="s">
        <v>231</v>
      </c>
      <c r="D10" s="205" t="s">
        <v>40</v>
      </c>
      <c r="E10" s="1">
        <v>190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35" si="0">ROUND(I10*E10,0)</f>
        <v>0</v>
      </c>
      <c r="L10" s="211"/>
      <c r="M10" s="212"/>
    </row>
    <row r="11" spans="2:13" ht="31.2" x14ac:dyDescent="0.3">
      <c r="B11" s="203">
        <v>1.2</v>
      </c>
      <c r="C11" s="226" t="s">
        <v>279</v>
      </c>
      <c r="D11" s="205" t="s">
        <v>40</v>
      </c>
      <c r="E11" s="1">
        <v>13.52</v>
      </c>
      <c r="F11" s="207"/>
      <c r="G11" s="207">
        <f t="shared" ref="G11:G35" si="1">+ROUND(E11*F11,0)</f>
        <v>0</v>
      </c>
      <c r="H11" s="208">
        <v>0.33</v>
      </c>
      <c r="I11" s="209">
        <f t="shared" ref="I11:I35" si="2">(F11*(1+H11))</f>
        <v>0</v>
      </c>
      <c r="J11" s="210">
        <f t="shared" si="0"/>
        <v>0</v>
      </c>
      <c r="L11" s="211"/>
      <c r="M11" s="212"/>
    </row>
    <row r="12" spans="2:13" ht="31.95" customHeight="1" x14ac:dyDescent="0.3">
      <c r="B12" s="203">
        <v>1.3</v>
      </c>
      <c r="C12" s="204" t="s">
        <v>232</v>
      </c>
      <c r="D12" s="205" t="s">
        <v>40</v>
      </c>
      <c r="E12" s="206">
        <f>+E11</f>
        <v>13.52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  <c r="M12" s="212"/>
    </row>
    <row r="13" spans="2:13" ht="31.95" customHeight="1" x14ac:dyDescent="0.3">
      <c r="B13" s="203">
        <v>1.4</v>
      </c>
      <c r="C13" s="204" t="s">
        <v>233</v>
      </c>
      <c r="D13" s="205" t="s">
        <v>370</v>
      </c>
      <c r="E13" s="206">
        <f>(9+8+8+10)*2</f>
        <v>70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  <c r="M13" s="212"/>
    </row>
    <row r="14" spans="2:13" ht="31.95" customHeight="1" x14ac:dyDescent="0.3">
      <c r="B14" s="203">
        <v>1.5</v>
      </c>
      <c r="C14" s="204" t="s">
        <v>234</v>
      </c>
      <c r="D14" s="205" t="s">
        <v>39</v>
      </c>
      <c r="E14" s="206">
        <f>9+9+9+9+8+8</f>
        <v>52</v>
      </c>
      <c r="F14" s="207"/>
      <c r="G14" s="207">
        <f t="shared" si="1"/>
        <v>0</v>
      </c>
      <c r="H14" s="208">
        <v>0.33</v>
      </c>
      <c r="I14" s="209">
        <f t="shared" si="2"/>
        <v>0</v>
      </c>
      <c r="J14" s="210">
        <f t="shared" si="0"/>
        <v>0</v>
      </c>
      <c r="L14" s="211"/>
      <c r="M14" s="212"/>
    </row>
    <row r="15" spans="2:13" s="202" customFormat="1" x14ac:dyDescent="0.3">
      <c r="B15" s="213">
        <v>2</v>
      </c>
      <c r="C15" s="214" t="s">
        <v>16</v>
      </c>
      <c r="D15" s="215"/>
      <c r="E15" s="285" t="s">
        <v>59</v>
      </c>
      <c r="F15" s="217"/>
      <c r="G15" s="218"/>
      <c r="H15" s="219"/>
      <c r="I15" s="220"/>
      <c r="J15" s="221"/>
      <c r="K15" s="222"/>
      <c r="L15" s="223"/>
      <c r="M15" s="224"/>
    </row>
    <row r="16" spans="2:13" ht="62.4" x14ac:dyDescent="0.3">
      <c r="B16" s="225">
        <v>2.1</v>
      </c>
      <c r="C16" s="226" t="s">
        <v>235</v>
      </c>
      <c r="D16" s="205" t="s">
        <v>40</v>
      </c>
      <c r="E16" s="1">
        <v>190</v>
      </c>
      <c r="F16" s="207"/>
      <c r="G16" s="207">
        <f t="shared" si="1"/>
        <v>0</v>
      </c>
      <c r="H16" s="208">
        <v>0.33</v>
      </c>
      <c r="I16" s="209">
        <f t="shared" si="2"/>
        <v>0</v>
      </c>
      <c r="J16" s="210">
        <f t="shared" si="0"/>
        <v>0</v>
      </c>
      <c r="K16" s="121"/>
      <c r="L16" s="211"/>
      <c r="M16" s="212"/>
    </row>
    <row r="17" spans="2:13" ht="63" customHeight="1" x14ac:dyDescent="0.3">
      <c r="B17" s="225">
        <v>2.2000000000000002</v>
      </c>
      <c r="C17" s="226" t="s">
        <v>246</v>
      </c>
      <c r="D17" s="228" t="s">
        <v>39</v>
      </c>
      <c r="E17" s="1">
        <v>130</v>
      </c>
      <c r="F17" s="207"/>
      <c r="G17" s="207">
        <f t="shared" si="1"/>
        <v>0</v>
      </c>
      <c r="H17" s="208">
        <v>0.33</v>
      </c>
      <c r="I17" s="209">
        <f t="shared" si="2"/>
        <v>0</v>
      </c>
      <c r="J17" s="210">
        <f t="shared" si="0"/>
        <v>0</v>
      </c>
      <c r="K17" s="121"/>
      <c r="L17" s="211"/>
      <c r="M17" s="212"/>
    </row>
    <row r="18" spans="2:13" ht="46.8" x14ac:dyDescent="0.3">
      <c r="B18" s="225">
        <v>2.2999999999999998</v>
      </c>
      <c r="C18" s="226" t="s">
        <v>236</v>
      </c>
      <c r="D18" s="205" t="s">
        <v>371</v>
      </c>
      <c r="E18" s="1">
        <v>24</v>
      </c>
      <c r="F18" s="207"/>
      <c r="G18" s="207">
        <f t="shared" si="1"/>
        <v>0</v>
      </c>
      <c r="H18" s="208">
        <v>0.33</v>
      </c>
      <c r="I18" s="209">
        <f t="shared" si="2"/>
        <v>0</v>
      </c>
      <c r="J18" s="210">
        <f t="shared" si="0"/>
        <v>0</v>
      </c>
      <c r="K18" s="121"/>
      <c r="L18" s="211"/>
      <c r="M18" s="212"/>
    </row>
    <row r="19" spans="2:13" ht="46.8" x14ac:dyDescent="0.3">
      <c r="B19" s="225">
        <v>2.5</v>
      </c>
      <c r="C19" s="226" t="s">
        <v>247</v>
      </c>
      <c r="D19" s="205" t="s">
        <v>39</v>
      </c>
      <c r="E19" s="1">
        <f>2*14</f>
        <v>28</v>
      </c>
      <c r="F19" s="207"/>
      <c r="G19" s="207">
        <f t="shared" si="1"/>
        <v>0</v>
      </c>
      <c r="H19" s="208">
        <v>0.33</v>
      </c>
      <c r="I19" s="209">
        <f t="shared" si="2"/>
        <v>0</v>
      </c>
      <c r="J19" s="210">
        <f t="shared" si="0"/>
        <v>0</v>
      </c>
      <c r="K19" s="121"/>
      <c r="L19" s="211"/>
      <c r="M19" s="212"/>
    </row>
    <row r="20" spans="2:13" s="249" customFormat="1" x14ac:dyDescent="0.3">
      <c r="B20" s="213">
        <v>3</v>
      </c>
      <c r="C20" s="214" t="s">
        <v>60</v>
      </c>
      <c r="D20" s="215"/>
      <c r="E20" s="285" t="s">
        <v>59</v>
      </c>
      <c r="F20" s="217"/>
      <c r="G20" s="218"/>
      <c r="H20" s="219"/>
      <c r="I20" s="220"/>
      <c r="J20" s="221"/>
      <c r="K20" s="250"/>
      <c r="L20" s="223"/>
      <c r="M20" s="224"/>
    </row>
    <row r="21" spans="2:13" ht="46.8" x14ac:dyDescent="0.3">
      <c r="B21" s="225">
        <v>3.1</v>
      </c>
      <c r="C21" s="226" t="s">
        <v>280</v>
      </c>
      <c r="D21" s="205" t="s">
        <v>40</v>
      </c>
      <c r="E21" s="1">
        <v>8</v>
      </c>
      <c r="F21" s="207"/>
      <c r="G21" s="207">
        <f t="shared" si="1"/>
        <v>0</v>
      </c>
      <c r="H21" s="208">
        <v>0.33</v>
      </c>
      <c r="I21" s="209">
        <f t="shared" si="2"/>
        <v>0</v>
      </c>
      <c r="J21" s="210">
        <f t="shared" si="0"/>
        <v>0</v>
      </c>
      <c r="K21" s="121"/>
      <c r="L21" s="211"/>
      <c r="M21" s="212"/>
    </row>
    <row r="22" spans="2:13" x14ac:dyDescent="0.3">
      <c r="B22" s="225">
        <v>3.2</v>
      </c>
      <c r="C22" s="226" t="s">
        <v>274</v>
      </c>
      <c r="D22" s="205" t="s">
        <v>40</v>
      </c>
      <c r="E22" s="1">
        <v>25.5</v>
      </c>
      <c r="F22" s="207"/>
      <c r="G22" s="207">
        <f t="shared" si="1"/>
        <v>0</v>
      </c>
      <c r="H22" s="208">
        <v>0.33</v>
      </c>
      <c r="I22" s="209">
        <f t="shared" si="2"/>
        <v>0</v>
      </c>
      <c r="J22" s="210">
        <f t="shared" si="0"/>
        <v>0</v>
      </c>
      <c r="K22" s="121"/>
      <c r="L22" s="211"/>
      <c r="M22" s="212"/>
    </row>
    <row r="23" spans="2:13" s="249" customFormat="1" x14ac:dyDescent="0.3">
      <c r="B23" s="213">
        <v>4</v>
      </c>
      <c r="C23" s="214" t="s">
        <v>61</v>
      </c>
      <c r="D23" s="215"/>
      <c r="E23" s="285" t="s">
        <v>59</v>
      </c>
      <c r="F23" s="217"/>
      <c r="G23" s="218"/>
      <c r="H23" s="219"/>
      <c r="I23" s="220"/>
      <c r="J23" s="221"/>
      <c r="K23" s="250"/>
      <c r="L23" s="223"/>
      <c r="M23" s="224"/>
    </row>
    <row r="24" spans="2:13" ht="62.4" x14ac:dyDescent="0.3">
      <c r="B24" s="225">
        <v>4.0999999999999996</v>
      </c>
      <c r="C24" s="226" t="s">
        <v>281</v>
      </c>
      <c r="D24" s="205" t="s">
        <v>370</v>
      </c>
      <c r="E24" s="1">
        <v>10.029999999999999</v>
      </c>
      <c r="F24" s="207"/>
      <c r="G24" s="207">
        <f t="shared" si="1"/>
        <v>0</v>
      </c>
      <c r="H24" s="208">
        <v>0.33</v>
      </c>
      <c r="I24" s="209">
        <f t="shared" si="2"/>
        <v>0</v>
      </c>
      <c r="J24" s="210">
        <f t="shared" si="0"/>
        <v>0</v>
      </c>
      <c r="K24" s="121"/>
      <c r="L24" s="211"/>
      <c r="M24" s="212"/>
    </row>
    <row r="25" spans="2:13" s="249" customFormat="1" x14ac:dyDescent="0.3">
      <c r="B25" s="213">
        <v>5</v>
      </c>
      <c r="C25" s="214" t="s">
        <v>23</v>
      </c>
      <c r="D25" s="215"/>
      <c r="E25" s="216"/>
      <c r="F25" s="217"/>
      <c r="G25" s="218"/>
      <c r="H25" s="219"/>
      <c r="I25" s="220"/>
      <c r="J25" s="221"/>
      <c r="K25" s="250"/>
      <c r="L25" s="223"/>
      <c r="M25" s="224"/>
    </row>
    <row r="26" spans="2:13" x14ac:dyDescent="0.3">
      <c r="B26" s="225">
        <v>5.0999999999999996</v>
      </c>
      <c r="C26" s="226" t="s">
        <v>240</v>
      </c>
      <c r="D26" s="205" t="s">
        <v>40</v>
      </c>
      <c r="E26" s="206">
        <v>10.64</v>
      </c>
      <c r="F26" s="207"/>
      <c r="G26" s="207">
        <f t="shared" si="1"/>
        <v>0</v>
      </c>
      <c r="H26" s="208">
        <v>0.33</v>
      </c>
      <c r="I26" s="209">
        <f t="shared" si="2"/>
        <v>0</v>
      </c>
      <c r="J26" s="210">
        <f t="shared" si="0"/>
        <v>0</v>
      </c>
      <c r="K26" s="121"/>
      <c r="L26" s="211"/>
      <c r="M26" s="212"/>
    </row>
    <row r="27" spans="2:13" ht="31.2" x14ac:dyDescent="0.3">
      <c r="B27" s="225">
        <v>5.2</v>
      </c>
      <c r="C27" s="226" t="s">
        <v>239</v>
      </c>
      <c r="D27" s="205" t="s">
        <v>40</v>
      </c>
      <c r="E27" s="206">
        <f>+E26*2</f>
        <v>21.28</v>
      </c>
      <c r="F27" s="207"/>
      <c r="G27" s="207">
        <f t="shared" si="1"/>
        <v>0</v>
      </c>
      <c r="H27" s="208">
        <v>0.33</v>
      </c>
      <c r="I27" s="209">
        <f t="shared" si="2"/>
        <v>0</v>
      </c>
      <c r="J27" s="210">
        <f t="shared" si="0"/>
        <v>0</v>
      </c>
      <c r="K27" s="121"/>
      <c r="L27" s="211"/>
      <c r="M27" s="212"/>
    </row>
    <row r="28" spans="2:13" s="202" customFormat="1" x14ac:dyDescent="0.3">
      <c r="B28" s="213">
        <v>6</v>
      </c>
      <c r="C28" s="214" t="s">
        <v>43</v>
      </c>
      <c r="D28" s="215"/>
      <c r="E28" s="216"/>
      <c r="F28" s="217"/>
      <c r="G28" s="218"/>
      <c r="H28" s="219"/>
      <c r="I28" s="220"/>
      <c r="J28" s="221"/>
      <c r="K28" s="222"/>
      <c r="L28" s="223"/>
      <c r="M28" s="224"/>
    </row>
    <row r="29" spans="2:13" ht="31.2" x14ac:dyDescent="0.3">
      <c r="B29" s="225">
        <v>6.1</v>
      </c>
      <c r="C29" s="227" t="s">
        <v>242</v>
      </c>
      <c r="D29" s="228" t="s">
        <v>19</v>
      </c>
      <c r="E29" s="206">
        <v>2</v>
      </c>
      <c r="F29" s="207"/>
      <c r="G29" s="207">
        <f t="shared" si="1"/>
        <v>0</v>
      </c>
      <c r="H29" s="208">
        <v>0.33</v>
      </c>
      <c r="I29" s="209">
        <f t="shared" si="2"/>
        <v>0</v>
      </c>
      <c r="J29" s="210">
        <f t="shared" si="0"/>
        <v>0</v>
      </c>
      <c r="K29" s="121"/>
      <c r="L29" s="211"/>
      <c r="M29" s="212"/>
    </row>
    <row r="30" spans="2:13" ht="75" customHeight="1" x14ac:dyDescent="0.3">
      <c r="B30" s="225">
        <v>6.2</v>
      </c>
      <c r="C30" s="227" t="s">
        <v>243</v>
      </c>
      <c r="D30" s="228" t="s">
        <v>19</v>
      </c>
      <c r="E30" s="206">
        <v>8</v>
      </c>
      <c r="F30" s="207"/>
      <c r="G30" s="207">
        <f t="shared" si="1"/>
        <v>0</v>
      </c>
      <c r="H30" s="208">
        <v>0.33</v>
      </c>
      <c r="I30" s="209">
        <f t="shared" si="2"/>
        <v>0</v>
      </c>
      <c r="J30" s="210">
        <f t="shared" si="0"/>
        <v>0</v>
      </c>
      <c r="K30" s="121"/>
      <c r="L30" s="211"/>
      <c r="M30" s="212"/>
    </row>
    <row r="31" spans="2:13" ht="31.2" x14ac:dyDescent="0.3">
      <c r="B31" s="225">
        <v>6.3</v>
      </c>
      <c r="C31" s="227" t="s">
        <v>244</v>
      </c>
      <c r="D31" s="228" t="s">
        <v>39</v>
      </c>
      <c r="E31" s="206">
        <f>15.5*2</f>
        <v>31</v>
      </c>
      <c r="F31" s="207"/>
      <c r="G31" s="207">
        <f t="shared" si="1"/>
        <v>0</v>
      </c>
      <c r="H31" s="208">
        <v>0.33</v>
      </c>
      <c r="I31" s="209">
        <f t="shared" si="2"/>
        <v>0</v>
      </c>
      <c r="J31" s="210">
        <f t="shared" si="0"/>
        <v>0</v>
      </c>
      <c r="K31" s="121"/>
      <c r="L31" s="211"/>
      <c r="M31" s="212"/>
    </row>
    <row r="32" spans="2:13" s="202" customFormat="1" x14ac:dyDescent="0.3">
      <c r="B32" s="213">
        <v>7</v>
      </c>
      <c r="C32" s="214" t="s">
        <v>17</v>
      </c>
      <c r="D32" s="215"/>
      <c r="E32" s="216"/>
      <c r="F32" s="217"/>
      <c r="G32" s="218"/>
      <c r="H32" s="219"/>
      <c r="I32" s="220"/>
      <c r="J32" s="221"/>
      <c r="K32" s="222"/>
      <c r="L32" s="223"/>
      <c r="M32" s="224"/>
    </row>
    <row r="33" spans="2:16" x14ac:dyDescent="0.3">
      <c r="B33" s="225">
        <v>7.1</v>
      </c>
      <c r="C33" s="226" t="s">
        <v>18</v>
      </c>
      <c r="D33" s="228" t="s">
        <v>19</v>
      </c>
      <c r="E33" s="206">
        <v>1</v>
      </c>
      <c r="F33" s="207"/>
      <c r="G33" s="207">
        <f t="shared" si="1"/>
        <v>0</v>
      </c>
      <c r="H33" s="208">
        <v>0.33</v>
      </c>
      <c r="I33" s="209">
        <f t="shared" si="2"/>
        <v>0</v>
      </c>
      <c r="J33" s="210">
        <f t="shared" si="0"/>
        <v>0</v>
      </c>
      <c r="K33" s="121"/>
      <c r="L33" s="211"/>
      <c r="M33" s="212"/>
    </row>
    <row r="34" spans="2:16" x14ac:dyDescent="0.3">
      <c r="B34" s="225">
        <v>7.2</v>
      </c>
      <c r="C34" s="226" t="s">
        <v>20</v>
      </c>
      <c r="D34" s="228" t="s">
        <v>19</v>
      </c>
      <c r="E34" s="206">
        <v>1</v>
      </c>
      <c r="F34" s="207"/>
      <c r="G34" s="207">
        <f t="shared" si="1"/>
        <v>0</v>
      </c>
      <c r="H34" s="208">
        <v>0.33</v>
      </c>
      <c r="I34" s="209">
        <f t="shared" si="2"/>
        <v>0</v>
      </c>
      <c r="J34" s="210">
        <f t="shared" si="0"/>
        <v>0</v>
      </c>
      <c r="K34" s="121"/>
      <c r="L34" s="211"/>
      <c r="M34" s="212"/>
    </row>
    <row r="35" spans="2:16" ht="79.95" customHeight="1" thickBot="1" x14ac:dyDescent="0.35">
      <c r="B35" s="229">
        <v>7.3</v>
      </c>
      <c r="C35" s="251" t="s">
        <v>245</v>
      </c>
      <c r="D35" s="231" t="s">
        <v>65</v>
      </c>
      <c r="E35" s="232">
        <v>18</v>
      </c>
      <c r="F35" s="233"/>
      <c r="G35" s="233">
        <f t="shared" si="1"/>
        <v>0</v>
      </c>
      <c r="H35" s="234">
        <v>0.33</v>
      </c>
      <c r="I35" s="235">
        <f t="shared" si="2"/>
        <v>0</v>
      </c>
      <c r="J35" s="236">
        <f t="shared" si="0"/>
        <v>0</v>
      </c>
      <c r="K35" s="121"/>
      <c r="L35" s="211"/>
      <c r="M35" s="212"/>
    </row>
    <row r="36" spans="2:16" x14ac:dyDescent="0.3">
      <c r="B36" s="121"/>
      <c r="C36" s="122"/>
      <c r="D36" s="123"/>
      <c r="E36" s="238"/>
      <c r="F36" s="239"/>
      <c r="G36" s="239"/>
      <c r="H36" s="252"/>
      <c r="I36" s="133"/>
      <c r="J36" s="133"/>
      <c r="K36" s="121"/>
      <c r="L36" s="211"/>
    </row>
    <row r="37" spans="2:16" s="119" customFormat="1" ht="18" customHeight="1" x14ac:dyDescent="0.3">
      <c r="B37" s="253"/>
      <c r="C37" s="118"/>
      <c r="D37" s="121"/>
      <c r="E37" s="124"/>
      <c r="F37" s="125"/>
      <c r="G37" s="125"/>
      <c r="H37" s="125"/>
      <c r="I37" s="125"/>
      <c r="J37" s="254"/>
      <c r="L37" s="211"/>
      <c r="M37" s="117"/>
      <c r="N37" s="126"/>
      <c r="O37" s="126"/>
      <c r="P37" s="126"/>
    </row>
    <row r="38" spans="2:16" x14ac:dyDescent="0.3">
      <c r="B38" s="242"/>
      <c r="C38" s="243"/>
      <c r="D38" s="483" t="s">
        <v>214</v>
      </c>
      <c r="E38" s="483"/>
      <c r="F38" s="483"/>
      <c r="G38" s="255">
        <f>SUM(G8:G35)</f>
        <v>0</v>
      </c>
      <c r="H38" s="245"/>
      <c r="I38" s="141"/>
      <c r="J38" s="256">
        <f>SUM(J10:J35)</f>
        <v>0</v>
      </c>
      <c r="L38" s="133"/>
      <c r="M38" s="133"/>
    </row>
    <row r="39" spans="2:16" x14ac:dyDescent="0.3">
      <c r="L39" s="119"/>
    </row>
    <row r="40" spans="2:16" x14ac:dyDescent="0.3">
      <c r="L40" s="469"/>
      <c r="M40" s="142"/>
    </row>
  </sheetData>
  <mergeCells count="10">
    <mergeCell ref="B7:J7"/>
    <mergeCell ref="D38:F38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B69BD-D97C-483F-98BC-CE02A2472302}">
  <sheetPr>
    <tabColor rgb="FF92D050"/>
  </sheetPr>
  <dimension ref="B1:P41"/>
  <sheetViews>
    <sheetView view="pageBreakPreview" topLeftCell="A18" zoomScale="60" zoomScaleNormal="70" workbookViewId="0">
      <selection activeCell="A40" sqref="A40:XFD520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63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61" customFormat="1" ht="18.75" customHeight="1" x14ac:dyDescent="0.3">
      <c r="B9" s="257">
        <v>1</v>
      </c>
      <c r="C9" s="258" t="s">
        <v>26</v>
      </c>
      <c r="D9" s="197"/>
      <c r="E9" s="198"/>
      <c r="F9" s="199"/>
      <c r="G9" s="199"/>
      <c r="H9" s="197"/>
      <c r="I9" s="259"/>
      <c r="J9" s="260"/>
      <c r="L9" s="223"/>
      <c r="M9" s="249"/>
    </row>
    <row r="10" spans="2:13" ht="67.95" customHeight="1" x14ac:dyDescent="0.3">
      <c r="B10" s="203">
        <v>1.1000000000000001</v>
      </c>
      <c r="C10" s="226" t="s">
        <v>282</v>
      </c>
      <c r="D10" s="205" t="s">
        <v>19</v>
      </c>
      <c r="E10" s="206">
        <v>2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6" si="0">ROUND(I10*E10,0)</f>
        <v>0</v>
      </c>
      <c r="L10" s="211"/>
    </row>
    <row r="11" spans="2:13" ht="49.95" customHeight="1" x14ac:dyDescent="0.3">
      <c r="B11" s="203">
        <v>1.2</v>
      </c>
      <c r="C11" s="226" t="s">
        <v>283</v>
      </c>
      <c r="D11" s="205" t="s">
        <v>371</v>
      </c>
      <c r="E11" s="206">
        <v>20</v>
      </c>
      <c r="F11" s="207"/>
      <c r="G11" s="207">
        <f t="shared" ref="G11:G16" si="1">+ROUND(E11*F11,0)</f>
        <v>0</v>
      </c>
      <c r="H11" s="208">
        <v>0.33</v>
      </c>
      <c r="I11" s="209">
        <f t="shared" ref="I11:I16" si="2">(F11*(1+H11))</f>
        <v>0</v>
      </c>
      <c r="J11" s="210">
        <f t="shared" si="0"/>
        <v>0</v>
      </c>
      <c r="L11" s="211"/>
    </row>
    <row r="12" spans="2:13" s="202" customFormat="1" ht="14.25" customHeight="1" x14ac:dyDescent="0.3">
      <c r="B12" s="262">
        <v>2</v>
      </c>
      <c r="C12" s="214" t="s">
        <v>64</v>
      </c>
      <c r="D12" s="215"/>
      <c r="E12" s="216"/>
      <c r="F12" s="217"/>
      <c r="G12" s="218"/>
      <c r="H12" s="219"/>
      <c r="I12" s="220"/>
      <c r="J12" s="221"/>
      <c r="L12" s="223"/>
      <c r="M12" s="249"/>
    </row>
    <row r="13" spans="2:13" ht="31.2" x14ac:dyDescent="0.3">
      <c r="B13" s="203">
        <v>2.1</v>
      </c>
      <c r="C13" s="226" t="s">
        <v>284</v>
      </c>
      <c r="D13" s="205" t="s">
        <v>65</v>
      </c>
      <c r="E13" s="206">
        <v>4.0199999999999996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2:13" ht="51.6" customHeight="1" x14ac:dyDescent="0.3">
      <c r="B14" s="203">
        <v>2.2000000000000002</v>
      </c>
      <c r="C14" s="226" t="s">
        <v>285</v>
      </c>
      <c r="D14" s="205" t="s">
        <v>65</v>
      </c>
      <c r="E14" s="206">
        <v>1</v>
      </c>
      <c r="F14" s="207"/>
      <c r="G14" s="207">
        <f t="shared" si="1"/>
        <v>0</v>
      </c>
      <c r="H14" s="208">
        <v>0.33</v>
      </c>
      <c r="I14" s="209">
        <f t="shared" si="2"/>
        <v>0</v>
      </c>
      <c r="J14" s="210">
        <f t="shared" si="0"/>
        <v>0</v>
      </c>
      <c r="L14" s="211"/>
    </row>
    <row r="15" spans="2:13" s="202" customFormat="1" x14ac:dyDescent="0.3">
      <c r="B15" s="213">
        <v>3</v>
      </c>
      <c r="C15" s="214" t="s">
        <v>17</v>
      </c>
      <c r="D15" s="215"/>
      <c r="E15" s="216"/>
      <c r="F15" s="217"/>
      <c r="G15" s="218"/>
      <c r="H15" s="219"/>
      <c r="I15" s="220"/>
      <c r="J15" s="221"/>
      <c r="L15" s="223"/>
      <c r="M15" s="249"/>
    </row>
    <row r="16" spans="2:13" ht="16.2" thickBot="1" x14ac:dyDescent="0.35">
      <c r="B16" s="229">
        <v>3.1</v>
      </c>
      <c r="C16" s="251" t="s">
        <v>18</v>
      </c>
      <c r="D16" s="263" t="s">
        <v>19</v>
      </c>
      <c r="E16" s="232">
        <v>1</v>
      </c>
      <c r="F16" s="233"/>
      <c r="G16" s="233">
        <f t="shared" si="1"/>
        <v>0</v>
      </c>
      <c r="H16" s="234">
        <v>0.33</v>
      </c>
      <c r="I16" s="235">
        <f t="shared" si="2"/>
        <v>0</v>
      </c>
      <c r="J16" s="236">
        <f t="shared" si="0"/>
        <v>0</v>
      </c>
      <c r="L16" s="211"/>
    </row>
    <row r="17" spans="2:16" x14ac:dyDescent="0.3">
      <c r="B17" s="121"/>
      <c r="C17" s="122"/>
      <c r="D17" s="123"/>
      <c r="E17" s="238"/>
      <c r="F17" s="239"/>
      <c r="G17" s="239"/>
      <c r="H17" s="252"/>
      <c r="I17" s="133"/>
      <c r="J17" s="133"/>
      <c r="K17" s="121"/>
      <c r="L17" s="211"/>
    </row>
    <row r="18" spans="2:16" s="119" customFormat="1" ht="18" customHeight="1" x14ac:dyDescent="0.3">
      <c r="B18" s="253"/>
      <c r="C18" s="118"/>
      <c r="D18" s="121"/>
      <c r="E18" s="124"/>
      <c r="F18" s="125"/>
      <c r="G18" s="125"/>
      <c r="H18" s="125"/>
      <c r="I18" s="125"/>
      <c r="J18" s="254"/>
      <c r="L18" s="211"/>
      <c r="M18" s="117"/>
      <c r="N18" s="126"/>
      <c r="O18" s="126"/>
      <c r="P18" s="126"/>
    </row>
    <row r="19" spans="2:16" x14ac:dyDescent="0.3">
      <c r="B19" s="242"/>
      <c r="C19" s="243"/>
      <c r="D19" s="483" t="s">
        <v>57</v>
      </c>
      <c r="E19" s="483"/>
      <c r="F19" s="483"/>
      <c r="G19" s="255">
        <f>SUM(G8:G17)</f>
        <v>0</v>
      </c>
      <c r="H19" s="245"/>
      <c r="I19" s="141"/>
      <c r="J19" s="256">
        <f>SUM(J9:J16)</f>
        <v>0</v>
      </c>
      <c r="L19" s="133"/>
      <c r="M19" s="133"/>
    </row>
    <row r="20" spans="2:16" x14ac:dyDescent="0.3">
      <c r="B20" s="139"/>
      <c r="C20" s="243"/>
      <c r="D20" s="135"/>
      <c r="E20" s="247"/>
      <c r="F20" s="135"/>
      <c r="G20" s="141"/>
      <c r="H20" s="245"/>
      <c r="I20" s="141"/>
      <c r="J20" s="141"/>
      <c r="L20" s="211"/>
    </row>
    <row r="21" spans="2:16" ht="16.2" thickBot="1" x14ac:dyDescent="0.35">
      <c r="B21" s="139"/>
      <c r="C21" s="243"/>
      <c r="D21" s="135"/>
      <c r="E21" s="247"/>
      <c r="F21" s="135"/>
      <c r="G21" s="141"/>
      <c r="H21" s="245"/>
      <c r="I21" s="141"/>
      <c r="J21" s="141"/>
      <c r="L21" s="211"/>
    </row>
    <row r="22" spans="2:16" ht="36" customHeight="1" thickBot="1" x14ac:dyDescent="0.35">
      <c r="B22" s="480" t="s">
        <v>67</v>
      </c>
      <c r="C22" s="481"/>
      <c r="D22" s="481"/>
      <c r="E22" s="481"/>
      <c r="F22" s="481"/>
      <c r="G22" s="481"/>
      <c r="H22" s="481"/>
      <c r="I22" s="481"/>
      <c r="J22" s="482"/>
      <c r="L22" s="211"/>
    </row>
    <row r="23" spans="2:16" s="119" customFormat="1" ht="48" customHeight="1" thickBot="1" x14ac:dyDescent="0.35">
      <c r="B23" s="187" t="s">
        <v>6</v>
      </c>
      <c r="C23" s="188" t="s">
        <v>7</v>
      </c>
      <c r="D23" s="189" t="s">
        <v>8</v>
      </c>
      <c r="E23" s="190" t="s">
        <v>9</v>
      </c>
      <c r="F23" s="191" t="s">
        <v>10</v>
      </c>
      <c r="G23" s="192" t="s">
        <v>11</v>
      </c>
      <c r="H23" s="192" t="s">
        <v>12</v>
      </c>
      <c r="I23" s="192" t="s">
        <v>13</v>
      </c>
      <c r="J23" s="193" t="s">
        <v>14</v>
      </c>
      <c r="L23" s="211"/>
      <c r="M23" s="117"/>
    </row>
    <row r="24" spans="2:16" s="202" customFormat="1" ht="14.25" customHeight="1" x14ac:dyDescent="0.3">
      <c r="B24" s="195">
        <v>1</v>
      </c>
      <c r="C24" s="248" t="s">
        <v>15</v>
      </c>
      <c r="D24" s="197"/>
      <c r="E24" s="198"/>
      <c r="F24" s="199"/>
      <c r="G24" s="199"/>
      <c r="H24" s="286"/>
      <c r="I24" s="287"/>
      <c r="J24" s="288"/>
      <c r="L24" s="223"/>
      <c r="M24" s="249"/>
    </row>
    <row r="25" spans="2:16" ht="31.2" customHeight="1" x14ac:dyDescent="0.3">
      <c r="B25" s="203">
        <v>1.1000000000000001</v>
      </c>
      <c r="C25" s="226" t="s">
        <v>286</v>
      </c>
      <c r="D25" s="205" t="s">
        <v>19</v>
      </c>
      <c r="E25" s="206">
        <v>30</v>
      </c>
      <c r="F25" s="207"/>
      <c r="G25" s="207">
        <f>+ROUND(E25*F25,0)</f>
        <v>0</v>
      </c>
      <c r="H25" s="208">
        <v>0.33</v>
      </c>
      <c r="I25" s="209">
        <f>(F25*(1+H25))</f>
        <v>0</v>
      </c>
      <c r="J25" s="210">
        <f t="shared" ref="J25:J27" si="3">ROUND(I25*E25,0)</f>
        <v>0</v>
      </c>
      <c r="L25" s="211"/>
    </row>
    <row r="26" spans="2:16" ht="31.2" x14ac:dyDescent="0.3">
      <c r="B26" s="203">
        <v>1.2</v>
      </c>
      <c r="C26" s="226" t="s">
        <v>287</v>
      </c>
      <c r="D26" s="205" t="s">
        <v>40</v>
      </c>
      <c r="E26" s="206">
        <f>+(2.65*0.8)+(2*(2.65*2.4))</f>
        <v>14.84</v>
      </c>
      <c r="F26" s="207"/>
      <c r="G26" s="207">
        <f t="shared" ref="G26:G27" si="4">+ROUND(E26*F26,0)</f>
        <v>0</v>
      </c>
      <c r="H26" s="208">
        <v>0.33</v>
      </c>
      <c r="I26" s="209">
        <f t="shared" ref="I26:I27" si="5">(F26*(1+H26))</f>
        <v>0</v>
      </c>
      <c r="J26" s="210">
        <f t="shared" si="3"/>
        <v>0</v>
      </c>
      <c r="L26" s="211"/>
    </row>
    <row r="27" spans="2:16" ht="34.200000000000003" customHeight="1" x14ac:dyDescent="0.3">
      <c r="B27" s="203">
        <v>1.3</v>
      </c>
      <c r="C27" s="226" t="s">
        <v>288</v>
      </c>
      <c r="D27" s="205" t="s">
        <v>118</v>
      </c>
      <c r="E27" s="206">
        <v>1</v>
      </c>
      <c r="F27" s="207"/>
      <c r="G27" s="207">
        <f t="shared" si="4"/>
        <v>0</v>
      </c>
      <c r="H27" s="208">
        <v>0.33</v>
      </c>
      <c r="I27" s="209">
        <f t="shared" si="5"/>
        <v>0</v>
      </c>
      <c r="J27" s="210">
        <f t="shared" si="3"/>
        <v>0</v>
      </c>
      <c r="L27" s="211"/>
    </row>
    <row r="28" spans="2:16" s="202" customFormat="1" x14ac:dyDescent="0.3">
      <c r="B28" s="213">
        <v>2</v>
      </c>
      <c r="C28" s="214" t="s">
        <v>68</v>
      </c>
      <c r="D28" s="215"/>
      <c r="E28" s="216"/>
      <c r="F28" s="217"/>
      <c r="G28" s="218"/>
      <c r="H28" s="219"/>
      <c r="I28" s="220"/>
      <c r="J28" s="221"/>
      <c r="L28" s="223"/>
      <c r="M28" s="249"/>
    </row>
    <row r="29" spans="2:16" ht="31.5" customHeight="1" x14ac:dyDescent="0.3">
      <c r="B29" s="225">
        <v>2.1</v>
      </c>
      <c r="C29" s="226" t="s">
        <v>289</v>
      </c>
      <c r="D29" s="205" t="s">
        <v>40</v>
      </c>
      <c r="E29" s="206">
        <f>+((2.15*1.6)*27)+((2.65*2.4)*5.75)</f>
        <v>129.44999999999999</v>
      </c>
      <c r="F29" s="207"/>
      <c r="G29" s="207">
        <f t="shared" ref="G29:G36" si="6">+ROUND(E29*F29,0)</f>
        <v>0</v>
      </c>
      <c r="H29" s="208">
        <v>0.33</v>
      </c>
      <c r="I29" s="209">
        <f t="shared" ref="I29:I36" si="7">(F29*(1+H29))</f>
        <v>0</v>
      </c>
      <c r="J29" s="210">
        <f t="shared" ref="J29:J36" si="8">ROUND(I29*E29,0)</f>
        <v>0</v>
      </c>
      <c r="L29" s="211"/>
    </row>
    <row r="30" spans="2:16" ht="51" customHeight="1" x14ac:dyDescent="0.3">
      <c r="B30" s="225">
        <v>2.2000000000000002</v>
      </c>
      <c r="C30" s="226" t="s">
        <v>290</v>
      </c>
      <c r="D30" s="205" t="s">
        <v>39</v>
      </c>
      <c r="E30" s="206">
        <f>+(0.25*(27*2))</f>
        <v>13.5</v>
      </c>
      <c r="F30" s="207"/>
      <c r="G30" s="207">
        <f t="shared" si="6"/>
        <v>0</v>
      </c>
      <c r="H30" s="208">
        <v>0.33</v>
      </c>
      <c r="I30" s="209">
        <f t="shared" si="7"/>
        <v>0</v>
      </c>
      <c r="J30" s="210">
        <f t="shared" si="8"/>
        <v>0</v>
      </c>
      <c r="L30" s="211"/>
    </row>
    <row r="31" spans="2:16" s="202" customFormat="1" x14ac:dyDescent="0.3">
      <c r="B31" s="213">
        <v>3</v>
      </c>
      <c r="C31" s="214" t="s">
        <v>69</v>
      </c>
      <c r="D31" s="215"/>
      <c r="E31" s="216"/>
      <c r="F31" s="217"/>
      <c r="G31" s="218"/>
      <c r="H31" s="219"/>
      <c r="I31" s="220"/>
      <c r="J31" s="221"/>
      <c r="K31" s="249"/>
      <c r="L31" s="223"/>
      <c r="M31" s="249"/>
    </row>
    <row r="32" spans="2:16" ht="33.75" customHeight="1" x14ac:dyDescent="0.3">
      <c r="B32" s="225">
        <v>3.1</v>
      </c>
      <c r="C32" s="226" t="s">
        <v>291</v>
      </c>
      <c r="D32" s="205" t="s">
        <v>39</v>
      </c>
      <c r="E32" s="206">
        <f>+(2.4*145)</f>
        <v>348</v>
      </c>
      <c r="F32" s="207"/>
      <c r="G32" s="207">
        <f t="shared" si="6"/>
        <v>0</v>
      </c>
      <c r="H32" s="208">
        <v>0.33</v>
      </c>
      <c r="I32" s="209">
        <f t="shared" si="7"/>
        <v>0</v>
      </c>
      <c r="J32" s="210">
        <f t="shared" si="8"/>
        <v>0</v>
      </c>
      <c r="L32" s="211"/>
    </row>
    <row r="33" spans="2:16" s="202" customFormat="1" ht="23.25" customHeight="1" x14ac:dyDescent="0.3">
      <c r="B33" s="213">
        <v>4</v>
      </c>
      <c r="C33" s="276" t="s">
        <v>60</v>
      </c>
      <c r="D33" s="215"/>
      <c r="E33" s="216"/>
      <c r="F33" s="217"/>
      <c r="G33" s="218"/>
      <c r="H33" s="219"/>
      <c r="I33" s="220"/>
      <c r="J33" s="221"/>
      <c r="L33" s="223"/>
      <c r="M33" s="249"/>
    </row>
    <row r="34" spans="2:16" s="119" customFormat="1" ht="94.2" customHeight="1" x14ac:dyDescent="0.3">
      <c r="B34" s="225">
        <v>4.0999999999999996</v>
      </c>
      <c r="C34" s="226" t="s">
        <v>292</v>
      </c>
      <c r="D34" s="228" t="s">
        <v>40</v>
      </c>
      <c r="E34" s="206">
        <f>(0.65*25)+(2.4*2.7)+(2.4*2.7)+(3*2.4)</f>
        <v>36.409999999999997</v>
      </c>
      <c r="F34" s="207"/>
      <c r="G34" s="207">
        <f t="shared" si="6"/>
        <v>0</v>
      </c>
      <c r="H34" s="208">
        <v>0.33</v>
      </c>
      <c r="I34" s="209">
        <f t="shared" si="7"/>
        <v>0</v>
      </c>
      <c r="J34" s="210">
        <f t="shared" si="8"/>
        <v>0</v>
      </c>
      <c r="L34" s="211"/>
      <c r="M34" s="117"/>
    </row>
    <row r="35" spans="2:16" s="202" customFormat="1" x14ac:dyDescent="0.3">
      <c r="B35" s="213">
        <v>5</v>
      </c>
      <c r="C35" s="214" t="s">
        <v>70</v>
      </c>
      <c r="D35" s="215"/>
      <c r="E35" s="216"/>
      <c r="F35" s="217"/>
      <c r="G35" s="218"/>
      <c r="H35" s="219"/>
      <c r="I35" s="220"/>
      <c r="J35" s="221"/>
      <c r="L35" s="223"/>
      <c r="M35" s="249"/>
    </row>
    <row r="36" spans="2:16" ht="16.2" thickBot="1" x14ac:dyDescent="0.35">
      <c r="B36" s="229">
        <v>5.0999999999999996</v>
      </c>
      <c r="C36" s="251" t="s">
        <v>18</v>
      </c>
      <c r="D36" s="263" t="s">
        <v>19</v>
      </c>
      <c r="E36" s="232">
        <v>1</v>
      </c>
      <c r="F36" s="233"/>
      <c r="G36" s="233">
        <f t="shared" si="6"/>
        <v>0</v>
      </c>
      <c r="H36" s="234">
        <v>0.33</v>
      </c>
      <c r="I36" s="235">
        <f t="shared" si="7"/>
        <v>0</v>
      </c>
      <c r="J36" s="236">
        <f t="shared" si="8"/>
        <v>0</v>
      </c>
      <c r="L36" s="211"/>
    </row>
    <row r="37" spans="2:16" x14ac:dyDescent="0.3">
      <c r="B37" s="121"/>
      <c r="C37" s="122"/>
      <c r="D37" s="123"/>
      <c r="E37" s="238"/>
      <c r="F37" s="239"/>
      <c r="G37" s="239"/>
      <c r="H37" s="252"/>
      <c r="I37" s="133"/>
      <c r="J37" s="133"/>
      <c r="K37" s="121"/>
      <c r="L37" s="211"/>
    </row>
    <row r="38" spans="2:16" s="119" customFormat="1" ht="18" customHeight="1" x14ac:dyDescent="0.3">
      <c r="B38" s="253"/>
      <c r="C38" s="118"/>
      <c r="D38" s="121"/>
      <c r="E38" s="124"/>
      <c r="F38" s="125"/>
      <c r="G38" s="125"/>
      <c r="H38" s="125"/>
      <c r="I38" s="125"/>
      <c r="J38" s="254"/>
      <c r="L38" s="211"/>
      <c r="M38" s="117"/>
      <c r="N38" s="126"/>
      <c r="O38" s="126"/>
      <c r="P38" s="126"/>
    </row>
    <row r="39" spans="2:16" x14ac:dyDescent="0.3">
      <c r="B39" s="242"/>
      <c r="C39" s="243"/>
      <c r="D39" s="483" t="s">
        <v>62</v>
      </c>
      <c r="E39" s="483"/>
      <c r="F39" s="483"/>
      <c r="G39" s="255">
        <f>SUM(G23:G37)</f>
        <v>0</v>
      </c>
      <c r="H39" s="245"/>
      <c r="I39" s="141"/>
      <c r="J39" s="256">
        <f>SUM(J24:J36)</f>
        <v>0</v>
      </c>
      <c r="L39" s="133"/>
      <c r="M39" s="133"/>
    </row>
    <row r="40" spans="2:16" x14ac:dyDescent="0.3">
      <c r="L40" s="119"/>
    </row>
    <row r="41" spans="2:16" x14ac:dyDescent="0.3">
      <c r="L41" s="469"/>
      <c r="M41" s="142"/>
    </row>
  </sheetData>
  <mergeCells count="12">
    <mergeCell ref="B1:B4"/>
    <mergeCell ref="C1:I1"/>
    <mergeCell ref="J1:J4"/>
    <mergeCell ref="C2:I2"/>
    <mergeCell ref="C3:I3"/>
    <mergeCell ref="C4:I4"/>
    <mergeCell ref="B7:J7"/>
    <mergeCell ref="D19:F19"/>
    <mergeCell ref="B22:J22"/>
    <mergeCell ref="D39:F39"/>
    <mergeCell ref="B5:J5"/>
    <mergeCell ref="B6:J6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80394-6ABF-4095-8D0C-60999E75F2A4}">
  <sheetPr>
    <tabColor rgb="FF92D050"/>
  </sheetPr>
  <dimension ref="B1:P34"/>
  <sheetViews>
    <sheetView view="pageBreakPreview" topLeftCell="A18" zoomScale="60" zoomScaleNormal="70" workbookViewId="0">
      <selection activeCell="A33" sqref="A33:XFD485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72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4.4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86"/>
      <c r="I9" s="287"/>
      <c r="J9" s="288"/>
      <c r="L9" s="223"/>
      <c r="M9" s="249"/>
    </row>
    <row r="10" spans="2:13" ht="35.4" customHeight="1" x14ac:dyDescent="0.3">
      <c r="B10" s="203">
        <v>1.1000000000000001</v>
      </c>
      <c r="C10" s="226" t="s">
        <v>231</v>
      </c>
      <c r="D10" s="205" t="s">
        <v>40</v>
      </c>
      <c r="E10" s="206">
        <v>200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</row>
    <row r="11" spans="2:13" ht="31.95" customHeight="1" x14ac:dyDescent="0.3">
      <c r="B11" s="203">
        <v>1.3</v>
      </c>
      <c r="C11" s="204" t="s">
        <v>232</v>
      </c>
      <c r="D11" s="205" t="s">
        <v>40</v>
      </c>
      <c r="E11" s="206">
        <f>+E10</f>
        <v>200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2:13" ht="31.95" customHeight="1" x14ac:dyDescent="0.3">
      <c r="B12" s="203">
        <v>1.4</v>
      </c>
      <c r="C12" s="204" t="s">
        <v>233</v>
      </c>
      <c r="D12" s="205" t="s">
        <v>370</v>
      </c>
      <c r="E12" s="206">
        <f>(9+8+8+10)</f>
        <v>35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2:13" ht="31.95" customHeight="1" x14ac:dyDescent="0.3">
      <c r="B13" s="203">
        <v>1.5</v>
      </c>
      <c r="C13" s="204" t="s">
        <v>234</v>
      </c>
      <c r="D13" s="205" t="s">
        <v>39</v>
      </c>
      <c r="E13" s="206">
        <f>9+9+8+8</f>
        <v>34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2:13" s="249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50"/>
      <c r="L14" s="223"/>
    </row>
    <row r="15" spans="2:13" ht="62.4" x14ac:dyDescent="0.3">
      <c r="B15" s="225">
        <v>2.1</v>
      </c>
      <c r="C15" s="226" t="s">
        <v>235</v>
      </c>
      <c r="D15" s="205" t="s">
        <v>40</v>
      </c>
      <c r="E15" s="206">
        <v>200</v>
      </c>
      <c r="F15" s="207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K15" s="121"/>
      <c r="L15" s="211"/>
    </row>
    <row r="16" spans="2:13" ht="65.400000000000006" customHeight="1" x14ac:dyDescent="0.3">
      <c r="B16" s="225">
        <v>2.2000000000000002</v>
      </c>
      <c r="C16" s="226" t="s">
        <v>246</v>
      </c>
      <c r="D16" s="228" t="s">
        <v>39</v>
      </c>
      <c r="E16" s="206">
        <v>148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211"/>
    </row>
    <row r="17" spans="2:16" ht="46.8" x14ac:dyDescent="0.3">
      <c r="B17" s="225">
        <v>2.2999999999999998</v>
      </c>
      <c r="C17" s="226" t="s">
        <v>236</v>
      </c>
      <c r="D17" s="205" t="s">
        <v>371</v>
      </c>
      <c r="E17" s="206">
        <v>19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</row>
    <row r="18" spans="2:16" ht="66" customHeight="1" x14ac:dyDescent="0.3">
      <c r="B18" s="225">
        <v>2.5</v>
      </c>
      <c r="C18" s="226" t="s">
        <v>247</v>
      </c>
      <c r="D18" s="205" t="s">
        <v>39</v>
      </c>
      <c r="E18" s="206">
        <f>10.5*2</f>
        <v>21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</row>
    <row r="19" spans="2:16" s="249" customFormat="1" x14ac:dyDescent="0.3">
      <c r="B19" s="213">
        <v>3</v>
      </c>
      <c r="C19" s="214" t="s">
        <v>28</v>
      </c>
      <c r="D19" s="215"/>
      <c r="E19" s="216"/>
      <c r="F19" s="217"/>
      <c r="G19" s="218"/>
      <c r="H19" s="219"/>
      <c r="I19" s="220"/>
      <c r="J19" s="221"/>
      <c r="K19" s="250"/>
      <c r="L19" s="223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21.28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</row>
    <row r="21" spans="2:16" ht="32.25" customHeight="1" x14ac:dyDescent="0.3">
      <c r="B21" s="225">
        <v>2.8</v>
      </c>
      <c r="C21" s="204" t="s">
        <v>240</v>
      </c>
      <c r="D21" s="205" t="s">
        <v>40</v>
      </c>
      <c r="E21" s="206">
        <v>10.64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49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2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211"/>
    </row>
    <row r="24" spans="2:16" ht="75" customHeight="1" x14ac:dyDescent="0.3">
      <c r="B24" s="225">
        <v>4.2</v>
      </c>
      <c r="C24" s="227" t="s">
        <v>243</v>
      </c>
      <c r="D24" s="228" t="s">
        <v>19</v>
      </c>
      <c r="E24" s="206">
        <v>8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2:16" s="202" customFormat="1" x14ac:dyDescent="0.3">
      <c r="B26" s="213">
        <v>5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49"/>
    </row>
    <row r="27" spans="2:16" x14ac:dyDescent="0.3">
      <c r="B27" s="225">
        <v>5.0999999999999996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</row>
    <row r="28" spans="2:16" x14ac:dyDescent="0.3">
      <c r="B28" s="225">
        <v>5.2</v>
      </c>
      <c r="C28" s="226" t="s">
        <v>20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</row>
    <row r="29" spans="2:16" ht="83.4" customHeight="1" thickBot="1" x14ac:dyDescent="0.35">
      <c r="B29" s="229">
        <v>5.3</v>
      </c>
      <c r="C29" s="251" t="s">
        <v>245</v>
      </c>
      <c r="D29" s="231" t="s">
        <v>65</v>
      </c>
      <c r="E29" s="232">
        <v>12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K29" s="121"/>
      <c r="L29" s="211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16" s="119" customFormat="1" ht="18" customHeight="1" x14ac:dyDescent="0.3">
      <c r="B31" s="253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16" x14ac:dyDescent="0.3">
      <c r="B32" s="242"/>
      <c r="C32" s="243"/>
      <c r="D32" s="483" t="s">
        <v>66</v>
      </c>
      <c r="E32" s="483"/>
      <c r="F32" s="483"/>
      <c r="G32" s="255">
        <f>SUM(G8:G30)</f>
        <v>0</v>
      </c>
      <c r="H32" s="245"/>
      <c r="I32" s="141"/>
      <c r="J32" s="256">
        <f>SUM(J8:J29)</f>
        <v>0</v>
      </c>
      <c r="L32" s="211"/>
      <c r="M32" s="142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0C920-D1FD-4610-B02A-B6C11CAA26F7}">
  <sheetPr>
    <tabColor rgb="FF92D050"/>
  </sheetPr>
  <dimension ref="B1:P27"/>
  <sheetViews>
    <sheetView view="pageBreakPreview" topLeftCell="A12" zoomScale="60" zoomScaleNormal="70" workbookViewId="0">
      <selection activeCell="A26" sqref="A26:XFD457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74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2.6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49" customFormat="1" x14ac:dyDescent="0.3">
      <c r="B9" s="195">
        <v>1</v>
      </c>
      <c r="C9" s="248" t="s">
        <v>75</v>
      </c>
      <c r="D9" s="197"/>
      <c r="E9" s="198"/>
      <c r="F9" s="199"/>
      <c r="G9" s="199"/>
      <c r="H9" s="286"/>
      <c r="I9" s="287"/>
      <c r="J9" s="288"/>
      <c r="L9" s="223"/>
    </row>
    <row r="10" spans="2:13" ht="31.2" x14ac:dyDescent="0.3">
      <c r="B10" s="225">
        <v>1.1000000000000001</v>
      </c>
      <c r="C10" s="226" t="s">
        <v>293</v>
      </c>
      <c r="D10" s="205" t="s">
        <v>39</v>
      </c>
      <c r="E10" s="206">
        <f>2.5*2</f>
        <v>5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2" si="0">ROUND(I10*E10,0)</f>
        <v>0</v>
      </c>
      <c r="K10" s="121"/>
      <c r="L10" s="211"/>
    </row>
    <row r="11" spans="2:13" ht="31.2" x14ac:dyDescent="0.3">
      <c r="B11" s="225">
        <v>1.2</v>
      </c>
      <c r="C11" s="226" t="s">
        <v>294</v>
      </c>
      <c r="D11" s="228" t="s">
        <v>19</v>
      </c>
      <c r="E11" s="206">
        <v>2</v>
      </c>
      <c r="F11" s="207"/>
      <c r="G11" s="207">
        <f t="shared" ref="G11:G12" si="1">+ROUND(E11*F11,0)</f>
        <v>0</v>
      </c>
      <c r="H11" s="208">
        <v>0.33</v>
      </c>
      <c r="I11" s="209">
        <f t="shared" ref="I11:I12" si="2">(F11*(1+H11))</f>
        <v>0</v>
      </c>
      <c r="J11" s="210">
        <f t="shared" si="0"/>
        <v>0</v>
      </c>
      <c r="K11" s="121"/>
      <c r="L11" s="211"/>
    </row>
    <row r="12" spans="2:13" ht="126.6" customHeight="1" x14ac:dyDescent="0.3">
      <c r="B12" s="225">
        <v>1.3</v>
      </c>
      <c r="C12" s="226" t="s">
        <v>295</v>
      </c>
      <c r="D12" s="228" t="s">
        <v>40</v>
      </c>
      <c r="E12" s="206">
        <v>10.25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K12" s="121"/>
      <c r="L12" s="211"/>
    </row>
    <row r="13" spans="2:13" s="249" customFormat="1" x14ac:dyDescent="0.3">
      <c r="B13" s="213">
        <v>2</v>
      </c>
      <c r="C13" s="214" t="s">
        <v>76</v>
      </c>
      <c r="D13" s="215"/>
      <c r="E13" s="216"/>
      <c r="F13" s="217"/>
      <c r="G13" s="218"/>
      <c r="H13" s="219"/>
      <c r="I13" s="220"/>
      <c r="J13" s="221"/>
      <c r="K13" s="250"/>
      <c r="L13" s="223"/>
    </row>
    <row r="14" spans="2:13" ht="31.2" x14ac:dyDescent="0.3">
      <c r="B14" s="225">
        <v>2.1</v>
      </c>
      <c r="C14" s="226" t="s">
        <v>296</v>
      </c>
      <c r="D14" s="205" t="s">
        <v>83</v>
      </c>
      <c r="E14" s="206">
        <v>350</v>
      </c>
      <c r="F14" s="207"/>
      <c r="G14" s="207">
        <f t="shared" ref="G14:G22" si="3">+ROUND(E14*F14,0)</f>
        <v>0</v>
      </c>
      <c r="H14" s="208">
        <v>0.33</v>
      </c>
      <c r="I14" s="209">
        <f t="shared" ref="I14:I22" si="4">(F14*(1+H14))</f>
        <v>0</v>
      </c>
      <c r="J14" s="210">
        <f t="shared" ref="J14:J22" si="5">ROUND(I14*E14,0)</f>
        <v>0</v>
      </c>
      <c r="K14" s="121"/>
      <c r="L14" s="211"/>
    </row>
    <row r="15" spans="2:13" s="249" customFormat="1" x14ac:dyDescent="0.3">
      <c r="B15" s="213">
        <v>3</v>
      </c>
      <c r="C15" s="214" t="s">
        <v>77</v>
      </c>
      <c r="D15" s="215"/>
      <c r="E15" s="216"/>
      <c r="F15" s="217"/>
      <c r="G15" s="218"/>
      <c r="H15" s="219"/>
      <c r="I15" s="220"/>
      <c r="J15" s="221"/>
      <c r="K15" s="250"/>
      <c r="L15" s="223"/>
    </row>
    <row r="16" spans="2:13" ht="31.2" x14ac:dyDescent="0.3">
      <c r="B16" s="225">
        <v>3.1</v>
      </c>
      <c r="C16" s="226" t="s">
        <v>297</v>
      </c>
      <c r="D16" s="205" t="s">
        <v>40</v>
      </c>
      <c r="E16" s="206">
        <v>4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211"/>
    </row>
    <row r="17" spans="2:16" x14ac:dyDescent="0.3">
      <c r="B17" s="225">
        <v>3.2</v>
      </c>
      <c r="C17" s="226" t="s">
        <v>277</v>
      </c>
      <c r="D17" s="205" t="s">
        <v>40</v>
      </c>
      <c r="E17" s="206">
        <v>4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</row>
    <row r="18" spans="2:16" x14ac:dyDescent="0.3">
      <c r="B18" s="225">
        <v>3.3</v>
      </c>
      <c r="C18" s="226" t="s">
        <v>276</v>
      </c>
      <c r="D18" s="205" t="s">
        <v>40</v>
      </c>
      <c r="E18" s="206">
        <v>4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</row>
    <row r="19" spans="2:16" s="202" customFormat="1" x14ac:dyDescent="0.3">
      <c r="B19" s="213">
        <v>4</v>
      </c>
      <c r="C19" s="214" t="s">
        <v>17</v>
      </c>
      <c r="D19" s="215"/>
      <c r="E19" s="216"/>
      <c r="F19" s="217"/>
      <c r="G19" s="218"/>
      <c r="H19" s="219"/>
      <c r="I19" s="220"/>
      <c r="J19" s="221"/>
      <c r="K19" s="222"/>
      <c r="L19" s="223"/>
      <c r="M19" s="249"/>
    </row>
    <row r="20" spans="2:16" x14ac:dyDescent="0.3">
      <c r="B20" s="225">
        <v>4.0999999999999996</v>
      </c>
      <c r="C20" s="226" t="s">
        <v>18</v>
      </c>
      <c r="D20" s="228" t="s">
        <v>19</v>
      </c>
      <c r="E20" s="206">
        <v>1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</row>
    <row r="21" spans="2:16" x14ac:dyDescent="0.3">
      <c r="B21" s="225">
        <v>4.2</v>
      </c>
      <c r="C21" s="226" t="s">
        <v>20</v>
      </c>
      <c r="D21" s="228" t="s">
        <v>19</v>
      </c>
      <c r="E21" s="206">
        <v>1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</row>
    <row r="22" spans="2:16" ht="79.95" customHeight="1" thickBot="1" x14ac:dyDescent="0.35">
      <c r="B22" s="229">
        <v>4.3</v>
      </c>
      <c r="C22" s="251" t="s">
        <v>245</v>
      </c>
      <c r="D22" s="231" t="s">
        <v>65</v>
      </c>
      <c r="E22" s="232">
        <v>12</v>
      </c>
      <c r="F22" s="233"/>
      <c r="G22" s="233">
        <f t="shared" si="3"/>
        <v>0</v>
      </c>
      <c r="H22" s="234">
        <v>0.33</v>
      </c>
      <c r="I22" s="235">
        <f t="shared" si="4"/>
        <v>0</v>
      </c>
      <c r="J22" s="236">
        <f t="shared" si="5"/>
        <v>0</v>
      </c>
      <c r="K22" s="121"/>
      <c r="L22" s="211"/>
    </row>
    <row r="23" spans="2:16" x14ac:dyDescent="0.3">
      <c r="B23" s="121"/>
      <c r="C23" s="122"/>
      <c r="D23" s="123"/>
      <c r="E23" s="238"/>
      <c r="F23" s="239"/>
      <c r="G23" s="239"/>
      <c r="H23" s="252"/>
      <c r="I23" s="133"/>
      <c r="J23" s="133"/>
      <c r="K23" s="121"/>
      <c r="L23" s="211"/>
    </row>
    <row r="24" spans="2:16" s="119" customFormat="1" ht="18" customHeight="1" x14ac:dyDescent="0.3">
      <c r="B24" s="289"/>
      <c r="C24" s="118"/>
      <c r="D24" s="121"/>
      <c r="E24" s="124"/>
      <c r="F24" s="125"/>
      <c r="G24" s="125"/>
      <c r="H24" s="125"/>
      <c r="I24" s="125"/>
      <c r="J24" s="254"/>
      <c r="L24" s="211"/>
      <c r="M24" s="117"/>
      <c r="N24" s="126"/>
      <c r="O24" s="126"/>
      <c r="P24" s="126"/>
    </row>
    <row r="25" spans="2:16" x14ac:dyDescent="0.3">
      <c r="B25" s="139"/>
      <c r="C25" s="243"/>
      <c r="D25" s="520" t="s">
        <v>71</v>
      </c>
      <c r="E25" s="520"/>
      <c r="F25" s="520"/>
      <c r="G25" s="290">
        <f>SUM(G8:G23)</f>
        <v>0</v>
      </c>
      <c r="H25" s="245"/>
      <c r="I25" s="141"/>
      <c r="J25" s="290">
        <f>SUM(J8:J22)</f>
        <v>0</v>
      </c>
      <c r="L25" s="211"/>
      <c r="M25" s="142"/>
    </row>
    <row r="26" spans="2:16" x14ac:dyDescent="0.3">
      <c r="L26" s="119"/>
    </row>
    <row r="27" spans="2:16" x14ac:dyDescent="0.3">
      <c r="L27" s="469"/>
      <c r="M27" s="142"/>
    </row>
  </sheetData>
  <mergeCells count="10">
    <mergeCell ref="B7:J7"/>
    <mergeCell ref="D25:F25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92035-3DF8-4E88-84A4-6816DEE79231}">
  <sheetPr>
    <tabColor rgb="FF92D050"/>
  </sheetPr>
  <dimension ref="A1:AC47"/>
  <sheetViews>
    <sheetView view="pageBreakPreview" topLeftCell="A28" zoomScale="60" zoomScaleNormal="70" workbookViewId="0">
      <selection activeCell="B7" sqref="B7:J7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79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4.4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61" customFormat="1" ht="18.75" customHeight="1" x14ac:dyDescent="0.3">
      <c r="B9" s="257">
        <v>1</v>
      </c>
      <c r="C9" s="258" t="s">
        <v>15</v>
      </c>
      <c r="D9" s="197"/>
      <c r="E9" s="198"/>
      <c r="F9" s="199"/>
      <c r="G9" s="199"/>
      <c r="H9" s="197"/>
      <c r="I9" s="259"/>
      <c r="J9" s="260"/>
      <c r="L9" s="223"/>
      <c r="M9" s="249"/>
    </row>
    <row r="10" spans="2:13" ht="31.2" x14ac:dyDescent="0.3">
      <c r="B10" s="203">
        <v>1.1000000000000001</v>
      </c>
      <c r="C10" s="226" t="s">
        <v>234</v>
      </c>
      <c r="D10" s="205" t="s">
        <v>39</v>
      </c>
      <c r="E10" s="2">
        <v>11.2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42" si="0">ROUND(I10*E10,0)</f>
        <v>0</v>
      </c>
      <c r="L10" s="211"/>
    </row>
    <row r="11" spans="2:13" ht="33.75" customHeight="1" x14ac:dyDescent="0.3">
      <c r="B11" s="203">
        <v>1.2</v>
      </c>
      <c r="C11" s="226" t="s">
        <v>287</v>
      </c>
      <c r="D11" s="205" t="s">
        <v>40</v>
      </c>
      <c r="E11" s="2">
        <v>23.3</v>
      </c>
      <c r="F11" s="207"/>
      <c r="G11" s="207">
        <f t="shared" ref="G11:G42" si="1">+ROUND(E11*F11,0)</f>
        <v>0</v>
      </c>
      <c r="H11" s="208">
        <v>0.33</v>
      </c>
      <c r="I11" s="209">
        <f t="shared" ref="I11:I42" si="2">(F11*(1+H11))</f>
        <v>0</v>
      </c>
      <c r="J11" s="210">
        <f t="shared" si="0"/>
        <v>0</v>
      </c>
      <c r="L11" s="211"/>
    </row>
    <row r="12" spans="2:13" ht="33.75" customHeight="1" x14ac:dyDescent="0.3">
      <c r="B12" s="203">
        <v>1.3</v>
      </c>
      <c r="C12" s="226" t="s">
        <v>298</v>
      </c>
      <c r="D12" s="205" t="s">
        <v>80</v>
      </c>
      <c r="E12" s="2">
        <v>20.010000000000002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2:13" ht="33" customHeight="1" x14ac:dyDescent="0.3">
      <c r="B13" s="203">
        <v>1.4</v>
      </c>
      <c r="C13" s="226" t="s">
        <v>299</v>
      </c>
      <c r="D13" s="205" t="s">
        <v>19</v>
      </c>
      <c r="E13" s="2">
        <v>2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2:13" ht="36" customHeight="1" x14ac:dyDescent="0.3">
      <c r="B14" s="203">
        <v>1.5</v>
      </c>
      <c r="C14" s="226" t="s">
        <v>300</v>
      </c>
      <c r="D14" s="205" t="s">
        <v>19</v>
      </c>
      <c r="E14" s="2">
        <v>1</v>
      </c>
      <c r="F14" s="207"/>
      <c r="G14" s="207">
        <f t="shared" si="1"/>
        <v>0</v>
      </c>
      <c r="H14" s="208">
        <v>0.33</v>
      </c>
      <c r="I14" s="209">
        <f t="shared" si="2"/>
        <v>0</v>
      </c>
      <c r="J14" s="210">
        <f t="shared" si="0"/>
        <v>0</v>
      </c>
      <c r="L14" s="211"/>
    </row>
    <row r="15" spans="2:13" ht="22.5" customHeight="1" x14ac:dyDescent="0.3">
      <c r="B15" s="203">
        <v>1.6</v>
      </c>
      <c r="C15" s="226" t="s">
        <v>258</v>
      </c>
      <c r="D15" s="205" t="s">
        <v>80</v>
      </c>
      <c r="E15" s="2">
        <v>2.46</v>
      </c>
      <c r="F15" s="207"/>
      <c r="G15" s="207">
        <f t="shared" si="1"/>
        <v>0</v>
      </c>
      <c r="H15" s="208">
        <v>0.33</v>
      </c>
      <c r="I15" s="209">
        <f t="shared" si="2"/>
        <v>0</v>
      </c>
      <c r="J15" s="210">
        <f t="shared" si="0"/>
        <v>0</v>
      </c>
      <c r="L15" s="211"/>
    </row>
    <row r="16" spans="2:13" s="202" customFormat="1" ht="14.25" customHeight="1" x14ac:dyDescent="0.3">
      <c r="B16" s="262">
        <v>2</v>
      </c>
      <c r="C16" s="214" t="s">
        <v>64</v>
      </c>
      <c r="D16" s="215"/>
      <c r="E16" s="291"/>
      <c r="F16" s="217"/>
      <c r="G16" s="218"/>
      <c r="H16" s="219"/>
      <c r="I16" s="220"/>
      <c r="J16" s="221"/>
      <c r="L16" s="223"/>
      <c r="M16" s="249"/>
    </row>
    <row r="17" spans="1:29" ht="31.2" x14ac:dyDescent="0.3">
      <c r="B17" s="203">
        <v>2.1</v>
      </c>
      <c r="C17" s="226" t="s">
        <v>284</v>
      </c>
      <c r="D17" s="205" t="s">
        <v>65</v>
      </c>
      <c r="E17" s="2">
        <v>8.5</v>
      </c>
      <c r="F17" s="207"/>
      <c r="G17" s="207">
        <f t="shared" si="1"/>
        <v>0</v>
      </c>
      <c r="H17" s="208">
        <v>0.33</v>
      </c>
      <c r="I17" s="209">
        <f t="shared" si="2"/>
        <v>0</v>
      </c>
      <c r="J17" s="210">
        <f t="shared" si="0"/>
        <v>0</v>
      </c>
      <c r="L17" s="211"/>
    </row>
    <row r="18" spans="1:29" ht="31.2" x14ac:dyDescent="0.3">
      <c r="B18" s="203">
        <v>2.2000000000000002</v>
      </c>
      <c r="C18" s="226" t="s">
        <v>285</v>
      </c>
      <c r="D18" s="205" t="s">
        <v>65</v>
      </c>
      <c r="E18" s="2">
        <v>5.26</v>
      </c>
      <c r="F18" s="207"/>
      <c r="G18" s="207">
        <f t="shared" si="1"/>
        <v>0</v>
      </c>
      <c r="H18" s="208">
        <v>0.33</v>
      </c>
      <c r="I18" s="209">
        <f t="shared" si="2"/>
        <v>0</v>
      </c>
      <c r="J18" s="210">
        <f t="shared" si="0"/>
        <v>0</v>
      </c>
      <c r="L18" s="211"/>
    </row>
    <row r="19" spans="1:29" s="202" customFormat="1" x14ac:dyDescent="0.3">
      <c r="B19" s="213">
        <v>3</v>
      </c>
      <c r="C19" s="214" t="s">
        <v>81</v>
      </c>
      <c r="D19" s="215"/>
      <c r="E19" s="291"/>
      <c r="F19" s="217"/>
      <c r="G19" s="218"/>
      <c r="H19" s="219"/>
      <c r="I19" s="220"/>
      <c r="J19" s="221"/>
      <c r="L19" s="223"/>
      <c r="M19" s="249"/>
    </row>
    <row r="20" spans="1:29" ht="32.25" customHeight="1" x14ac:dyDescent="0.3">
      <c r="B20" s="225">
        <v>3.1</v>
      </c>
      <c r="C20" s="226" t="s">
        <v>301</v>
      </c>
      <c r="D20" s="205" t="s">
        <v>65</v>
      </c>
      <c r="E20" s="2">
        <v>0.74</v>
      </c>
      <c r="F20" s="207"/>
      <c r="G20" s="207">
        <f t="shared" si="1"/>
        <v>0</v>
      </c>
      <c r="H20" s="208">
        <v>0.33</v>
      </c>
      <c r="I20" s="209">
        <f t="shared" si="2"/>
        <v>0</v>
      </c>
      <c r="J20" s="210">
        <f t="shared" si="0"/>
        <v>0</v>
      </c>
      <c r="L20" s="211"/>
    </row>
    <row r="21" spans="1:29" s="129" customFormat="1" ht="33.75" customHeight="1" x14ac:dyDescent="0.3">
      <c r="B21" s="225">
        <v>3.2</v>
      </c>
      <c r="C21" s="274" t="s">
        <v>302</v>
      </c>
      <c r="D21" s="292" t="s">
        <v>39</v>
      </c>
      <c r="E21" s="2">
        <v>8.1999999999999993</v>
      </c>
      <c r="F21" s="207"/>
      <c r="G21" s="207">
        <f t="shared" si="1"/>
        <v>0</v>
      </c>
      <c r="H21" s="208">
        <v>0.33</v>
      </c>
      <c r="I21" s="209">
        <f t="shared" si="2"/>
        <v>0</v>
      </c>
      <c r="J21" s="210">
        <f t="shared" si="0"/>
        <v>0</v>
      </c>
      <c r="L21" s="211"/>
      <c r="M21" s="117"/>
    </row>
    <row r="22" spans="1:29" s="278" customFormat="1" ht="19.5" customHeight="1" x14ac:dyDescent="0.3">
      <c r="A22" s="261"/>
      <c r="B22" s="213">
        <v>4</v>
      </c>
      <c r="C22" s="276" t="s">
        <v>82</v>
      </c>
      <c r="D22" s="215"/>
      <c r="E22" s="291"/>
      <c r="F22" s="217"/>
      <c r="G22" s="218"/>
      <c r="H22" s="219"/>
      <c r="I22" s="220"/>
      <c r="J22" s="221"/>
      <c r="K22" s="261"/>
      <c r="L22" s="223"/>
      <c r="M22" s="249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</row>
    <row r="23" spans="1:29" s="129" customFormat="1" ht="51" customHeight="1" x14ac:dyDescent="0.3">
      <c r="B23" s="225">
        <v>4.0999999999999996</v>
      </c>
      <c r="C23" s="274" t="s">
        <v>303</v>
      </c>
      <c r="D23" s="292" t="s">
        <v>39</v>
      </c>
      <c r="E23" s="2">
        <v>8.1999999999999993</v>
      </c>
      <c r="F23" s="207"/>
      <c r="G23" s="207">
        <f t="shared" si="1"/>
        <v>0</v>
      </c>
      <c r="H23" s="208">
        <v>0.33</v>
      </c>
      <c r="I23" s="209">
        <f t="shared" si="2"/>
        <v>0</v>
      </c>
      <c r="J23" s="210">
        <f t="shared" si="0"/>
        <v>0</v>
      </c>
      <c r="L23" s="211"/>
      <c r="M23" s="117"/>
    </row>
    <row r="24" spans="1:29" s="129" customFormat="1" ht="39" customHeight="1" x14ac:dyDescent="0.3">
      <c r="B24" s="225">
        <v>4.2</v>
      </c>
      <c r="C24" s="274" t="s">
        <v>296</v>
      </c>
      <c r="D24" s="292" t="s">
        <v>83</v>
      </c>
      <c r="E24" s="2">
        <v>105.66</v>
      </c>
      <c r="F24" s="207"/>
      <c r="G24" s="207">
        <f t="shared" si="1"/>
        <v>0</v>
      </c>
      <c r="H24" s="208">
        <v>0.33</v>
      </c>
      <c r="I24" s="209">
        <f t="shared" si="2"/>
        <v>0</v>
      </c>
      <c r="J24" s="210">
        <f t="shared" si="0"/>
        <v>0</v>
      </c>
      <c r="L24" s="211"/>
      <c r="M24" s="117"/>
    </row>
    <row r="25" spans="1:29" s="129" customFormat="1" ht="38.4" customHeight="1" x14ac:dyDescent="0.3">
      <c r="B25" s="225">
        <v>4.3</v>
      </c>
      <c r="C25" s="274" t="s">
        <v>304</v>
      </c>
      <c r="D25" s="205" t="s">
        <v>40</v>
      </c>
      <c r="E25" s="2">
        <v>17.55</v>
      </c>
      <c r="F25" s="207"/>
      <c r="G25" s="207">
        <f t="shared" si="1"/>
        <v>0</v>
      </c>
      <c r="H25" s="208">
        <v>0.33</v>
      </c>
      <c r="I25" s="209">
        <f t="shared" si="2"/>
        <v>0</v>
      </c>
      <c r="J25" s="210">
        <f t="shared" si="0"/>
        <v>0</v>
      </c>
      <c r="L25" s="211"/>
      <c r="M25" s="117"/>
    </row>
    <row r="26" spans="1:29" s="249" customFormat="1" ht="21" customHeight="1" x14ac:dyDescent="0.3">
      <c r="A26" s="261"/>
      <c r="B26" s="213">
        <v>5</v>
      </c>
      <c r="C26" s="276" t="s">
        <v>27</v>
      </c>
      <c r="D26" s="215"/>
      <c r="E26" s="291"/>
      <c r="F26" s="217"/>
      <c r="G26" s="218"/>
      <c r="H26" s="219"/>
      <c r="I26" s="220"/>
      <c r="J26" s="221"/>
      <c r="K26" s="261"/>
      <c r="L26" s="223"/>
      <c r="N26" s="261"/>
      <c r="O26" s="261"/>
      <c r="P26" s="261"/>
      <c r="Q26" s="261"/>
      <c r="R26" s="261"/>
      <c r="S26" s="261"/>
      <c r="T26" s="261"/>
      <c r="U26" s="261"/>
      <c r="V26" s="261"/>
      <c r="W26" s="261"/>
      <c r="X26" s="261"/>
      <c r="Y26" s="261"/>
      <c r="Z26" s="261"/>
      <c r="AA26" s="261"/>
      <c r="AB26" s="261"/>
      <c r="AC26" s="261"/>
    </row>
    <row r="27" spans="1:29" ht="36" customHeight="1" x14ac:dyDescent="0.3">
      <c r="B27" s="225">
        <v>5.0999999999999996</v>
      </c>
      <c r="C27" s="226" t="s">
        <v>305</v>
      </c>
      <c r="D27" s="205" t="s">
        <v>40</v>
      </c>
      <c r="E27" s="2">
        <v>17.55</v>
      </c>
      <c r="F27" s="207"/>
      <c r="G27" s="207">
        <f t="shared" si="1"/>
        <v>0</v>
      </c>
      <c r="H27" s="208">
        <v>0.33</v>
      </c>
      <c r="I27" s="209">
        <f t="shared" si="2"/>
        <v>0</v>
      </c>
      <c r="J27" s="210">
        <f t="shared" si="0"/>
        <v>0</v>
      </c>
      <c r="L27" s="211"/>
    </row>
    <row r="28" spans="1:29" ht="48" customHeight="1" x14ac:dyDescent="0.3">
      <c r="B28" s="225">
        <v>5.2</v>
      </c>
      <c r="C28" s="226" t="s">
        <v>269</v>
      </c>
      <c r="D28" s="205" t="s">
        <v>40</v>
      </c>
      <c r="E28" s="2">
        <v>2.46</v>
      </c>
      <c r="F28" s="207"/>
      <c r="G28" s="207">
        <f t="shared" si="1"/>
        <v>0</v>
      </c>
      <c r="H28" s="208">
        <v>0.33</v>
      </c>
      <c r="I28" s="209">
        <f t="shared" si="2"/>
        <v>0</v>
      </c>
      <c r="J28" s="210">
        <f t="shared" si="0"/>
        <v>0</v>
      </c>
      <c r="L28" s="211"/>
    </row>
    <row r="29" spans="1:29" ht="46.8" x14ac:dyDescent="0.3">
      <c r="B29" s="225">
        <v>5.3</v>
      </c>
      <c r="C29" s="226" t="s">
        <v>306</v>
      </c>
      <c r="D29" s="205" t="s">
        <v>39</v>
      </c>
      <c r="E29" s="2">
        <v>8.1999999999999993</v>
      </c>
      <c r="F29" s="207"/>
      <c r="G29" s="207">
        <f t="shared" si="1"/>
        <v>0</v>
      </c>
      <c r="H29" s="208">
        <v>0.33</v>
      </c>
      <c r="I29" s="209">
        <f t="shared" si="2"/>
        <v>0</v>
      </c>
      <c r="J29" s="210">
        <f t="shared" si="0"/>
        <v>0</v>
      </c>
      <c r="L29" s="211"/>
    </row>
    <row r="30" spans="1:29" s="249" customFormat="1" ht="18.75" customHeight="1" x14ac:dyDescent="0.3">
      <c r="A30" s="202"/>
      <c r="B30" s="213">
        <v>6</v>
      </c>
      <c r="C30" s="214" t="s">
        <v>84</v>
      </c>
      <c r="D30" s="215"/>
      <c r="E30" s="291"/>
      <c r="F30" s="217"/>
      <c r="G30" s="218"/>
      <c r="H30" s="219"/>
      <c r="I30" s="220"/>
      <c r="J30" s="221"/>
      <c r="L30" s="223"/>
    </row>
    <row r="31" spans="1:29" ht="34.5" customHeight="1" x14ac:dyDescent="0.3">
      <c r="B31" s="225">
        <v>6.1</v>
      </c>
      <c r="C31" s="226" t="s">
        <v>297</v>
      </c>
      <c r="D31" s="205" t="s">
        <v>40</v>
      </c>
      <c r="E31" s="2">
        <v>46.6</v>
      </c>
      <c r="F31" s="207"/>
      <c r="G31" s="207">
        <f t="shared" si="1"/>
        <v>0</v>
      </c>
      <c r="H31" s="208">
        <v>0.33</v>
      </c>
      <c r="I31" s="209">
        <f t="shared" si="2"/>
        <v>0</v>
      </c>
      <c r="J31" s="210">
        <f t="shared" si="0"/>
        <v>0</v>
      </c>
      <c r="K31" s="293"/>
      <c r="L31" s="211"/>
      <c r="N31" s="293"/>
      <c r="O31" s="293"/>
      <c r="P31" s="293"/>
      <c r="Q31" s="293"/>
      <c r="R31" s="293"/>
      <c r="S31" s="293"/>
      <c r="T31" s="293"/>
      <c r="U31" s="293"/>
      <c r="V31" s="293"/>
      <c r="W31" s="293"/>
      <c r="X31" s="293"/>
      <c r="Y31" s="293"/>
      <c r="Z31" s="293"/>
      <c r="AA31" s="293"/>
      <c r="AB31" s="293"/>
      <c r="AC31" s="293"/>
    </row>
    <row r="32" spans="1:29" ht="27.75" customHeight="1" x14ac:dyDescent="0.3">
      <c r="B32" s="294">
        <v>6.2</v>
      </c>
      <c r="C32" s="295" t="s">
        <v>240</v>
      </c>
      <c r="D32" s="296" t="s">
        <v>40</v>
      </c>
      <c r="E32" s="3">
        <v>23.3</v>
      </c>
      <c r="F32" s="297"/>
      <c r="G32" s="207">
        <f t="shared" si="1"/>
        <v>0</v>
      </c>
      <c r="H32" s="208">
        <v>0.33</v>
      </c>
      <c r="I32" s="209">
        <f t="shared" si="2"/>
        <v>0</v>
      </c>
      <c r="J32" s="210">
        <f t="shared" si="0"/>
        <v>0</v>
      </c>
      <c r="K32" s="293"/>
      <c r="L32" s="211"/>
      <c r="N32" s="293"/>
      <c r="O32" s="293"/>
      <c r="P32" s="293"/>
      <c r="Q32" s="293"/>
      <c r="R32" s="293"/>
      <c r="S32" s="293"/>
      <c r="T32" s="293"/>
      <c r="U32" s="293"/>
      <c r="V32" s="293"/>
      <c r="W32" s="293"/>
      <c r="X32" s="293"/>
      <c r="Y32" s="293"/>
      <c r="Z32" s="293"/>
      <c r="AA32" s="293"/>
      <c r="AB32" s="293"/>
      <c r="AC32" s="293"/>
    </row>
    <row r="33" spans="1:29" s="249" customFormat="1" ht="19.2" customHeight="1" x14ac:dyDescent="0.3">
      <c r="A33" s="261"/>
      <c r="B33" s="213">
        <v>7</v>
      </c>
      <c r="C33" s="276" t="s">
        <v>85</v>
      </c>
      <c r="D33" s="215"/>
      <c r="E33" s="291"/>
      <c r="F33" s="217"/>
      <c r="G33" s="218"/>
      <c r="H33" s="219"/>
      <c r="I33" s="220"/>
      <c r="J33" s="221"/>
      <c r="L33" s="223"/>
    </row>
    <row r="34" spans="1:29" ht="49.95" customHeight="1" x14ac:dyDescent="0.3">
      <c r="B34" s="225">
        <v>7.1</v>
      </c>
      <c r="C34" s="226" t="s">
        <v>272</v>
      </c>
      <c r="D34" s="205" t="s">
        <v>40</v>
      </c>
      <c r="E34" s="2">
        <v>114.12</v>
      </c>
      <c r="F34" s="207"/>
      <c r="G34" s="207">
        <f t="shared" si="1"/>
        <v>0</v>
      </c>
      <c r="H34" s="208">
        <v>0.33</v>
      </c>
      <c r="I34" s="209">
        <f t="shared" si="2"/>
        <v>0</v>
      </c>
      <c r="J34" s="210">
        <f t="shared" si="0"/>
        <v>0</v>
      </c>
      <c r="L34" s="211"/>
    </row>
    <row r="35" spans="1:29" ht="24" customHeight="1" x14ac:dyDescent="0.3">
      <c r="B35" s="225">
        <v>7.2</v>
      </c>
      <c r="C35" s="295" t="s">
        <v>273</v>
      </c>
      <c r="D35" s="296" t="s">
        <v>80</v>
      </c>
      <c r="E35" s="3">
        <v>3.6</v>
      </c>
      <c r="F35" s="277"/>
      <c r="G35" s="207">
        <f t="shared" si="1"/>
        <v>0</v>
      </c>
      <c r="H35" s="208">
        <v>0.33</v>
      </c>
      <c r="I35" s="209">
        <f t="shared" si="2"/>
        <v>0</v>
      </c>
      <c r="J35" s="210">
        <f t="shared" si="0"/>
        <v>0</v>
      </c>
      <c r="L35" s="211"/>
    </row>
    <row r="36" spans="1:29" ht="33.6" customHeight="1" x14ac:dyDescent="0.3">
      <c r="B36" s="225">
        <v>7.3</v>
      </c>
      <c r="C36" s="298" t="s">
        <v>274</v>
      </c>
      <c r="D36" s="296" t="s">
        <v>80</v>
      </c>
      <c r="E36" s="3">
        <v>7.2</v>
      </c>
      <c r="F36" s="277"/>
      <c r="G36" s="207">
        <f t="shared" si="1"/>
        <v>0</v>
      </c>
      <c r="H36" s="208">
        <v>0.33</v>
      </c>
      <c r="I36" s="209">
        <f t="shared" si="2"/>
        <v>0</v>
      </c>
      <c r="J36" s="210">
        <f t="shared" si="0"/>
        <v>0</v>
      </c>
      <c r="L36" s="211"/>
    </row>
    <row r="37" spans="1:29" s="278" customFormat="1" ht="17.25" customHeight="1" x14ac:dyDescent="0.3">
      <c r="A37" s="202"/>
      <c r="B37" s="213">
        <v>8</v>
      </c>
      <c r="C37" s="214" t="s">
        <v>86</v>
      </c>
      <c r="D37" s="215"/>
      <c r="E37" s="291"/>
      <c r="F37" s="217"/>
      <c r="G37" s="218"/>
      <c r="H37" s="219"/>
      <c r="I37" s="220"/>
      <c r="J37" s="221"/>
      <c r="K37" s="202"/>
      <c r="L37" s="223"/>
      <c r="M37" s="249"/>
      <c r="N37" s="202"/>
      <c r="O37" s="202"/>
      <c r="P37" s="202"/>
      <c r="Q37" s="202"/>
      <c r="R37" s="202"/>
      <c r="S37" s="202"/>
      <c r="T37" s="202"/>
      <c r="U37" s="202"/>
      <c r="V37" s="202"/>
      <c r="W37" s="202"/>
      <c r="X37" s="202"/>
      <c r="Y37" s="202"/>
      <c r="Z37" s="202"/>
      <c r="AA37" s="202"/>
      <c r="AB37" s="202"/>
      <c r="AC37" s="202"/>
    </row>
    <row r="38" spans="1:29" s="299" customFormat="1" ht="54" customHeight="1" x14ac:dyDescent="0.3">
      <c r="B38" s="225">
        <v>8.1</v>
      </c>
      <c r="C38" s="295" t="s">
        <v>307</v>
      </c>
      <c r="D38" s="296" t="s">
        <v>19</v>
      </c>
      <c r="E38" s="3">
        <v>2</v>
      </c>
      <c r="F38" s="277"/>
      <c r="G38" s="207">
        <f t="shared" si="1"/>
        <v>0</v>
      </c>
      <c r="H38" s="208">
        <v>0.33</v>
      </c>
      <c r="I38" s="209">
        <f t="shared" si="2"/>
        <v>0</v>
      </c>
      <c r="J38" s="210">
        <f t="shared" si="0"/>
        <v>0</v>
      </c>
      <c r="L38" s="211"/>
      <c r="M38" s="117"/>
    </row>
    <row r="39" spans="1:29" s="299" customFormat="1" ht="37.5" customHeight="1" x14ac:dyDescent="0.3">
      <c r="B39" s="225">
        <v>8.1999999999999993</v>
      </c>
      <c r="C39" s="295" t="s">
        <v>308</v>
      </c>
      <c r="D39" s="296" t="s">
        <v>19</v>
      </c>
      <c r="E39" s="3">
        <v>1</v>
      </c>
      <c r="F39" s="277"/>
      <c r="G39" s="207">
        <f t="shared" si="1"/>
        <v>0</v>
      </c>
      <c r="H39" s="208">
        <v>0.33</v>
      </c>
      <c r="I39" s="209">
        <f t="shared" si="2"/>
        <v>0</v>
      </c>
      <c r="J39" s="210">
        <f t="shared" si="0"/>
        <v>0</v>
      </c>
      <c r="L39" s="211"/>
      <c r="M39" s="117"/>
    </row>
    <row r="40" spans="1:29" s="202" customFormat="1" x14ac:dyDescent="0.3">
      <c r="B40" s="213">
        <v>9</v>
      </c>
      <c r="C40" s="214" t="s">
        <v>17</v>
      </c>
      <c r="D40" s="215"/>
      <c r="E40" s="291"/>
      <c r="F40" s="217"/>
      <c r="G40" s="218"/>
      <c r="H40" s="219"/>
      <c r="I40" s="220"/>
      <c r="J40" s="221"/>
      <c r="L40" s="223"/>
      <c r="M40" s="249"/>
    </row>
    <row r="41" spans="1:29" x14ac:dyDescent="0.3">
      <c r="B41" s="225">
        <v>9.1</v>
      </c>
      <c r="C41" s="226" t="s">
        <v>18</v>
      </c>
      <c r="D41" s="228" t="s">
        <v>19</v>
      </c>
      <c r="E41" s="300">
        <v>1</v>
      </c>
      <c r="F41" s="207"/>
      <c r="G41" s="207">
        <f t="shared" si="1"/>
        <v>0</v>
      </c>
      <c r="H41" s="208">
        <v>0.33</v>
      </c>
      <c r="I41" s="209">
        <f t="shared" si="2"/>
        <v>0</v>
      </c>
      <c r="J41" s="210">
        <f t="shared" si="0"/>
        <v>0</v>
      </c>
      <c r="L41" s="211"/>
    </row>
    <row r="42" spans="1:29" ht="82.95" customHeight="1" thickBot="1" x14ac:dyDescent="0.35">
      <c r="B42" s="229">
        <v>9.3000000000000007</v>
      </c>
      <c r="C42" s="251" t="s">
        <v>245</v>
      </c>
      <c r="D42" s="231" t="s">
        <v>65</v>
      </c>
      <c r="E42" s="301">
        <v>18</v>
      </c>
      <c r="F42" s="233"/>
      <c r="G42" s="233">
        <f t="shared" si="1"/>
        <v>0</v>
      </c>
      <c r="H42" s="234">
        <v>0.33</v>
      </c>
      <c r="I42" s="235">
        <f t="shared" si="2"/>
        <v>0</v>
      </c>
      <c r="J42" s="236">
        <f t="shared" si="0"/>
        <v>0</v>
      </c>
      <c r="L42" s="211"/>
    </row>
    <row r="43" spans="1:29" x14ac:dyDescent="0.3">
      <c r="B43" s="121"/>
      <c r="C43" s="122"/>
      <c r="D43" s="123"/>
      <c r="E43" s="238"/>
      <c r="F43" s="239"/>
      <c r="G43" s="239"/>
      <c r="H43" s="252"/>
      <c r="I43" s="133"/>
      <c r="J43" s="133"/>
      <c r="K43" s="121"/>
      <c r="L43" s="211"/>
    </row>
    <row r="44" spans="1:29" s="119" customFormat="1" ht="18" customHeight="1" x14ac:dyDescent="0.3">
      <c r="B44" s="253"/>
      <c r="C44" s="118"/>
      <c r="D44" s="121"/>
      <c r="E44" s="124"/>
      <c r="F44" s="125"/>
      <c r="G44" s="125"/>
      <c r="H44" s="125"/>
      <c r="I44" s="125"/>
      <c r="J44" s="254"/>
      <c r="L44" s="211"/>
      <c r="M44" s="117"/>
      <c r="N44" s="126"/>
      <c r="O44" s="126"/>
      <c r="P44" s="126"/>
    </row>
    <row r="45" spans="1:29" x14ac:dyDescent="0.3">
      <c r="B45" s="242"/>
      <c r="C45" s="243"/>
      <c r="D45" s="483" t="s">
        <v>73</v>
      </c>
      <c r="E45" s="483"/>
      <c r="F45" s="483"/>
      <c r="G45" s="255">
        <f>SUM(G8:G43)</f>
        <v>0</v>
      </c>
      <c r="H45" s="245"/>
      <c r="I45" s="141"/>
      <c r="J45" s="256">
        <f>SUM(J8:J42)</f>
        <v>0</v>
      </c>
      <c r="L45" s="211"/>
      <c r="M45" s="142"/>
    </row>
    <row r="46" spans="1:29" x14ac:dyDescent="0.3">
      <c r="L46" s="119"/>
    </row>
    <row r="47" spans="1:29" x14ac:dyDescent="0.3">
      <c r="L47" s="469"/>
      <c r="M47" s="142"/>
    </row>
  </sheetData>
  <mergeCells count="10">
    <mergeCell ref="B7:J7"/>
    <mergeCell ref="D45:F45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EE045-B8FA-4EB6-ACDA-07F51C4C3E7E}">
  <sheetPr>
    <tabColor rgb="FF92D050"/>
  </sheetPr>
  <dimension ref="B1:P34"/>
  <sheetViews>
    <sheetView view="pageBreakPreview" topLeftCell="A18" zoomScale="60" zoomScaleNormal="70" workbookViewId="0">
      <selection activeCell="A33" sqref="A33:XFD395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3" ht="36" customHeight="1" thickBot="1" x14ac:dyDescent="0.35">
      <c r="B7" s="480" t="s">
        <v>88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2:13" s="119" customFormat="1" ht="4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86"/>
      <c r="I9" s="287"/>
      <c r="J9" s="288"/>
      <c r="L9" s="223"/>
      <c r="M9" s="249"/>
    </row>
    <row r="10" spans="2:13" ht="33.6" customHeight="1" x14ac:dyDescent="0.3">
      <c r="B10" s="203">
        <v>1.1000000000000001</v>
      </c>
      <c r="C10" s="226" t="s">
        <v>231</v>
      </c>
      <c r="D10" s="205" t="s">
        <v>40</v>
      </c>
      <c r="E10" s="206">
        <v>255.21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</row>
    <row r="11" spans="2:13" ht="31.95" customHeight="1" x14ac:dyDescent="0.3">
      <c r="B11" s="203">
        <v>1.2</v>
      </c>
      <c r="C11" s="204" t="s">
        <v>232</v>
      </c>
      <c r="D11" s="205" t="s">
        <v>40</v>
      </c>
      <c r="E11" s="206">
        <f>+E10</f>
        <v>255.21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2:13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2:13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2:13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49"/>
    </row>
    <row r="15" spans="2:13" ht="62.4" x14ac:dyDescent="0.3">
      <c r="B15" s="225">
        <v>2.1</v>
      </c>
      <c r="C15" s="226" t="s">
        <v>235</v>
      </c>
      <c r="D15" s="205" t="s">
        <v>40</v>
      </c>
      <c r="E15" s="206">
        <v>255.21</v>
      </c>
      <c r="F15" s="207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K15" s="121"/>
      <c r="L15" s="211"/>
    </row>
    <row r="16" spans="2:13" ht="46.8" x14ac:dyDescent="0.3">
      <c r="B16" s="225">
        <v>2.2000000000000002</v>
      </c>
      <c r="C16" s="226" t="s">
        <v>236</v>
      </c>
      <c r="D16" s="205" t="s">
        <v>371</v>
      </c>
      <c r="E16" s="206">
        <v>23.5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211"/>
    </row>
    <row r="17" spans="2:16" ht="64.95" customHeight="1" x14ac:dyDescent="0.3">
      <c r="B17" s="225">
        <v>2.2999999999999998</v>
      </c>
      <c r="C17" s="226" t="s">
        <v>246</v>
      </c>
      <c r="D17" s="228" t="s">
        <v>39</v>
      </c>
      <c r="E17" s="206">
        <v>188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</row>
    <row r="18" spans="2:16" ht="61.95" customHeight="1" x14ac:dyDescent="0.3">
      <c r="B18" s="225">
        <v>2.5</v>
      </c>
      <c r="C18" s="226" t="s">
        <v>247</v>
      </c>
      <c r="D18" s="205" t="s">
        <v>39</v>
      </c>
      <c r="E18" s="206">
        <f>10.5*2</f>
        <v>21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</row>
    <row r="19" spans="2:16" s="249" customFormat="1" x14ac:dyDescent="0.3">
      <c r="B19" s="213">
        <v>3</v>
      </c>
      <c r="C19" s="214" t="s">
        <v>28</v>
      </c>
      <c r="D19" s="215"/>
      <c r="E19" s="216"/>
      <c r="F19" s="217"/>
      <c r="G19" s="218"/>
      <c r="H19" s="219"/>
      <c r="I19" s="220"/>
      <c r="J19" s="221"/>
      <c r="K19" s="250"/>
      <c r="L19" s="223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31.92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</row>
    <row r="21" spans="2:16" ht="32.25" customHeight="1" x14ac:dyDescent="0.3">
      <c r="B21" s="225">
        <v>2.8</v>
      </c>
      <c r="C21" s="204" t="s">
        <v>240</v>
      </c>
      <c r="D21" s="205" t="s">
        <v>40</v>
      </c>
      <c r="E21" s="206">
        <f>10.64*1.5</f>
        <v>15.96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49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2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211"/>
    </row>
    <row r="24" spans="2:16" ht="75" customHeight="1" x14ac:dyDescent="0.3">
      <c r="B24" s="225">
        <v>4.2</v>
      </c>
      <c r="C24" s="227" t="s">
        <v>243</v>
      </c>
      <c r="D24" s="228" t="s">
        <v>19</v>
      </c>
      <c r="E24" s="206">
        <v>8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2:16" s="202" customFormat="1" x14ac:dyDescent="0.3">
      <c r="B26" s="213">
        <v>5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49"/>
    </row>
    <row r="27" spans="2:16" x14ac:dyDescent="0.3">
      <c r="B27" s="225">
        <v>5.0999999999999996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</row>
    <row r="28" spans="2:16" x14ac:dyDescent="0.3">
      <c r="B28" s="225">
        <v>5.2</v>
      </c>
      <c r="C28" s="226" t="s">
        <v>20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</row>
    <row r="29" spans="2:16" ht="81" customHeight="1" thickBot="1" x14ac:dyDescent="0.35">
      <c r="B29" s="229">
        <v>5.3</v>
      </c>
      <c r="C29" s="251" t="s">
        <v>245</v>
      </c>
      <c r="D29" s="231" t="s">
        <v>65</v>
      </c>
      <c r="E29" s="232">
        <v>6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K29" s="121"/>
      <c r="L29" s="211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16" s="119" customFormat="1" ht="18" customHeight="1" x14ac:dyDescent="0.3">
      <c r="B31" s="289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16" x14ac:dyDescent="0.3">
      <c r="B32" s="139"/>
      <c r="C32" s="243"/>
      <c r="D32" s="483" t="s">
        <v>78</v>
      </c>
      <c r="E32" s="483"/>
      <c r="F32" s="483"/>
      <c r="G32" s="255">
        <f>SUM(G8:G30)</f>
        <v>0</v>
      </c>
      <c r="H32" s="245"/>
      <c r="I32" s="141"/>
      <c r="J32" s="256">
        <f>SUM(J8:J29)</f>
        <v>0</v>
      </c>
      <c r="L32" s="211"/>
      <c r="M32" s="142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58EDC-571A-444C-A81F-36C9C883D0C4}">
  <sheetPr>
    <tabColor rgb="FF92D050"/>
  </sheetPr>
  <dimension ref="B1:P100"/>
  <sheetViews>
    <sheetView view="pageBreakPreview" topLeftCell="A77" zoomScale="60" zoomScaleNormal="70" workbookViewId="0">
      <selection activeCell="A99" sqref="A99:XFD367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4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 bestFit="1"/>
    <col min="18" max="18" width="16.33203125" style="117" bestFit="1" customWidth="1"/>
    <col min="19" max="16384" width="11.44140625" style="117"/>
  </cols>
  <sheetData>
    <row r="1" spans="2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607"/>
    </row>
    <row r="2" spans="2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608"/>
    </row>
    <row r="3" spans="2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608"/>
    </row>
    <row r="4" spans="2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609"/>
    </row>
    <row r="5" spans="2:13" ht="39" customHeight="1" thickBot="1" x14ac:dyDescent="0.35">
      <c r="B5" s="610" t="s">
        <v>186</v>
      </c>
      <c r="C5" s="611"/>
      <c r="D5" s="611"/>
      <c r="E5" s="611"/>
      <c r="F5" s="611"/>
      <c r="G5" s="611"/>
      <c r="H5" s="611"/>
      <c r="I5" s="611"/>
      <c r="J5" s="612"/>
    </row>
    <row r="6" spans="2:13" ht="52.95" customHeight="1" thickBot="1" x14ac:dyDescent="0.35">
      <c r="B6" s="613" t="s">
        <v>4</v>
      </c>
      <c r="C6" s="614"/>
      <c r="D6" s="614"/>
      <c r="E6" s="614"/>
      <c r="F6" s="614"/>
      <c r="G6" s="614"/>
      <c r="H6" s="614"/>
      <c r="I6" s="614"/>
      <c r="J6" s="615"/>
    </row>
    <row r="7" spans="2:13" ht="36" customHeight="1" thickBot="1" x14ac:dyDescent="0.35">
      <c r="B7" s="610" t="s">
        <v>90</v>
      </c>
      <c r="C7" s="611"/>
      <c r="D7" s="611"/>
      <c r="E7" s="611"/>
      <c r="F7" s="611"/>
      <c r="G7" s="611"/>
      <c r="H7" s="611"/>
      <c r="I7" s="611"/>
      <c r="J7" s="612"/>
      <c r="L7" s="211"/>
    </row>
    <row r="8" spans="2:13" s="119" customFormat="1" ht="46.2" customHeight="1" thickBot="1" x14ac:dyDescent="0.35">
      <c r="B8" s="187" t="s">
        <v>6</v>
      </c>
      <c r="C8" s="188" t="s">
        <v>7</v>
      </c>
      <c r="D8" s="189" t="s">
        <v>8</v>
      </c>
      <c r="E8" s="616" t="s">
        <v>9</v>
      </c>
      <c r="F8" s="617" t="s">
        <v>10</v>
      </c>
      <c r="G8" s="618" t="s">
        <v>11</v>
      </c>
      <c r="H8" s="618" t="s">
        <v>12</v>
      </c>
      <c r="I8" s="618" t="s">
        <v>13</v>
      </c>
      <c r="J8" s="619" t="s">
        <v>14</v>
      </c>
      <c r="L8" s="211"/>
      <c r="M8" s="117"/>
    </row>
    <row r="9" spans="2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302"/>
      <c r="H9" s="286"/>
      <c r="I9" s="287"/>
      <c r="J9" s="288"/>
      <c r="L9" s="223"/>
      <c r="M9" s="249"/>
    </row>
    <row r="10" spans="2:13" s="119" customFormat="1" ht="33.6" customHeight="1" x14ac:dyDescent="0.3">
      <c r="B10" s="203">
        <v>1.1000000000000001</v>
      </c>
      <c r="C10" s="303" t="s">
        <v>309</v>
      </c>
      <c r="D10" s="304" t="s">
        <v>40</v>
      </c>
      <c r="E10" s="305">
        <v>82.22</v>
      </c>
      <c r="F10" s="306"/>
      <c r="G10" s="306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  <c r="M10" s="212"/>
    </row>
    <row r="11" spans="2:13" ht="31.2" x14ac:dyDescent="0.3">
      <c r="B11" s="203">
        <v>1.2</v>
      </c>
      <c r="C11" s="307" t="s">
        <v>234</v>
      </c>
      <c r="D11" s="205" t="s">
        <v>39</v>
      </c>
      <c r="E11" s="206">
        <v>40.36</v>
      </c>
      <c r="F11" s="207"/>
      <c r="G11" s="306">
        <f>+ROUND(E11*F11,0)</f>
        <v>0</v>
      </c>
      <c r="H11" s="208">
        <v>0.33</v>
      </c>
      <c r="I11" s="209">
        <f>(F11*(1+H11))</f>
        <v>0</v>
      </c>
      <c r="J11" s="210">
        <f>ROUND(I11*E11,0)</f>
        <v>0</v>
      </c>
      <c r="L11" s="211"/>
      <c r="M11" s="212"/>
    </row>
    <row r="12" spans="2:13" x14ac:dyDescent="0.3">
      <c r="B12" s="203">
        <v>1.3</v>
      </c>
      <c r="C12" s="308" t="s">
        <v>310</v>
      </c>
      <c r="D12" s="205" t="s">
        <v>40</v>
      </c>
      <c r="E12" s="206">
        <v>82.22</v>
      </c>
      <c r="F12" s="207"/>
      <c r="G12" s="306">
        <f>+ROUND(E12*F12,0)</f>
        <v>0</v>
      </c>
      <c r="H12" s="208">
        <v>0.33</v>
      </c>
      <c r="I12" s="209">
        <f>(F12*(1+H12))</f>
        <v>0</v>
      </c>
      <c r="J12" s="210">
        <f>ROUND(I12*E12,0)</f>
        <v>0</v>
      </c>
      <c r="L12" s="211"/>
      <c r="M12" s="212"/>
    </row>
    <row r="13" spans="2:13" s="249" customFormat="1" x14ac:dyDescent="0.3">
      <c r="B13" s="262">
        <v>2</v>
      </c>
      <c r="C13" s="214" t="s">
        <v>91</v>
      </c>
      <c r="D13" s="215"/>
      <c r="E13" s="216"/>
      <c r="F13" s="217"/>
      <c r="G13" s="309"/>
      <c r="H13" s="219"/>
      <c r="I13" s="220"/>
      <c r="J13" s="221"/>
      <c r="L13" s="223"/>
      <c r="M13" s="224"/>
    </row>
    <row r="14" spans="2:13" ht="31.2" x14ac:dyDescent="0.3">
      <c r="B14" s="203">
        <v>2.1</v>
      </c>
      <c r="C14" s="308" t="s">
        <v>284</v>
      </c>
      <c r="D14" s="205" t="s">
        <v>65</v>
      </c>
      <c r="E14" s="310">
        <v>10.63</v>
      </c>
      <c r="F14" s="308"/>
      <c r="G14" s="306">
        <f>+ROUND(E14*F14,0)</f>
        <v>0</v>
      </c>
      <c r="H14" s="208">
        <v>0.33</v>
      </c>
      <c r="I14" s="209">
        <f>(F14*(1+H14))</f>
        <v>0</v>
      </c>
      <c r="J14" s="210">
        <f>ROUND(I14*E14,0)</f>
        <v>0</v>
      </c>
      <c r="L14" s="211"/>
      <c r="M14" s="212"/>
    </row>
    <row r="15" spans="2:13" ht="51" customHeight="1" x14ac:dyDescent="0.3">
      <c r="B15" s="203">
        <v>2.2000000000000002</v>
      </c>
      <c r="C15" s="226" t="s">
        <v>311</v>
      </c>
      <c r="D15" s="205" t="s">
        <v>65</v>
      </c>
      <c r="E15" s="206">
        <f>16.44+2.7</f>
        <v>19.14</v>
      </c>
      <c r="F15" s="207"/>
      <c r="G15" s="306">
        <f>+ROUND(E15*F15,0)</f>
        <v>0</v>
      </c>
      <c r="H15" s="208">
        <v>0.33</v>
      </c>
      <c r="I15" s="209">
        <f>(F15*(1+H15))</f>
        <v>0</v>
      </c>
      <c r="J15" s="210">
        <f>ROUND(I15*E15,0)</f>
        <v>0</v>
      </c>
      <c r="L15" s="211"/>
      <c r="M15" s="212"/>
    </row>
    <row r="16" spans="2:13" s="202" customFormat="1" x14ac:dyDescent="0.3">
      <c r="B16" s="213">
        <v>3</v>
      </c>
      <c r="C16" s="214" t="s">
        <v>92</v>
      </c>
      <c r="D16" s="215"/>
      <c r="E16" s="216"/>
      <c r="F16" s="217"/>
      <c r="G16" s="309"/>
      <c r="H16" s="219"/>
      <c r="I16" s="220"/>
      <c r="J16" s="221"/>
      <c r="L16" s="223"/>
      <c r="M16" s="224"/>
    </row>
    <row r="17" spans="2:14" s="311" customFormat="1" ht="31.2" x14ac:dyDescent="0.3">
      <c r="B17" s="225">
        <v>3.1</v>
      </c>
      <c r="C17" s="226" t="s">
        <v>312</v>
      </c>
      <c r="D17" s="205" t="s">
        <v>40</v>
      </c>
      <c r="E17" s="206">
        <v>12.64</v>
      </c>
      <c r="F17" s="207"/>
      <c r="G17" s="306">
        <f>+ROUND(E17*F17,0)</f>
        <v>0</v>
      </c>
      <c r="H17" s="208">
        <v>0.33</v>
      </c>
      <c r="I17" s="209">
        <f>(F17*(1+H17))</f>
        <v>0</v>
      </c>
      <c r="J17" s="210">
        <f>ROUND(I17*E17,0)</f>
        <v>0</v>
      </c>
      <c r="L17" s="211"/>
      <c r="M17" s="212"/>
    </row>
    <row r="18" spans="2:14" ht="31.2" x14ac:dyDescent="0.3">
      <c r="B18" s="225">
        <v>3.2</v>
      </c>
      <c r="C18" s="226" t="s">
        <v>294</v>
      </c>
      <c r="D18" s="205" t="s">
        <v>19</v>
      </c>
      <c r="E18" s="206">
        <v>9</v>
      </c>
      <c r="F18" s="207"/>
      <c r="G18" s="306">
        <f>+ROUND(E18*F18,0)</f>
        <v>0</v>
      </c>
      <c r="H18" s="208">
        <v>0.33</v>
      </c>
      <c r="I18" s="209">
        <f>(F18*(1+H18))</f>
        <v>0</v>
      </c>
      <c r="J18" s="210">
        <f>ROUND(I18*E18,0)</f>
        <v>0</v>
      </c>
      <c r="K18" s="119"/>
      <c r="L18" s="211"/>
      <c r="M18" s="212"/>
    </row>
    <row r="19" spans="2:14" ht="31.2" x14ac:dyDescent="0.3">
      <c r="B19" s="225">
        <v>3.3</v>
      </c>
      <c r="C19" s="226" t="s">
        <v>313</v>
      </c>
      <c r="D19" s="205" t="s">
        <v>39</v>
      </c>
      <c r="E19" s="206">
        <v>34.380000000000003</v>
      </c>
      <c r="F19" s="207"/>
      <c r="G19" s="306">
        <f>+ROUND(E19*F19,0)</f>
        <v>0</v>
      </c>
      <c r="H19" s="208">
        <v>0.33</v>
      </c>
      <c r="I19" s="209">
        <f>(F19*(1+H19))</f>
        <v>0</v>
      </c>
      <c r="J19" s="210">
        <f>ROUND(I19*E19,0)</f>
        <v>0</v>
      </c>
      <c r="L19" s="211"/>
      <c r="M19" s="212"/>
    </row>
    <row r="20" spans="2:14" ht="46.8" x14ac:dyDescent="0.3">
      <c r="B20" s="225">
        <v>3.4</v>
      </c>
      <c r="C20" s="226" t="s">
        <v>314</v>
      </c>
      <c r="D20" s="205" t="s">
        <v>39</v>
      </c>
      <c r="E20" s="206">
        <v>4.05</v>
      </c>
      <c r="F20" s="207"/>
      <c r="G20" s="306">
        <f>+ROUND(E20*F20,0)</f>
        <v>0</v>
      </c>
      <c r="H20" s="208">
        <v>0.33</v>
      </c>
      <c r="I20" s="209">
        <f>(F20*(1+H20))</f>
        <v>0</v>
      </c>
      <c r="J20" s="210">
        <f>ROUND(I20*E20,0)</f>
        <v>0</v>
      </c>
      <c r="L20" s="211"/>
      <c r="M20" s="212"/>
    </row>
    <row r="21" spans="2:14" s="202" customFormat="1" x14ac:dyDescent="0.3">
      <c r="B21" s="213">
        <v>4</v>
      </c>
      <c r="C21" s="214" t="s">
        <v>68</v>
      </c>
      <c r="D21" s="215"/>
      <c r="E21" s="216"/>
      <c r="F21" s="217"/>
      <c r="G21" s="309"/>
      <c r="H21" s="219"/>
      <c r="I21" s="220"/>
      <c r="J21" s="221"/>
      <c r="L21" s="223"/>
      <c r="M21" s="224"/>
    </row>
    <row r="22" spans="2:14" s="119" customFormat="1" ht="34.5" customHeight="1" x14ac:dyDescent="0.3">
      <c r="B22" s="225">
        <v>4.0999999999999996</v>
      </c>
      <c r="C22" s="226" t="s">
        <v>240</v>
      </c>
      <c r="D22" s="205" t="s">
        <v>40</v>
      </c>
      <c r="E22" s="206">
        <v>67.55</v>
      </c>
      <c r="F22" s="207"/>
      <c r="G22" s="306">
        <f>+ROUND(E22*F22,0)</f>
        <v>0</v>
      </c>
      <c r="H22" s="208">
        <v>0.33</v>
      </c>
      <c r="I22" s="209">
        <f>(F22*(1+H22))</f>
        <v>0</v>
      </c>
      <c r="J22" s="210">
        <f>ROUND(I22*E22,0)</f>
        <v>0</v>
      </c>
      <c r="L22" s="211"/>
      <c r="M22" s="212"/>
    </row>
    <row r="23" spans="2:14" s="119" customFormat="1" ht="46.8" x14ac:dyDescent="0.3">
      <c r="B23" s="225">
        <v>4.2</v>
      </c>
      <c r="C23" s="312" t="s">
        <v>315</v>
      </c>
      <c r="D23" s="228" t="s">
        <v>39</v>
      </c>
      <c r="E23" s="206">
        <v>16.600000000000001</v>
      </c>
      <c r="F23" s="207"/>
      <c r="G23" s="306">
        <f>+ROUND(E23*F23,0)</f>
        <v>0</v>
      </c>
      <c r="H23" s="208">
        <v>0.33</v>
      </c>
      <c r="I23" s="209">
        <f>(F23*(1+H23))</f>
        <v>0</v>
      </c>
      <c r="J23" s="210">
        <f>ROUND(I23*E23,0)</f>
        <v>0</v>
      </c>
      <c r="L23" s="211"/>
      <c r="M23" s="212"/>
    </row>
    <row r="24" spans="2:14" s="202" customFormat="1" x14ac:dyDescent="0.3">
      <c r="B24" s="213">
        <v>5</v>
      </c>
      <c r="C24" s="214" t="s">
        <v>75</v>
      </c>
      <c r="D24" s="215"/>
      <c r="E24" s="216"/>
      <c r="F24" s="217"/>
      <c r="G24" s="309"/>
      <c r="H24" s="219"/>
      <c r="I24" s="220"/>
      <c r="J24" s="221"/>
      <c r="L24" s="223"/>
      <c r="M24" s="224"/>
    </row>
    <row r="25" spans="2:14" s="119" customFormat="1" ht="31.2" x14ac:dyDescent="0.3">
      <c r="B25" s="225">
        <v>5.0999999999999996</v>
      </c>
      <c r="C25" s="312" t="s">
        <v>316</v>
      </c>
      <c r="D25" s="228" t="s">
        <v>39</v>
      </c>
      <c r="E25" s="206">
        <v>40.380000000000003</v>
      </c>
      <c r="F25" s="207"/>
      <c r="G25" s="306">
        <f>+ROUND(E25*F25,0)</f>
        <v>0</v>
      </c>
      <c r="H25" s="208">
        <v>0.33</v>
      </c>
      <c r="I25" s="209">
        <f>(F25*(1+H25))</f>
        <v>0</v>
      </c>
      <c r="J25" s="210">
        <f>ROUND(I25*E25,0)</f>
        <v>0</v>
      </c>
      <c r="L25" s="211"/>
      <c r="M25" s="212"/>
    </row>
    <row r="26" spans="2:14" s="119" customFormat="1" ht="46.8" x14ac:dyDescent="0.3">
      <c r="B26" s="225">
        <v>5.2</v>
      </c>
      <c r="C26" s="312" t="s">
        <v>303</v>
      </c>
      <c r="D26" s="228" t="s">
        <v>39</v>
      </c>
      <c r="E26" s="206">
        <v>4.05</v>
      </c>
      <c r="F26" s="207"/>
      <c r="G26" s="306">
        <f>+ROUND(E26*F26,0)</f>
        <v>0</v>
      </c>
      <c r="H26" s="208">
        <v>0.33</v>
      </c>
      <c r="I26" s="209">
        <f>(F26*(1+H26))</f>
        <v>0</v>
      </c>
      <c r="J26" s="210">
        <f>ROUND(I26*E26,0)</f>
        <v>0</v>
      </c>
      <c r="L26" s="211"/>
      <c r="M26" s="212"/>
    </row>
    <row r="27" spans="2:14" s="119" customFormat="1" ht="31.2" x14ac:dyDescent="0.3">
      <c r="B27" s="225">
        <v>5.3</v>
      </c>
      <c r="C27" s="313" t="s">
        <v>317</v>
      </c>
      <c r="D27" s="228" t="s">
        <v>39</v>
      </c>
      <c r="E27" s="206">
        <v>37.049999999999997</v>
      </c>
      <c r="F27" s="207"/>
      <c r="G27" s="306">
        <f>+ROUND(E27*F27,0)</f>
        <v>0</v>
      </c>
      <c r="H27" s="208">
        <v>0.33</v>
      </c>
      <c r="I27" s="209">
        <f>(F27*(1+H27))</f>
        <v>0</v>
      </c>
      <c r="J27" s="210">
        <f>ROUND(I27*E27,0)</f>
        <v>0</v>
      </c>
      <c r="L27" s="211"/>
      <c r="M27" s="212"/>
    </row>
    <row r="28" spans="2:14" s="119" customFormat="1" ht="31.2" x14ac:dyDescent="0.3">
      <c r="B28" s="225">
        <v>5.4</v>
      </c>
      <c r="C28" s="312" t="s">
        <v>318</v>
      </c>
      <c r="D28" s="228" t="s">
        <v>39</v>
      </c>
      <c r="E28" s="206">
        <v>32</v>
      </c>
      <c r="F28" s="207"/>
      <c r="G28" s="306">
        <f>+ROUND(E28*F28,0)</f>
        <v>0</v>
      </c>
      <c r="H28" s="208">
        <v>0.33</v>
      </c>
      <c r="I28" s="209">
        <f>(F28*(1+H28))</f>
        <v>0</v>
      </c>
      <c r="J28" s="210">
        <f>ROUND(I28*E28,0)</f>
        <v>0</v>
      </c>
      <c r="L28" s="211"/>
      <c r="M28" s="212"/>
    </row>
    <row r="29" spans="2:14" s="119" customFormat="1" ht="31.2" x14ac:dyDescent="0.3">
      <c r="B29" s="225">
        <v>5.6</v>
      </c>
      <c r="C29" s="312" t="s">
        <v>319</v>
      </c>
      <c r="D29" s="228" t="s">
        <v>39</v>
      </c>
      <c r="E29" s="206">
        <v>28.5</v>
      </c>
      <c r="F29" s="207"/>
      <c r="G29" s="306">
        <f>+ROUND(E29*F29,0)</f>
        <v>0</v>
      </c>
      <c r="H29" s="208">
        <v>0.33</v>
      </c>
      <c r="I29" s="209">
        <f>(F29*(1+H29))</f>
        <v>0</v>
      </c>
      <c r="J29" s="210">
        <f>ROUND(I29*E29,0)</f>
        <v>0</v>
      </c>
      <c r="L29" s="211"/>
      <c r="M29" s="212"/>
    </row>
    <row r="30" spans="2:14" s="119" customFormat="1" ht="31.2" x14ac:dyDescent="0.3">
      <c r="B30" s="225">
        <v>5.7</v>
      </c>
      <c r="C30" s="312" t="s">
        <v>320</v>
      </c>
      <c r="D30" s="292" t="s">
        <v>40</v>
      </c>
      <c r="E30" s="206">
        <v>2.56</v>
      </c>
      <c r="F30" s="207"/>
      <c r="G30" s="306">
        <f>+ROUND(E30*F30,0)</f>
        <v>0</v>
      </c>
      <c r="H30" s="208">
        <v>0.33</v>
      </c>
      <c r="I30" s="209">
        <f>(F30*(1+H30))</f>
        <v>0</v>
      </c>
      <c r="J30" s="210">
        <f>ROUND(I30*E30,0)</f>
        <v>0</v>
      </c>
      <c r="L30" s="211"/>
      <c r="M30" s="212"/>
    </row>
    <row r="31" spans="2:14" s="202" customFormat="1" x14ac:dyDescent="0.3">
      <c r="B31" s="213">
        <v>6</v>
      </c>
      <c r="C31" s="214" t="s">
        <v>76</v>
      </c>
      <c r="D31" s="215"/>
      <c r="E31" s="216"/>
      <c r="F31" s="217"/>
      <c r="G31" s="309"/>
      <c r="H31" s="219"/>
      <c r="I31" s="220"/>
      <c r="J31" s="221"/>
      <c r="L31" s="223"/>
      <c r="M31" s="224"/>
    </row>
    <row r="32" spans="2:14" s="119" customFormat="1" ht="31.2" x14ac:dyDescent="0.3">
      <c r="B32" s="314">
        <v>6.1</v>
      </c>
      <c r="C32" s="315" t="s">
        <v>296</v>
      </c>
      <c r="D32" s="205" t="s">
        <v>83</v>
      </c>
      <c r="E32" s="310">
        <v>2511.41</v>
      </c>
      <c r="F32" s="316"/>
      <c r="G32" s="306">
        <f>+ROUND(E32*F32,0)</f>
        <v>0</v>
      </c>
      <c r="H32" s="208">
        <v>0.33</v>
      </c>
      <c r="I32" s="209">
        <f>(F32*(1+H32))</f>
        <v>0</v>
      </c>
      <c r="J32" s="210">
        <f>ROUND(I32*E32,0)</f>
        <v>0</v>
      </c>
      <c r="L32" s="211"/>
      <c r="M32" s="212"/>
      <c r="N32" s="317"/>
    </row>
    <row r="33" spans="2:14" s="119" customFormat="1" ht="31.2" x14ac:dyDescent="0.3">
      <c r="B33" s="314">
        <v>6.2</v>
      </c>
      <c r="C33" s="315" t="s">
        <v>304</v>
      </c>
      <c r="D33" s="205" t="s">
        <v>40</v>
      </c>
      <c r="E33" s="310">
        <v>53.12</v>
      </c>
      <c r="F33" s="316"/>
      <c r="G33" s="306">
        <f>+ROUND(E33*F33,0)</f>
        <v>0</v>
      </c>
      <c r="H33" s="208">
        <v>0.33</v>
      </c>
      <c r="I33" s="209">
        <f>(F33*(1+H33))</f>
        <v>0</v>
      </c>
      <c r="J33" s="210">
        <f>ROUND(I33*E33,0)</f>
        <v>0</v>
      </c>
      <c r="L33" s="211"/>
      <c r="M33" s="212"/>
      <c r="N33" s="317"/>
    </row>
    <row r="34" spans="2:14" s="202" customFormat="1" x14ac:dyDescent="0.3">
      <c r="B34" s="213">
        <v>7</v>
      </c>
      <c r="C34" s="214" t="s">
        <v>43</v>
      </c>
      <c r="D34" s="215"/>
      <c r="E34" s="216"/>
      <c r="F34" s="217"/>
      <c r="G34" s="309"/>
      <c r="H34" s="219"/>
      <c r="I34" s="220"/>
      <c r="J34" s="221"/>
      <c r="L34" s="223"/>
      <c r="M34" s="224"/>
    </row>
    <row r="35" spans="2:14" ht="64.2" customHeight="1" x14ac:dyDescent="0.3">
      <c r="B35" s="225">
        <v>7.1</v>
      </c>
      <c r="C35" s="226" t="s">
        <v>321</v>
      </c>
      <c r="D35" s="205">
        <v>0</v>
      </c>
      <c r="E35" s="206">
        <v>1</v>
      </c>
      <c r="F35" s="207"/>
      <c r="G35" s="306">
        <f>+ROUND(E35*F35,0)</f>
        <v>0</v>
      </c>
      <c r="H35" s="208">
        <v>0.33</v>
      </c>
      <c r="I35" s="209">
        <f>(F35*(1+H35))</f>
        <v>0</v>
      </c>
      <c r="J35" s="210">
        <f>ROUND(I35*E35,0)</f>
        <v>0</v>
      </c>
      <c r="K35" s="121"/>
      <c r="L35" s="211"/>
      <c r="M35" s="212"/>
    </row>
    <row r="36" spans="2:14" ht="46.8" x14ac:dyDescent="0.3">
      <c r="B36" s="225">
        <v>7.2</v>
      </c>
      <c r="C36" s="226" t="s">
        <v>322</v>
      </c>
      <c r="D36" s="205" t="s">
        <v>19</v>
      </c>
      <c r="E36" s="206">
        <v>7</v>
      </c>
      <c r="F36" s="207"/>
      <c r="G36" s="306">
        <f>+ROUND(E36*F36,0)</f>
        <v>0</v>
      </c>
      <c r="H36" s="208">
        <v>0.33</v>
      </c>
      <c r="I36" s="209">
        <f>(F36*(1+H36))</f>
        <v>0</v>
      </c>
      <c r="J36" s="210">
        <f>ROUND(I36*E36,0)</f>
        <v>0</v>
      </c>
      <c r="K36" s="121"/>
      <c r="L36" s="211"/>
      <c r="M36" s="212"/>
    </row>
    <row r="37" spans="2:14" ht="49.95" customHeight="1" x14ac:dyDescent="0.3">
      <c r="B37" s="225">
        <v>7.3</v>
      </c>
      <c r="C37" s="226" t="s">
        <v>242</v>
      </c>
      <c r="D37" s="205" t="s">
        <v>19</v>
      </c>
      <c r="E37" s="206">
        <v>1</v>
      </c>
      <c r="F37" s="207"/>
      <c r="G37" s="306">
        <f>+ROUND(E37*F37,0)</f>
        <v>0</v>
      </c>
      <c r="H37" s="208">
        <v>0.33</v>
      </c>
      <c r="I37" s="209">
        <f>(F37*(1+H37))</f>
        <v>0</v>
      </c>
      <c r="J37" s="210">
        <f>ROUND(I37*E37,0)</f>
        <v>0</v>
      </c>
      <c r="K37" s="121"/>
      <c r="L37" s="211"/>
      <c r="M37" s="212"/>
    </row>
    <row r="38" spans="2:14" ht="48.6" customHeight="1" x14ac:dyDescent="0.3">
      <c r="B38" s="225">
        <v>7.4</v>
      </c>
      <c r="C38" s="226" t="s">
        <v>267</v>
      </c>
      <c r="D38" s="205" t="s">
        <v>19</v>
      </c>
      <c r="E38" s="206">
        <v>3</v>
      </c>
      <c r="F38" s="207"/>
      <c r="G38" s="306">
        <f>+ROUND(E38*F38,0)</f>
        <v>0</v>
      </c>
      <c r="H38" s="208">
        <v>0.33</v>
      </c>
      <c r="I38" s="209">
        <f>(F38*(1+H38))</f>
        <v>0</v>
      </c>
      <c r="J38" s="210">
        <f>ROUND(I38*E38,0)</f>
        <v>0</v>
      </c>
      <c r="K38" s="121"/>
      <c r="L38" s="211"/>
      <c r="M38" s="212"/>
    </row>
    <row r="39" spans="2:14" ht="79.95" customHeight="1" x14ac:dyDescent="0.3">
      <c r="B39" s="225">
        <v>7.5</v>
      </c>
      <c r="C39" s="226" t="s">
        <v>243</v>
      </c>
      <c r="D39" s="205" t="s">
        <v>19</v>
      </c>
      <c r="E39" s="206">
        <v>6</v>
      </c>
      <c r="F39" s="207"/>
      <c r="G39" s="306">
        <f>+ROUND(E39*F39,0)</f>
        <v>0</v>
      </c>
      <c r="H39" s="208">
        <v>0.33</v>
      </c>
      <c r="I39" s="209">
        <f>(F39*(1+H39))</f>
        <v>0</v>
      </c>
      <c r="J39" s="210">
        <f>ROUND(I39*E39,0)</f>
        <v>0</v>
      </c>
      <c r="K39" s="121"/>
      <c r="L39" s="211"/>
      <c r="M39" s="212"/>
    </row>
    <row r="40" spans="2:14" ht="33" customHeight="1" x14ac:dyDescent="0.3">
      <c r="B40" s="225">
        <v>7.6</v>
      </c>
      <c r="C40" s="226" t="s">
        <v>244</v>
      </c>
      <c r="D40" s="205" t="s">
        <v>39</v>
      </c>
      <c r="E40" s="206">
        <v>15</v>
      </c>
      <c r="F40" s="207"/>
      <c r="G40" s="306">
        <f>+ROUND(E40*F40,0)</f>
        <v>0</v>
      </c>
      <c r="H40" s="208">
        <v>0.33</v>
      </c>
      <c r="I40" s="209">
        <f>(F40*(1+H40))</f>
        <v>0</v>
      </c>
      <c r="J40" s="210">
        <f>ROUND(I40*E40,0)</f>
        <v>0</v>
      </c>
      <c r="K40" s="121"/>
      <c r="L40" s="211"/>
      <c r="M40" s="212"/>
    </row>
    <row r="41" spans="2:14" ht="46.8" x14ac:dyDescent="0.3">
      <c r="B41" s="225">
        <v>7.7</v>
      </c>
      <c r="C41" s="226" t="s">
        <v>323</v>
      </c>
      <c r="D41" s="205" t="s">
        <v>39</v>
      </c>
      <c r="E41" s="206">
        <v>15</v>
      </c>
      <c r="F41" s="207"/>
      <c r="G41" s="306">
        <f>+ROUND(E41*F41,0)</f>
        <v>0</v>
      </c>
      <c r="H41" s="208">
        <v>0.33</v>
      </c>
      <c r="I41" s="209">
        <f>(F41*(1+H41))</f>
        <v>0</v>
      </c>
      <c r="J41" s="210">
        <f>ROUND(I41*E41,0)</f>
        <v>0</v>
      </c>
      <c r="K41" s="121"/>
      <c r="L41" s="211"/>
      <c r="M41" s="212"/>
    </row>
    <row r="42" spans="2:14" s="202" customFormat="1" x14ac:dyDescent="0.3">
      <c r="B42" s="213">
        <v>8</v>
      </c>
      <c r="C42" s="214" t="s">
        <v>93</v>
      </c>
      <c r="D42" s="215"/>
      <c r="E42" s="216"/>
      <c r="F42" s="217"/>
      <c r="G42" s="309"/>
      <c r="H42" s="219"/>
      <c r="I42" s="220"/>
      <c r="J42" s="221"/>
      <c r="L42" s="223"/>
      <c r="M42" s="224"/>
    </row>
    <row r="43" spans="2:14" ht="31.2" x14ac:dyDescent="0.3">
      <c r="B43" s="225">
        <v>8.1</v>
      </c>
      <c r="C43" s="226" t="s">
        <v>297</v>
      </c>
      <c r="D43" s="205" t="s">
        <v>40</v>
      </c>
      <c r="E43" s="206">
        <v>223.04</v>
      </c>
      <c r="F43" s="207"/>
      <c r="G43" s="306">
        <f>+ROUND(E43*F43,0)</f>
        <v>0</v>
      </c>
      <c r="H43" s="208">
        <v>0.33</v>
      </c>
      <c r="I43" s="209">
        <f>(F43*(1+H43))</f>
        <v>0</v>
      </c>
      <c r="J43" s="210">
        <f>ROUND(I43*E43,0)</f>
        <v>0</v>
      </c>
      <c r="K43" s="121"/>
      <c r="L43" s="211"/>
      <c r="M43" s="212"/>
    </row>
    <row r="44" spans="2:14" s="202" customFormat="1" x14ac:dyDescent="0.3">
      <c r="B44" s="213">
        <v>9</v>
      </c>
      <c r="C44" s="214" t="s">
        <v>94</v>
      </c>
      <c r="D44" s="215"/>
      <c r="E44" s="216"/>
      <c r="F44" s="217"/>
      <c r="G44" s="309"/>
      <c r="H44" s="219"/>
      <c r="I44" s="220"/>
      <c r="J44" s="221"/>
      <c r="L44" s="223"/>
      <c r="M44" s="224"/>
    </row>
    <row r="45" spans="2:14" ht="62.4" x14ac:dyDescent="0.3">
      <c r="B45" s="225">
        <v>9.1</v>
      </c>
      <c r="C45" s="226" t="s">
        <v>235</v>
      </c>
      <c r="D45" s="205" t="s">
        <v>40</v>
      </c>
      <c r="E45" s="206">
        <v>87.3</v>
      </c>
      <c r="F45" s="207"/>
      <c r="G45" s="306">
        <f>+ROUND(E45*F45,0)</f>
        <v>0</v>
      </c>
      <c r="H45" s="208">
        <v>0.33</v>
      </c>
      <c r="I45" s="209">
        <f>(F45*(1+H45))</f>
        <v>0</v>
      </c>
      <c r="J45" s="210">
        <f>ROUND(I45*E45,0)</f>
        <v>0</v>
      </c>
      <c r="K45" s="121"/>
      <c r="L45" s="211"/>
      <c r="M45" s="212"/>
    </row>
    <row r="46" spans="2:14" ht="46.8" x14ac:dyDescent="0.3">
      <c r="B46" s="225">
        <v>9.1999999999999993</v>
      </c>
      <c r="C46" s="226" t="s">
        <v>236</v>
      </c>
      <c r="D46" s="205" t="s">
        <v>371</v>
      </c>
      <c r="E46" s="206">
        <v>9.6999999999999993</v>
      </c>
      <c r="F46" s="207"/>
      <c r="G46" s="306">
        <f>+ROUND(E46*F46,0)</f>
        <v>0</v>
      </c>
      <c r="H46" s="208">
        <v>0.33</v>
      </c>
      <c r="I46" s="209">
        <f>(F46*(1+H46))</f>
        <v>0</v>
      </c>
      <c r="J46" s="210">
        <f>ROUND(I46*E46,0)</f>
        <v>0</v>
      </c>
      <c r="K46" s="121"/>
      <c r="L46" s="211"/>
      <c r="M46" s="212"/>
    </row>
    <row r="47" spans="2:14" x14ac:dyDescent="0.3">
      <c r="B47" s="225">
        <v>9.3000000000000007</v>
      </c>
      <c r="C47" s="226" t="s">
        <v>324</v>
      </c>
      <c r="D47" s="205" t="s">
        <v>39</v>
      </c>
      <c r="E47" s="206">
        <v>97</v>
      </c>
      <c r="F47" s="207"/>
      <c r="G47" s="306">
        <f>+ROUND(E47*F47,0)</f>
        <v>0</v>
      </c>
      <c r="H47" s="208">
        <v>0.33</v>
      </c>
      <c r="I47" s="209">
        <f>(F47*(1+H47))</f>
        <v>0</v>
      </c>
      <c r="J47" s="210">
        <f>ROUND(I47*E47,0)</f>
        <v>0</v>
      </c>
      <c r="K47" s="121"/>
      <c r="L47" s="211"/>
      <c r="M47" s="212"/>
    </row>
    <row r="48" spans="2:14" s="202" customFormat="1" x14ac:dyDescent="0.3">
      <c r="B48" s="213">
        <v>10</v>
      </c>
      <c r="C48" s="214" t="s">
        <v>27</v>
      </c>
      <c r="D48" s="215"/>
      <c r="E48" s="216"/>
      <c r="F48" s="217"/>
      <c r="G48" s="309"/>
      <c r="H48" s="219"/>
      <c r="I48" s="220"/>
      <c r="J48" s="221"/>
      <c r="L48" s="223"/>
      <c r="M48" s="224"/>
    </row>
    <row r="49" spans="2:13" ht="31.2" x14ac:dyDescent="0.3">
      <c r="B49" s="225">
        <v>10.1</v>
      </c>
      <c r="C49" s="226" t="s">
        <v>325</v>
      </c>
      <c r="D49" s="205" t="s">
        <v>40</v>
      </c>
      <c r="E49" s="206">
        <v>53.12</v>
      </c>
      <c r="F49" s="207"/>
      <c r="G49" s="306">
        <f>+ROUND(E49*F49,0)</f>
        <v>0</v>
      </c>
      <c r="H49" s="208">
        <v>0.33</v>
      </c>
      <c r="I49" s="209">
        <f>(F49*(1+H49))</f>
        <v>0</v>
      </c>
      <c r="J49" s="210">
        <f>ROUND(I49*E49,0)</f>
        <v>0</v>
      </c>
      <c r="K49" s="121"/>
      <c r="L49" s="211"/>
      <c r="M49" s="212"/>
    </row>
    <row r="50" spans="2:13" ht="31.2" x14ac:dyDescent="0.3">
      <c r="B50" s="225">
        <v>10.199999999999999</v>
      </c>
      <c r="C50" s="226" t="s">
        <v>285</v>
      </c>
      <c r="D50" s="205" t="s">
        <v>65</v>
      </c>
      <c r="E50" s="206">
        <v>53.19</v>
      </c>
      <c r="F50" s="207"/>
      <c r="G50" s="306">
        <f>+ROUND(E50*F50,0)</f>
        <v>0</v>
      </c>
      <c r="H50" s="208">
        <v>0.33</v>
      </c>
      <c r="I50" s="209">
        <f>(F50*(1+H50))</f>
        <v>0</v>
      </c>
      <c r="J50" s="210">
        <f>ROUND(I50*E50,0)</f>
        <v>0</v>
      </c>
      <c r="K50" s="121"/>
      <c r="L50" s="211"/>
      <c r="M50" s="212"/>
    </row>
    <row r="51" spans="2:13" ht="37.950000000000003" customHeight="1" x14ac:dyDescent="0.3">
      <c r="B51" s="225">
        <v>10.3</v>
      </c>
      <c r="C51" s="226" t="s">
        <v>253</v>
      </c>
      <c r="D51" s="205" t="s">
        <v>40</v>
      </c>
      <c r="E51" s="206">
        <v>53.19</v>
      </c>
      <c r="F51" s="207"/>
      <c r="G51" s="306">
        <f>+ROUND(E51*F51,0)</f>
        <v>0</v>
      </c>
      <c r="H51" s="208">
        <v>0.33</v>
      </c>
      <c r="I51" s="209">
        <f>(F51*(1+H51))</f>
        <v>0</v>
      </c>
      <c r="J51" s="210">
        <f>ROUND(I51*E51,0)</f>
        <v>0</v>
      </c>
      <c r="K51" s="121"/>
      <c r="L51" s="211"/>
      <c r="M51" s="212"/>
    </row>
    <row r="52" spans="2:13" ht="31.2" x14ac:dyDescent="0.3">
      <c r="B52" s="225">
        <v>10.4</v>
      </c>
      <c r="C52" s="226" t="s">
        <v>278</v>
      </c>
      <c r="D52" s="205" t="s">
        <v>40</v>
      </c>
      <c r="E52" s="206">
        <v>53.19</v>
      </c>
      <c r="F52" s="207"/>
      <c r="G52" s="306">
        <f>+ROUND(E52*F52,0)</f>
        <v>0</v>
      </c>
      <c r="H52" s="208">
        <v>0.33</v>
      </c>
      <c r="I52" s="209">
        <f>(F52*(1+H52))</f>
        <v>0</v>
      </c>
      <c r="J52" s="210">
        <f>ROUND(I52*E52,0)</f>
        <v>0</v>
      </c>
      <c r="K52" s="121"/>
      <c r="L52" s="211"/>
      <c r="M52" s="212"/>
    </row>
    <row r="53" spans="2:13" ht="46.8" x14ac:dyDescent="0.3">
      <c r="B53" s="225">
        <v>10.5</v>
      </c>
      <c r="C53" s="226" t="s">
        <v>306</v>
      </c>
      <c r="D53" s="205" t="s">
        <v>39</v>
      </c>
      <c r="E53" s="206">
        <v>30</v>
      </c>
      <c r="F53" s="207"/>
      <c r="G53" s="306">
        <f>+ROUND(E53*F53,0)</f>
        <v>0</v>
      </c>
      <c r="H53" s="208">
        <v>0.33</v>
      </c>
      <c r="I53" s="209">
        <f>(F53*(1+H53))</f>
        <v>0</v>
      </c>
      <c r="J53" s="210">
        <f>ROUND(I53*E53,0)</f>
        <v>0</v>
      </c>
      <c r="K53" s="121"/>
      <c r="L53" s="211"/>
      <c r="M53" s="212"/>
    </row>
    <row r="54" spans="2:13" ht="31.2" x14ac:dyDescent="0.3">
      <c r="B54" s="225">
        <v>10.6</v>
      </c>
      <c r="C54" s="226" t="s">
        <v>268</v>
      </c>
      <c r="D54" s="205" t="s">
        <v>40</v>
      </c>
      <c r="E54" s="206">
        <v>25</v>
      </c>
      <c r="F54" s="207"/>
      <c r="G54" s="306">
        <f>+ROUND(E54*F54,0)</f>
        <v>0</v>
      </c>
      <c r="H54" s="208">
        <v>0.33</v>
      </c>
      <c r="I54" s="209">
        <f>(F54*(1+H54))</f>
        <v>0</v>
      </c>
      <c r="J54" s="210">
        <f>ROUND(I54*E54,0)</f>
        <v>0</v>
      </c>
      <c r="K54" s="121"/>
      <c r="L54" s="211"/>
      <c r="M54" s="212"/>
    </row>
    <row r="55" spans="2:13" s="202" customFormat="1" x14ac:dyDescent="0.3">
      <c r="B55" s="213">
        <v>11</v>
      </c>
      <c r="C55" s="214" t="s">
        <v>95</v>
      </c>
      <c r="D55" s="215"/>
      <c r="E55" s="216"/>
      <c r="F55" s="217"/>
      <c r="G55" s="309"/>
      <c r="H55" s="219"/>
      <c r="I55" s="220"/>
      <c r="J55" s="221"/>
      <c r="L55" s="223"/>
      <c r="M55" s="224"/>
    </row>
    <row r="56" spans="2:13" ht="46.8" x14ac:dyDescent="0.3">
      <c r="B56" s="225">
        <v>11.1</v>
      </c>
      <c r="C56" s="226" t="s">
        <v>326</v>
      </c>
      <c r="D56" s="205" t="s">
        <v>40</v>
      </c>
      <c r="E56" s="206">
        <v>17.25</v>
      </c>
      <c r="F56" s="207"/>
      <c r="G56" s="306">
        <f>+ROUND(E56*F56,0)</f>
        <v>0</v>
      </c>
      <c r="H56" s="208">
        <v>0.33</v>
      </c>
      <c r="I56" s="209">
        <f>(F56*(1+H56))</f>
        <v>0</v>
      </c>
      <c r="J56" s="210">
        <f>ROUND(I56*E56,0)</f>
        <v>0</v>
      </c>
      <c r="K56" s="121"/>
      <c r="L56" s="211"/>
      <c r="M56" s="212"/>
    </row>
    <row r="57" spans="2:13" ht="85.95" customHeight="1" x14ac:dyDescent="0.3">
      <c r="B57" s="225">
        <v>11.2</v>
      </c>
      <c r="C57" s="226" t="s">
        <v>327</v>
      </c>
      <c r="D57" s="205" t="s">
        <v>19</v>
      </c>
      <c r="E57" s="206">
        <v>1</v>
      </c>
      <c r="F57" s="207"/>
      <c r="G57" s="306">
        <f>+ROUND(E57*F57,0)</f>
        <v>0</v>
      </c>
      <c r="H57" s="208">
        <v>0.33</v>
      </c>
      <c r="I57" s="209">
        <f>(F57*(1+H57))</f>
        <v>0</v>
      </c>
      <c r="J57" s="210">
        <f>ROUND(I57*E57,0)</f>
        <v>0</v>
      </c>
      <c r="K57" s="121"/>
      <c r="L57" s="211"/>
      <c r="M57" s="212"/>
    </row>
    <row r="58" spans="2:13" ht="82.2" customHeight="1" x14ac:dyDescent="0.3">
      <c r="B58" s="225">
        <v>11.3</v>
      </c>
      <c r="C58" s="226" t="s">
        <v>328</v>
      </c>
      <c r="D58" s="205" t="s">
        <v>19</v>
      </c>
      <c r="E58" s="206">
        <v>2</v>
      </c>
      <c r="F58" s="207"/>
      <c r="G58" s="306">
        <f>+ROUND(E58*F58,0)</f>
        <v>0</v>
      </c>
      <c r="H58" s="208">
        <v>0.33</v>
      </c>
      <c r="I58" s="209">
        <f>(F58*(1+H58))</f>
        <v>0</v>
      </c>
      <c r="J58" s="210">
        <f>ROUND(I58*E58,0)</f>
        <v>0</v>
      </c>
      <c r="K58" s="121"/>
      <c r="L58" s="211"/>
      <c r="M58" s="212"/>
    </row>
    <row r="59" spans="2:13" ht="85.95" customHeight="1" x14ac:dyDescent="0.3">
      <c r="B59" s="225">
        <v>11.4</v>
      </c>
      <c r="C59" s="226" t="s">
        <v>329</v>
      </c>
      <c r="D59" s="205" t="s">
        <v>19</v>
      </c>
      <c r="E59" s="206">
        <v>2</v>
      </c>
      <c r="F59" s="207"/>
      <c r="G59" s="306">
        <f>+ROUND(E59*F59,0)</f>
        <v>0</v>
      </c>
      <c r="H59" s="208">
        <v>0.33</v>
      </c>
      <c r="I59" s="209">
        <f>(F59*(1+H59))</f>
        <v>0</v>
      </c>
      <c r="J59" s="210">
        <f>ROUND(I59*E59,0)</f>
        <v>0</v>
      </c>
      <c r="K59" s="121"/>
      <c r="L59" s="211"/>
      <c r="M59" s="212"/>
    </row>
    <row r="60" spans="2:13" s="202" customFormat="1" x14ac:dyDescent="0.3">
      <c r="B60" s="213">
        <v>12</v>
      </c>
      <c r="C60" s="214" t="s">
        <v>85</v>
      </c>
      <c r="D60" s="215"/>
      <c r="E60" s="216"/>
      <c r="F60" s="217"/>
      <c r="G60" s="309"/>
      <c r="H60" s="219"/>
      <c r="I60" s="220"/>
      <c r="J60" s="221"/>
      <c r="L60" s="223"/>
      <c r="M60" s="224"/>
    </row>
    <row r="61" spans="2:13" ht="31.2" x14ac:dyDescent="0.3">
      <c r="B61" s="225">
        <v>12.1</v>
      </c>
      <c r="C61" s="226" t="s">
        <v>272</v>
      </c>
      <c r="D61" s="205" t="s">
        <v>40</v>
      </c>
      <c r="E61" s="206">
        <v>67.650000000000006</v>
      </c>
      <c r="F61" s="207"/>
      <c r="G61" s="306">
        <f>+ROUND(E61*F61,0)</f>
        <v>0</v>
      </c>
      <c r="H61" s="208">
        <v>0.33</v>
      </c>
      <c r="I61" s="209">
        <f>(F61*(1+H61))</f>
        <v>0</v>
      </c>
      <c r="J61" s="210">
        <f>ROUND(I61*E61,0)</f>
        <v>0</v>
      </c>
      <c r="K61" s="121"/>
      <c r="L61" s="211"/>
      <c r="M61" s="212"/>
    </row>
    <row r="62" spans="2:13" ht="31.2" x14ac:dyDescent="0.3">
      <c r="B62" s="225">
        <v>12.2</v>
      </c>
      <c r="C62" s="226" t="s">
        <v>330</v>
      </c>
      <c r="D62" s="205" t="s">
        <v>40</v>
      </c>
      <c r="E62" s="206">
        <v>51.13</v>
      </c>
      <c r="F62" s="207"/>
      <c r="G62" s="306">
        <f>+ROUND(E62*F62,0)</f>
        <v>0</v>
      </c>
      <c r="H62" s="208">
        <v>0.33</v>
      </c>
      <c r="I62" s="209">
        <f>(F62*(1+H62))</f>
        <v>0</v>
      </c>
      <c r="J62" s="210">
        <f>ROUND(I62*E62,0)</f>
        <v>0</v>
      </c>
      <c r="K62" s="121"/>
      <c r="L62" s="211"/>
      <c r="M62" s="212"/>
    </row>
    <row r="63" spans="2:13" x14ac:dyDescent="0.3">
      <c r="B63" s="225">
        <v>12.3</v>
      </c>
      <c r="C63" s="226" t="s">
        <v>273</v>
      </c>
      <c r="D63" s="205" t="s">
        <v>40</v>
      </c>
      <c r="E63" s="206">
        <v>24.96</v>
      </c>
      <c r="F63" s="207"/>
      <c r="G63" s="306">
        <f>+ROUND(E63*F63,0)</f>
        <v>0</v>
      </c>
      <c r="H63" s="208">
        <v>0.33</v>
      </c>
      <c r="I63" s="209">
        <f>(F63*(1+H63))</f>
        <v>0</v>
      </c>
      <c r="J63" s="210">
        <f>ROUND(I63*E63,0)</f>
        <v>0</v>
      </c>
      <c r="K63" s="121"/>
      <c r="L63" s="211"/>
      <c r="M63" s="212"/>
    </row>
    <row r="64" spans="2:13" x14ac:dyDescent="0.3">
      <c r="B64" s="225">
        <v>12.4</v>
      </c>
      <c r="C64" s="226" t="s">
        <v>274</v>
      </c>
      <c r="D64" s="205" t="s">
        <v>40</v>
      </c>
      <c r="E64" s="206">
        <v>34.51</v>
      </c>
      <c r="F64" s="207"/>
      <c r="G64" s="306">
        <f>+ROUND(E64*F64,0)</f>
        <v>0</v>
      </c>
      <c r="H64" s="208">
        <v>0.33</v>
      </c>
      <c r="I64" s="209">
        <f>(F64*(1+H64))</f>
        <v>0</v>
      </c>
      <c r="J64" s="210">
        <f>ROUND(I64*E64,0)</f>
        <v>0</v>
      </c>
      <c r="K64" s="121"/>
      <c r="L64" s="211"/>
      <c r="M64" s="212"/>
    </row>
    <row r="65" spans="2:13" ht="31.2" x14ac:dyDescent="0.3">
      <c r="B65" s="225">
        <v>12.5</v>
      </c>
      <c r="C65" s="226" t="s">
        <v>331</v>
      </c>
      <c r="D65" s="205" t="s">
        <v>40</v>
      </c>
      <c r="E65" s="206">
        <v>20.440000000000001</v>
      </c>
      <c r="F65" s="207"/>
      <c r="G65" s="306">
        <f>+ROUND(E65*F65,0)</f>
        <v>0</v>
      </c>
      <c r="H65" s="208">
        <v>0.33</v>
      </c>
      <c r="I65" s="209">
        <f>(F65*(1+H65))</f>
        <v>0</v>
      </c>
      <c r="J65" s="210">
        <f>ROUND(I65*E65,0)</f>
        <v>0</v>
      </c>
      <c r="K65" s="121"/>
      <c r="L65" s="211"/>
      <c r="M65" s="212"/>
    </row>
    <row r="66" spans="2:13" s="202" customFormat="1" x14ac:dyDescent="0.3">
      <c r="B66" s="213">
        <v>13</v>
      </c>
      <c r="C66" s="214" t="s">
        <v>96</v>
      </c>
      <c r="D66" s="215"/>
      <c r="E66" s="216"/>
      <c r="F66" s="217"/>
      <c r="G66" s="309"/>
      <c r="H66" s="219"/>
      <c r="I66" s="220"/>
      <c r="J66" s="221"/>
      <c r="L66" s="223"/>
      <c r="M66" s="224"/>
    </row>
    <row r="67" spans="2:13" ht="66.599999999999994" customHeight="1" x14ac:dyDescent="0.3">
      <c r="B67" s="225">
        <v>13.1</v>
      </c>
      <c r="C67" s="226" t="s">
        <v>332</v>
      </c>
      <c r="D67" s="205" t="s">
        <v>40</v>
      </c>
      <c r="E67" s="206">
        <v>21.2</v>
      </c>
      <c r="F67" s="207"/>
      <c r="G67" s="306">
        <f>+ROUND(E67*F67,0)</f>
        <v>0</v>
      </c>
      <c r="H67" s="208">
        <v>0.33</v>
      </c>
      <c r="I67" s="209">
        <f>(F67*(1+H67))</f>
        <v>0</v>
      </c>
      <c r="J67" s="210">
        <f>ROUND(I67*E67,0)</f>
        <v>0</v>
      </c>
      <c r="K67" s="121"/>
      <c r="L67" s="211"/>
      <c r="M67" s="212"/>
    </row>
    <row r="68" spans="2:13" s="249" customFormat="1" x14ac:dyDescent="0.3">
      <c r="B68" s="213">
        <v>14</v>
      </c>
      <c r="C68" s="214" t="s">
        <v>41</v>
      </c>
      <c r="D68" s="215"/>
      <c r="E68" s="216"/>
      <c r="F68" s="217"/>
      <c r="G68" s="309"/>
      <c r="H68" s="219"/>
      <c r="I68" s="220"/>
      <c r="J68" s="221"/>
      <c r="K68" s="250"/>
      <c r="L68" s="223"/>
      <c r="M68" s="224"/>
    </row>
    <row r="69" spans="2:13" ht="62.4" x14ac:dyDescent="0.3">
      <c r="B69" s="225">
        <v>14.1</v>
      </c>
      <c r="C69" s="312" t="s">
        <v>333</v>
      </c>
      <c r="D69" s="228" t="s">
        <v>19</v>
      </c>
      <c r="E69" s="206">
        <v>1</v>
      </c>
      <c r="F69" s="207"/>
      <c r="G69" s="306">
        <f>+ROUND(E69*F69,0)</f>
        <v>0</v>
      </c>
      <c r="H69" s="208">
        <v>0.33</v>
      </c>
      <c r="I69" s="209">
        <f>(F69*(1+H69))</f>
        <v>0</v>
      </c>
      <c r="J69" s="210">
        <f>ROUND(I69*E69,0)</f>
        <v>0</v>
      </c>
      <c r="K69" s="121"/>
      <c r="L69" s="211"/>
      <c r="M69" s="212"/>
    </row>
    <row r="70" spans="2:13" ht="31.2" x14ac:dyDescent="0.3">
      <c r="B70" s="225">
        <v>14.2</v>
      </c>
      <c r="C70" s="312" t="s">
        <v>238</v>
      </c>
      <c r="D70" s="228" t="s">
        <v>371</v>
      </c>
      <c r="E70" s="206">
        <v>4.8</v>
      </c>
      <c r="F70" s="207"/>
      <c r="G70" s="306">
        <f>+ROUND(E70*F70,0)</f>
        <v>0</v>
      </c>
      <c r="H70" s="208">
        <v>0.33</v>
      </c>
      <c r="I70" s="209">
        <f>(F70*(1+H70))</f>
        <v>0</v>
      </c>
      <c r="J70" s="210">
        <f>ROUND(I70*E70,0)</f>
        <v>0</v>
      </c>
      <c r="K70" s="121"/>
      <c r="L70" s="211"/>
      <c r="M70" s="212"/>
    </row>
    <row r="71" spans="2:13" ht="46.8" x14ac:dyDescent="0.3">
      <c r="B71" s="225">
        <v>14.3</v>
      </c>
      <c r="C71" s="312" t="s">
        <v>334</v>
      </c>
      <c r="D71" s="228" t="s">
        <v>19</v>
      </c>
      <c r="E71" s="206">
        <v>1</v>
      </c>
      <c r="F71" s="207"/>
      <c r="G71" s="306">
        <f>+ROUND(E71*F71,0)</f>
        <v>0</v>
      </c>
      <c r="H71" s="208">
        <v>0.33</v>
      </c>
      <c r="I71" s="209">
        <f>(F71*(1+H71))</f>
        <v>0</v>
      </c>
      <c r="J71" s="210">
        <f>ROUND(I71*E71,0)</f>
        <v>0</v>
      </c>
      <c r="K71" s="121"/>
      <c r="L71" s="211"/>
      <c r="M71" s="212"/>
    </row>
    <row r="72" spans="2:13" x14ac:dyDescent="0.3">
      <c r="B72" s="225">
        <v>14.4</v>
      </c>
      <c r="C72" s="312" t="s">
        <v>335</v>
      </c>
      <c r="D72" s="228" t="s">
        <v>19</v>
      </c>
      <c r="E72" s="206">
        <v>1</v>
      </c>
      <c r="F72" s="207"/>
      <c r="G72" s="306">
        <f>+ROUND(E72*F72,0)</f>
        <v>0</v>
      </c>
      <c r="H72" s="208">
        <v>0.33</v>
      </c>
      <c r="I72" s="209">
        <f>(F72*(1+H72))</f>
        <v>0</v>
      </c>
      <c r="J72" s="210">
        <f>ROUND(I72*E72,0)</f>
        <v>0</v>
      </c>
      <c r="K72" s="121"/>
      <c r="L72" s="211"/>
      <c r="M72" s="212"/>
    </row>
    <row r="73" spans="2:13" x14ac:dyDescent="0.3">
      <c r="B73" s="225">
        <v>14.5</v>
      </c>
      <c r="C73" s="312" t="s">
        <v>336</v>
      </c>
      <c r="D73" s="228" t="s">
        <v>19</v>
      </c>
      <c r="E73" s="206">
        <v>3</v>
      </c>
      <c r="F73" s="207"/>
      <c r="G73" s="306">
        <f>+ROUND(E73*F73,0)</f>
        <v>0</v>
      </c>
      <c r="H73" s="208">
        <v>0.33</v>
      </c>
      <c r="I73" s="209">
        <f>(F73*(1+H73))</f>
        <v>0</v>
      </c>
      <c r="J73" s="210">
        <f>ROUND(I73*E73,0)</f>
        <v>0</v>
      </c>
      <c r="K73" s="121"/>
      <c r="L73" s="211"/>
      <c r="M73" s="212"/>
    </row>
    <row r="74" spans="2:13" x14ac:dyDescent="0.3">
      <c r="B74" s="225">
        <v>14.6</v>
      </c>
      <c r="C74" s="312" t="s">
        <v>337</v>
      </c>
      <c r="D74" s="228" t="s">
        <v>19</v>
      </c>
      <c r="E74" s="206">
        <v>2</v>
      </c>
      <c r="F74" s="207"/>
      <c r="G74" s="306">
        <f>+ROUND(E74*F74,0)</f>
        <v>0</v>
      </c>
      <c r="H74" s="208">
        <v>0.33</v>
      </c>
      <c r="I74" s="209">
        <f>(F74*(1+H74))</f>
        <v>0</v>
      </c>
      <c r="J74" s="210">
        <f>ROUND(I74*E74,0)</f>
        <v>0</v>
      </c>
      <c r="K74" s="121"/>
      <c r="L74" s="211"/>
      <c r="M74" s="212"/>
    </row>
    <row r="75" spans="2:13" ht="31.2" x14ac:dyDescent="0.3">
      <c r="B75" s="225">
        <v>14.7</v>
      </c>
      <c r="C75" s="312" t="s">
        <v>338</v>
      </c>
      <c r="D75" s="228" t="s">
        <v>371</v>
      </c>
      <c r="E75" s="206">
        <v>1.85</v>
      </c>
      <c r="F75" s="207"/>
      <c r="G75" s="306">
        <f>+ROUND(E75*F75,0)</f>
        <v>0</v>
      </c>
      <c r="H75" s="208">
        <v>0.33</v>
      </c>
      <c r="I75" s="209">
        <f>(F75*(1+H75))</f>
        <v>0</v>
      </c>
      <c r="J75" s="210">
        <f>ROUND(I75*E75,0)</f>
        <v>0</v>
      </c>
      <c r="K75" s="121"/>
      <c r="L75" s="211"/>
      <c r="M75" s="212"/>
    </row>
    <row r="76" spans="2:13" ht="31.2" x14ac:dyDescent="0.3">
      <c r="B76" s="225">
        <v>14.8</v>
      </c>
      <c r="C76" s="312" t="s">
        <v>262</v>
      </c>
      <c r="D76" s="228" t="s">
        <v>19</v>
      </c>
      <c r="E76" s="206">
        <v>3</v>
      </c>
      <c r="F76" s="207"/>
      <c r="G76" s="306">
        <f>+ROUND(E76*F76,0)</f>
        <v>0</v>
      </c>
      <c r="H76" s="208">
        <v>0.33</v>
      </c>
      <c r="I76" s="209">
        <f>(F76*(1+H76))</f>
        <v>0</v>
      </c>
      <c r="J76" s="210">
        <f>ROUND(I76*E76,0)</f>
        <v>0</v>
      </c>
      <c r="K76" s="121"/>
      <c r="L76" s="211"/>
      <c r="M76" s="212"/>
    </row>
    <row r="77" spans="2:13" ht="31.2" x14ac:dyDescent="0.3">
      <c r="B77" s="225">
        <v>14.9</v>
      </c>
      <c r="C77" s="312" t="s">
        <v>237</v>
      </c>
      <c r="D77" s="228" t="s">
        <v>371</v>
      </c>
      <c r="E77" s="206">
        <v>19.399999999999999</v>
      </c>
      <c r="F77" s="207"/>
      <c r="G77" s="306">
        <f>+ROUND(E77*F77,0)</f>
        <v>0</v>
      </c>
      <c r="H77" s="208">
        <v>0.33</v>
      </c>
      <c r="I77" s="209">
        <f>(F77*(1+H77))</f>
        <v>0</v>
      </c>
      <c r="J77" s="210">
        <f>ROUND(I77*E77,0)</f>
        <v>0</v>
      </c>
      <c r="K77" s="121"/>
      <c r="L77" s="211"/>
      <c r="M77" s="212"/>
    </row>
    <row r="78" spans="2:13" s="249" customFormat="1" x14ac:dyDescent="0.3">
      <c r="B78" s="213">
        <v>15</v>
      </c>
      <c r="C78" s="214" t="s">
        <v>97</v>
      </c>
      <c r="D78" s="215"/>
      <c r="E78" s="216"/>
      <c r="F78" s="217"/>
      <c r="G78" s="309"/>
      <c r="H78" s="219"/>
      <c r="I78" s="220"/>
      <c r="J78" s="221"/>
      <c r="K78" s="250"/>
      <c r="L78" s="223"/>
      <c r="M78" s="224"/>
    </row>
    <row r="79" spans="2:13" x14ac:dyDescent="0.3">
      <c r="B79" s="225">
        <v>15.1</v>
      </c>
      <c r="C79" s="312" t="s">
        <v>339</v>
      </c>
      <c r="D79" s="228" t="s">
        <v>19</v>
      </c>
      <c r="E79" s="206">
        <v>5</v>
      </c>
      <c r="F79" s="207"/>
      <c r="G79" s="306">
        <f>+ROUND(E79*F79,0)</f>
        <v>0</v>
      </c>
      <c r="H79" s="208">
        <v>0.33</v>
      </c>
      <c r="I79" s="209">
        <f>(F79*(1+H79))</f>
        <v>0</v>
      </c>
      <c r="J79" s="210">
        <f>ROUND(I79*E79,0)</f>
        <v>0</v>
      </c>
      <c r="K79" s="121"/>
      <c r="L79" s="211"/>
      <c r="M79" s="212"/>
    </row>
    <row r="80" spans="2:13" ht="31.2" x14ac:dyDescent="0.3">
      <c r="B80" s="225">
        <v>15.2</v>
      </c>
      <c r="C80" s="312" t="s">
        <v>260</v>
      </c>
      <c r="D80" s="228" t="s">
        <v>19</v>
      </c>
      <c r="E80" s="206">
        <v>1</v>
      </c>
      <c r="F80" s="207"/>
      <c r="G80" s="306">
        <f>+ROUND(E80*F80,0)</f>
        <v>0</v>
      </c>
      <c r="H80" s="208">
        <v>0.33</v>
      </c>
      <c r="I80" s="209">
        <f>(F80*(1+H80))</f>
        <v>0</v>
      </c>
      <c r="J80" s="210">
        <f>ROUND(I80*E80,0)</f>
        <v>0</v>
      </c>
      <c r="K80" s="121"/>
      <c r="L80" s="211"/>
      <c r="M80" s="212"/>
    </row>
    <row r="81" spans="2:13" ht="31.2" x14ac:dyDescent="0.3">
      <c r="B81" s="225">
        <v>15.3</v>
      </c>
      <c r="C81" s="312" t="s">
        <v>264</v>
      </c>
      <c r="D81" s="228" t="s">
        <v>39</v>
      </c>
      <c r="E81" s="206">
        <v>4</v>
      </c>
      <c r="F81" s="207"/>
      <c r="G81" s="306">
        <f>+ROUND(E81*F81,0)</f>
        <v>0</v>
      </c>
      <c r="H81" s="208">
        <v>0.33</v>
      </c>
      <c r="I81" s="209">
        <f>(F81*(1+H81))</f>
        <v>0</v>
      </c>
      <c r="J81" s="210">
        <f>ROUND(I81*E81,0)</f>
        <v>0</v>
      </c>
      <c r="K81" s="121"/>
      <c r="L81" s="211"/>
      <c r="M81" s="212"/>
    </row>
    <row r="82" spans="2:13" ht="46.8" x14ac:dyDescent="0.3">
      <c r="B82" s="225">
        <v>15.4</v>
      </c>
      <c r="C82" s="312" t="s">
        <v>249</v>
      </c>
      <c r="D82" s="228" t="s">
        <v>19</v>
      </c>
      <c r="E82" s="206">
        <v>1</v>
      </c>
      <c r="F82" s="207"/>
      <c r="G82" s="306">
        <f>+ROUND(E82*F82,0)</f>
        <v>0</v>
      </c>
      <c r="H82" s="208">
        <v>0.33</v>
      </c>
      <c r="I82" s="209">
        <f>(F82*(1+H82))</f>
        <v>0</v>
      </c>
      <c r="J82" s="210">
        <f>ROUND(I82*E82,0)</f>
        <v>0</v>
      </c>
      <c r="K82" s="121"/>
      <c r="L82" s="211"/>
      <c r="M82" s="212"/>
    </row>
    <row r="83" spans="2:13" x14ac:dyDescent="0.3">
      <c r="B83" s="225">
        <v>15.5</v>
      </c>
      <c r="C83" s="312" t="s">
        <v>340</v>
      </c>
      <c r="D83" s="228" t="s">
        <v>19</v>
      </c>
      <c r="E83" s="206">
        <v>1</v>
      </c>
      <c r="F83" s="207"/>
      <c r="G83" s="306">
        <f>+ROUND(E83*F83,0)</f>
        <v>0</v>
      </c>
      <c r="H83" s="208">
        <v>0.33</v>
      </c>
      <c r="I83" s="209">
        <f>(F83*(1+H83))</f>
        <v>0</v>
      </c>
      <c r="J83" s="210">
        <f>ROUND(I83*E83,0)</f>
        <v>0</v>
      </c>
      <c r="K83" s="121"/>
      <c r="L83" s="211"/>
      <c r="M83" s="212"/>
    </row>
    <row r="84" spans="2:13" s="249" customFormat="1" x14ac:dyDescent="0.3">
      <c r="B84" s="213">
        <v>16</v>
      </c>
      <c r="C84" s="214" t="s">
        <v>98</v>
      </c>
      <c r="D84" s="215"/>
      <c r="E84" s="216"/>
      <c r="F84" s="217"/>
      <c r="G84" s="309"/>
      <c r="H84" s="219"/>
      <c r="I84" s="220"/>
      <c r="J84" s="221"/>
      <c r="K84" s="250"/>
      <c r="L84" s="223"/>
      <c r="M84" s="224"/>
    </row>
    <row r="85" spans="2:13" ht="31.2" x14ac:dyDescent="0.3">
      <c r="B85" s="225">
        <v>16.100000000000001</v>
      </c>
      <c r="C85" s="312" t="s">
        <v>341</v>
      </c>
      <c r="D85" s="228" t="s">
        <v>19</v>
      </c>
      <c r="E85" s="206">
        <v>1</v>
      </c>
      <c r="F85" s="207"/>
      <c r="G85" s="306">
        <f>+ROUND(E85*F85,0)</f>
        <v>0</v>
      </c>
      <c r="H85" s="208">
        <v>0.33</v>
      </c>
      <c r="I85" s="209">
        <f>(F85*(1+H85))</f>
        <v>0</v>
      </c>
      <c r="J85" s="210">
        <f>ROUND(I85*E85,0)</f>
        <v>0</v>
      </c>
      <c r="K85" s="121"/>
      <c r="L85" s="211"/>
      <c r="M85" s="212"/>
    </row>
    <row r="86" spans="2:13" ht="62.4" x14ac:dyDescent="0.3">
      <c r="B86" s="225">
        <v>16.2</v>
      </c>
      <c r="C86" s="312" t="s">
        <v>342</v>
      </c>
      <c r="D86" s="228" t="s">
        <v>19</v>
      </c>
      <c r="E86" s="206">
        <v>1</v>
      </c>
      <c r="F86" s="207"/>
      <c r="G86" s="306">
        <f>+ROUND(E86*F86,0)</f>
        <v>0</v>
      </c>
      <c r="H86" s="208">
        <v>0.33</v>
      </c>
      <c r="I86" s="209">
        <f>(F86*(1+H86))</f>
        <v>0</v>
      </c>
      <c r="J86" s="210">
        <f>ROUND(I86*E86,0)</f>
        <v>0</v>
      </c>
      <c r="K86" s="121"/>
      <c r="L86" s="211"/>
      <c r="M86" s="212"/>
    </row>
    <row r="87" spans="2:13" ht="31.2" x14ac:dyDescent="0.3">
      <c r="B87" s="225">
        <v>16.3</v>
      </c>
      <c r="C87" s="312" t="s">
        <v>343</v>
      </c>
      <c r="D87" s="228" t="s">
        <v>19</v>
      </c>
      <c r="E87" s="206">
        <v>1</v>
      </c>
      <c r="F87" s="207"/>
      <c r="G87" s="306">
        <f>+ROUND(E87*F87,0)</f>
        <v>0</v>
      </c>
      <c r="H87" s="208">
        <v>0.33</v>
      </c>
      <c r="I87" s="209">
        <f>(F87*(1+H87))</f>
        <v>0</v>
      </c>
      <c r="J87" s="210">
        <f>ROUND(I87*E87,0)</f>
        <v>0</v>
      </c>
      <c r="K87" s="121"/>
      <c r="L87" s="211"/>
      <c r="M87" s="212"/>
    </row>
    <row r="88" spans="2:13" ht="31.2" x14ac:dyDescent="0.3">
      <c r="B88" s="225">
        <v>16.399999999999999</v>
      </c>
      <c r="C88" s="312" t="s">
        <v>265</v>
      </c>
      <c r="D88" s="228" t="s">
        <v>19</v>
      </c>
      <c r="E88" s="206">
        <v>1</v>
      </c>
      <c r="F88" s="207"/>
      <c r="G88" s="306">
        <f>+ROUND(E88*F88,0)</f>
        <v>0</v>
      </c>
      <c r="H88" s="208">
        <v>0.33</v>
      </c>
      <c r="I88" s="209">
        <f>(F88*(1+H88))</f>
        <v>0</v>
      </c>
      <c r="J88" s="210">
        <f>ROUND(I88*E88,0)</f>
        <v>0</v>
      </c>
      <c r="K88" s="121"/>
      <c r="L88" s="211"/>
      <c r="M88" s="212"/>
    </row>
    <row r="89" spans="2:13" ht="31.2" x14ac:dyDescent="0.3">
      <c r="B89" s="225">
        <v>16.5</v>
      </c>
      <c r="C89" s="312" t="s">
        <v>344</v>
      </c>
      <c r="D89" s="228" t="s">
        <v>19</v>
      </c>
      <c r="E89" s="206">
        <v>1</v>
      </c>
      <c r="F89" s="207"/>
      <c r="G89" s="306">
        <f>+ROUND(E89*F89,0)</f>
        <v>0</v>
      </c>
      <c r="H89" s="208">
        <v>0.33</v>
      </c>
      <c r="I89" s="209">
        <f>(F89*(1+H89))</f>
        <v>0</v>
      </c>
      <c r="J89" s="210">
        <f>ROUND(I89*E89,0)</f>
        <v>0</v>
      </c>
      <c r="K89" s="121"/>
      <c r="L89" s="211"/>
      <c r="M89" s="212"/>
    </row>
    <row r="90" spans="2:13" ht="31.2" x14ac:dyDescent="0.3">
      <c r="B90" s="225">
        <v>16.600000000000001</v>
      </c>
      <c r="C90" s="312" t="s">
        <v>345</v>
      </c>
      <c r="D90" s="228" t="s">
        <v>19</v>
      </c>
      <c r="E90" s="206">
        <v>1</v>
      </c>
      <c r="F90" s="207"/>
      <c r="G90" s="306">
        <f>+ROUND(E90*F90,0)</f>
        <v>0</v>
      </c>
      <c r="H90" s="208">
        <v>0.33</v>
      </c>
      <c r="I90" s="209">
        <f>(F90*(1+H90))</f>
        <v>0</v>
      </c>
      <c r="J90" s="210">
        <f>ROUND(I90*E90,0)</f>
        <v>0</v>
      </c>
      <c r="K90" s="121"/>
      <c r="L90" s="211"/>
      <c r="M90" s="212"/>
    </row>
    <row r="91" spans="2:13" ht="44.4" customHeight="1" x14ac:dyDescent="0.3">
      <c r="B91" s="225">
        <v>16.7</v>
      </c>
      <c r="C91" s="312" t="s">
        <v>346</v>
      </c>
      <c r="D91" s="228" t="s">
        <v>39</v>
      </c>
      <c r="E91" s="206">
        <v>4.6265000000000001</v>
      </c>
      <c r="F91" s="207"/>
      <c r="G91" s="306">
        <f>+ROUND(E91*F91,0)</f>
        <v>0</v>
      </c>
      <c r="H91" s="208">
        <v>0.33</v>
      </c>
      <c r="I91" s="209">
        <f>(F91*(1+H91))</f>
        <v>0</v>
      </c>
      <c r="J91" s="210">
        <f>ROUND(I91*E91,0)</f>
        <v>0</v>
      </c>
      <c r="K91" s="121"/>
      <c r="L91" s="211"/>
      <c r="M91" s="212"/>
    </row>
    <row r="92" spans="2:13" ht="46.8" x14ac:dyDescent="0.3">
      <c r="B92" s="225">
        <v>16.8</v>
      </c>
      <c r="C92" s="312" t="s">
        <v>347</v>
      </c>
      <c r="D92" s="228" t="s">
        <v>39</v>
      </c>
      <c r="E92" s="206">
        <v>3.15</v>
      </c>
      <c r="F92" s="207"/>
      <c r="G92" s="306">
        <f>+ROUND(E92*F92,0)</f>
        <v>0</v>
      </c>
      <c r="H92" s="208">
        <v>0.33</v>
      </c>
      <c r="I92" s="209">
        <f>(F92*(1+H92))</f>
        <v>0</v>
      </c>
      <c r="J92" s="210">
        <f>ROUND(I92*E92,0)</f>
        <v>0</v>
      </c>
      <c r="K92" s="121"/>
      <c r="L92" s="211"/>
      <c r="M92" s="212"/>
    </row>
    <row r="93" spans="2:13" s="249" customFormat="1" x14ac:dyDescent="0.3">
      <c r="B93" s="213">
        <v>15</v>
      </c>
      <c r="C93" s="214" t="s">
        <v>99</v>
      </c>
      <c r="D93" s="215"/>
      <c r="E93" s="216"/>
      <c r="F93" s="217"/>
      <c r="G93" s="309"/>
      <c r="H93" s="219"/>
      <c r="I93" s="220"/>
      <c r="J93" s="221"/>
      <c r="K93" s="250"/>
      <c r="L93" s="223"/>
      <c r="M93" s="224"/>
    </row>
    <row r="94" spans="2:13" x14ac:dyDescent="0.3">
      <c r="B94" s="225">
        <v>15.1</v>
      </c>
      <c r="C94" s="312" t="s">
        <v>100</v>
      </c>
      <c r="D94" s="228" t="s">
        <v>19</v>
      </c>
      <c r="E94" s="206">
        <v>1</v>
      </c>
      <c r="F94" s="207"/>
      <c r="G94" s="306">
        <f>+ROUND(E94*F94,0)</f>
        <v>0</v>
      </c>
      <c r="H94" s="208">
        <v>0.33</v>
      </c>
      <c r="I94" s="209">
        <f>(F94*(1+H94))</f>
        <v>0</v>
      </c>
      <c r="J94" s="210">
        <f>ROUND(I94*E94,0)</f>
        <v>0</v>
      </c>
      <c r="K94" s="121"/>
      <c r="L94" s="211"/>
      <c r="M94" s="212"/>
    </row>
    <row r="95" spans="2:13" ht="16.2" thickBot="1" x14ac:dyDescent="0.35">
      <c r="B95" s="318">
        <v>15.2</v>
      </c>
      <c r="C95" s="319" t="s">
        <v>101</v>
      </c>
      <c r="D95" s="263" t="s">
        <v>19</v>
      </c>
      <c r="E95" s="232">
        <v>3</v>
      </c>
      <c r="F95" s="233"/>
      <c r="G95" s="322">
        <f>+ROUND(E95*F95,0)</f>
        <v>0</v>
      </c>
      <c r="H95" s="234">
        <v>0.33</v>
      </c>
      <c r="I95" s="235">
        <f>(F95*(1+H95))</f>
        <v>0</v>
      </c>
      <c r="J95" s="236">
        <f>ROUND(I95*E95,0)</f>
        <v>0</v>
      </c>
      <c r="K95" s="121"/>
      <c r="L95" s="211"/>
      <c r="M95" s="212"/>
    </row>
    <row r="96" spans="2:13" x14ac:dyDescent="0.3">
      <c r="B96" s="121"/>
      <c r="C96" s="122"/>
      <c r="D96" s="123"/>
      <c r="E96" s="386"/>
      <c r="F96" s="387"/>
      <c r="G96" s="387"/>
      <c r="H96" s="252"/>
      <c r="I96" s="133"/>
      <c r="J96" s="133"/>
      <c r="K96" s="121"/>
      <c r="L96" s="211"/>
    </row>
    <row r="97" spans="2:16" s="119" customFormat="1" ht="18" customHeight="1" x14ac:dyDescent="0.3">
      <c r="B97" s="253"/>
      <c r="C97" s="118"/>
      <c r="D97" s="121"/>
      <c r="E97" s="386"/>
      <c r="F97" s="387"/>
      <c r="G97" s="387"/>
      <c r="H97" s="387"/>
      <c r="I97" s="387"/>
      <c r="J97" s="620"/>
      <c r="L97" s="211"/>
      <c r="M97" s="117"/>
      <c r="N97" s="126"/>
      <c r="O97" s="126"/>
      <c r="P97" s="126"/>
    </row>
    <row r="98" spans="2:16" x14ac:dyDescent="0.3">
      <c r="B98" s="242"/>
      <c r="C98" s="243"/>
      <c r="D98" s="483" t="s">
        <v>215</v>
      </c>
      <c r="E98" s="483"/>
      <c r="F98" s="483"/>
      <c r="G98" s="255">
        <f>SUM(G8:G96)</f>
        <v>0</v>
      </c>
      <c r="H98" s="245"/>
      <c r="I98" s="141"/>
      <c r="J98" s="256">
        <f>SUM(J8:J95)</f>
        <v>0</v>
      </c>
      <c r="L98" s="133"/>
      <c r="M98" s="133"/>
    </row>
    <row r="99" spans="2:16" x14ac:dyDescent="0.3">
      <c r="L99" s="119"/>
    </row>
    <row r="100" spans="2:16" x14ac:dyDescent="0.3">
      <c r="L100" s="469"/>
      <c r="M100" s="142"/>
    </row>
  </sheetData>
  <mergeCells count="10">
    <mergeCell ref="B7:J7"/>
    <mergeCell ref="D98:F98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9A8E-6588-4E17-A961-C952D96AA8AA}">
  <sheetPr>
    <tabColor rgb="FF92D050"/>
  </sheetPr>
  <dimension ref="B1:T34"/>
  <sheetViews>
    <sheetView view="pageBreakPreview" topLeftCell="A19" zoomScale="60" zoomScaleNormal="70" workbookViewId="0">
      <selection activeCell="A33" sqref="A33:XFD273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8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8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8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8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8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8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8" s="323" customFormat="1" ht="36" customHeight="1" thickBot="1" x14ac:dyDescent="0.35">
      <c r="B7" s="480" t="s">
        <v>102</v>
      </c>
      <c r="C7" s="481"/>
      <c r="D7" s="481"/>
      <c r="E7" s="481"/>
      <c r="F7" s="481"/>
      <c r="G7" s="481"/>
      <c r="H7" s="481"/>
      <c r="I7" s="481"/>
      <c r="J7" s="482"/>
      <c r="L7" s="211"/>
      <c r="M7" s="117"/>
    </row>
    <row r="8" spans="2:18" s="119" customFormat="1" ht="46.2" customHeight="1" thickBot="1" x14ac:dyDescent="0.35"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2:18" s="202" customFormat="1" ht="15.7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86"/>
      <c r="I9" s="287"/>
      <c r="J9" s="288"/>
      <c r="L9" s="223"/>
      <c r="M9" s="249"/>
    </row>
    <row r="10" spans="2:18" ht="31.95" customHeight="1" x14ac:dyDescent="0.3">
      <c r="B10" s="203">
        <v>1.1000000000000001</v>
      </c>
      <c r="C10" s="226" t="s">
        <v>309</v>
      </c>
      <c r="D10" s="205" t="s">
        <v>39</v>
      </c>
      <c r="E10" s="206">
        <v>115.44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>ROUND(I10*E10,0)</f>
        <v>0</v>
      </c>
      <c r="L10" s="211"/>
    </row>
    <row r="11" spans="2:18" ht="39.6" customHeight="1" x14ac:dyDescent="0.3">
      <c r="B11" s="203">
        <v>1.2</v>
      </c>
      <c r="C11" s="226" t="s">
        <v>348</v>
      </c>
      <c r="D11" s="205" t="s">
        <v>40</v>
      </c>
      <c r="E11" s="206">
        <f>E10*0.3</f>
        <v>34.631999999999998</v>
      </c>
      <c r="F11" s="207"/>
      <c r="G11" s="207">
        <f t="shared" ref="G11:G13" si="0">+ROUND(E11*F11,0)</f>
        <v>0</v>
      </c>
      <c r="H11" s="208">
        <v>0.33</v>
      </c>
      <c r="I11" s="209">
        <f t="shared" ref="I11:I13" si="1">(F11*(1+H11))</f>
        <v>0</v>
      </c>
      <c r="J11" s="210">
        <f t="shared" ref="J11:J13" si="2">ROUND(I11*E11,0)</f>
        <v>0</v>
      </c>
      <c r="L11" s="211"/>
    </row>
    <row r="12" spans="2:18" s="202" customFormat="1" x14ac:dyDescent="0.3">
      <c r="B12" s="213">
        <v>2</v>
      </c>
      <c r="C12" s="214" t="s">
        <v>64</v>
      </c>
      <c r="D12" s="215"/>
      <c r="E12" s="216"/>
      <c r="F12" s="217"/>
      <c r="G12" s="218"/>
      <c r="H12" s="219"/>
      <c r="I12" s="220"/>
      <c r="J12" s="221"/>
      <c r="L12" s="223"/>
      <c r="M12" s="249"/>
    </row>
    <row r="13" spans="2:18" ht="33" customHeight="1" x14ac:dyDescent="0.3">
      <c r="B13" s="225">
        <v>2.1</v>
      </c>
      <c r="C13" s="226" t="s">
        <v>284</v>
      </c>
      <c r="D13" s="205" t="s">
        <v>65</v>
      </c>
      <c r="E13" s="206">
        <f>E10*0.6*0.3</f>
        <v>20.779199999999999</v>
      </c>
      <c r="F13" s="207"/>
      <c r="G13" s="207">
        <f t="shared" si="0"/>
        <v>0</v>
      </c>
      <c r="H13" s="208">
        <v>0.33</v>
      </c>
      <c r="I13" s="209">
        <f t="shared" si="1"/>
        <v>0</v>
      </c>
      <c r="J13" s="210">
        <f t="shared" si="2"/>
        <v>0</v>
      </c>
      <c r="L13" s="211"/>
    </row>
    <row r="14" spans="2:18" s="202" customFormat="1" x14ac:dyDescent="0.3">
      <c r="B14" s="213">
        <v>3</v>
      </c>
      <c r="C14" s="214" t="s">
        <v>92</v>
      </c>
      <c r="D14" s="215"/>
      <c r="E14" s="216"/>
      <c r="F14" s="217"/>
      <c r="G14" s="218"/>
      <c r="H14" s="219"/>
      <c r="I14" s="220"/>
      <c r="J14" s="221"/>
      <c r="L14" s="223"/>
      <c r="M14" s="249"/>
      <c r="P14" s="202" t="s">
        <v>103</v>
      </c>
      <c r="Q14" s="324">
        <f>(115.44-15.2)/2.6</f>
        <v>38.553846153846152</v>
      </c>
      <c r="R14" s="249" t="s">
        <v>104</v>
      </c>
    </row>
    <row r="15" spans="2:18" ht="31.95" customHeight="1" x14ac:dyDescent="0.3">
      <c r="B15" s="225">
        <v>3.1</v>
      </c>
      <c r="C15" s="226" t="s">
        <v>301</v>
      </c>
      <c r="D15" s="205" t="s">
        <v>65</v>
      </c>
      <c r="E15" s="206">
        <f>E10*0.3*0.4</f>
        <v>13.8528</v>
      </c>
      <c r="F15" s="207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L15" s="211"/>
      <c r="Q15" s="325">
        <f>15.2/2.6</f>
        <v>5.8461538461538458</v>
      </c>
      <c r="R15" s="119" t="s">
        <v>105</v>
      </c>
    </row>
    <row r="16" spans="2:18" ht="36" customHeight="1" x14ac:dyDescent="0.3">
      <c r="B16" s="225">
        <v>3.2</v>
      </c>
      <c r="C16" s="226" t="s">
        <v>302</v>
      </c>
      <c r="D16" s="205" t="s">
        <v>39</v>
      </c>
      <c r="E16" s="206">
        <f>E10</f>
        <v>115.44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L16" s="211"/>
      <c r="O16" s="118"/>
      <c r="P16" s="325">
        <f>4*0.996*E16</f>
        <v>459.91296</v>
      </c>
      <c r="Q16" s="117">
        <f>((0.15*4+0.075*2)*0.56)*R16</f>
        <v>242.42400000000001</v>
      </c>
      <c r="R16" s="326">
        <f>+E10/0.2</f>
        <v>577.19999999999993</v>
      </c>
    </row>
    <row r="17" spans="2:20" s="202" customFormat="1" x14ac:dyDescent="0.3">
      <c r="B17" s="213">
        <v>4</v>
      </c>
      <c r="C17" s="214" t="s">
        <v>75</v>
      </c>
      <c r="D17" s="215"/>
      <c r="E17" s="216"/>
      <c r="F17" s="217"/>
      <c r="G17" s="218"/>
      <c r="H17" s="219"/>
      <c r="I17" s="220"/>
      <c r="J17" s="221"/>
      <c r="L17" s="223"/>
      <c r="M17" s="249"/>
    </row>
    <row r="18" spans="2:20" ht="33" customHeight="1" x14ac:dyDescent="0.3">
      <c r="B18" s="225">
        <v>4.0999999999999996</v>
      </c>
      <c r="C18" s="226" t="s">
        <v>293</v>
      </c>
      <c r="D18" s="228" t="s">
        <v>39</v>
      </c>
      <c r="E18" s="206">
        <f>47*0.6+8*0.7</f>
        <v>33.799999999999997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L18" s="211"/>
      <c r="O18" s="327"/>
      <c r="P18" s="328" t="s">
        <v>106</v>
      </c>
      <c r="Q18" s="118" t="s">
        <v>107</v>
      </c>
      <c r="R18" s="117">
        <f>4*0.996*E18</f>
        <v>134.6592</v>
      </c>
      <c r="S18" s="117">
        <f>((0.15*4+2*0.075)*0.56)*T18</f>
        <v>94.64</v>
      </c>
      <c r="T18" s="326">
        <f>E18/0.15</f>
        <v>225.33333333333331</v>
      </c>
    </row>
    <row r="19" spans="2:20" ht="33.6" customHeight="1" x14ac:dyDescent="0.3">
      <c r="B19" s="225">
        <v>4.2</v>
      </c>
      <c r="C19" s="226" t="s">
        <v>296</v>
      </c>
      <c r="D19" s="228" t="s">
        <v>83</v>
      </c>
      <c r="E19" s="206">
        <f>+P16+Q16+R18+S18+S21+S22</f>
        <v>1139.85096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L19" s="211"/>
    </row>
    <row r="20" spans="2:20" s="202" customFormat="1" x14ac:dyDescent="0.3">
      <c r="B20" s="213">
        <v>5</v>
      </c>
      <c r="C20" s="214" t="s">
        <v>108</v>
      </c>
      <c r="D20" s="215"/>
      <c r="E20" s="216"/>
      <c r="F20" s="217"/>
      <c r="G20" s="218"/>
      <c r="H20" s="219"/>
      <c r="I20" s="220"/>
      <c r="J20" s="221"/>
      <c r="L20" s="223"/>
      <c r="M20" s="249"/>
      <c r="P20" s="202" t="s">
        <v>216</v>
      </c>
      <c r="S20" s="202" t="s">
        <v>175</v>
      </c>
    </row>
    <row r="21" spans="2:20" s="330" customFormat="1" ht="22.95" customHeight="1" x14ac:dyDescent="0.3">
      <c r="B21" s="294">
        <v>5.0999999999999996</v>
      </c>
      <c r="C21" s="204" t="s">
        <v>349</v>
      </c>
      <c r="D21" s="296" t="s">
        <v>40</v>
      </c>
      <c r="E21" s="329">
        <f>45*2.4*0.6</f>
        <v>64.8</v>
      </c>
      <c r="F21" s="29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L21" s="211"/>
      <c r="M21" s="117"/>
      <c r="P21" s="330" t="s">
        <v>217</v>
      </c>
      <c r="Q21" s="330">
        <v>0.56000000000000005</v>
      </c>
      <c r="R21" s="330">
        <f>+Q21*2</f>
        <v>1.1200000000000001</v>
      </c>
      <c r="S21" s="331">
        <f>+(R21*E10)+1</f>
        <v>130.2928</v>
      </c>
    </row>
    <row r="22" spans="2:20" s="330" customFormat="1" ht="37.200000000000003" customHeight="1" x14ac:dyDescent="0.3">
      <c r="B22" s="294">
        <v>5.2</v>
      </c>
      <c r="C22" s="204" t="s">
        <v>319</v>
      </c>
      <c r="D22" s="296" t="s">
        <v>39</v>
      </c>
      <c r="E22" s="329">
        <f>+E10</f>
        <v>115.44</v>
      </c>
      <c r="F22" s="297"/>
      <c r="G22" s="207">
        <f t="shared" si="3"/>
        <v>0</v>
      </c>
      <c r="H22" s="208">
        <v>0.33</v>
      </c>
      <c r="I22" s="209">
        <f t="shared" si="4"/>
        <v>0</v>
      </c>
      <c r="J22" s="210">
        <f t="shared" si="5"/>
        <v>0</v>
      </c>
      <c r="L22" s="211"/>
      <c r="M22" s="117"/>
      <c r="P22" s="330" t="s">
        <v>218</v>
      </c>
      <c r="Q22" s="330">
        <v>0.25</v>
      </c>
      <c r="R22" s="330">
        <f>+Q22*((0.11+0.11+0.05)*10)</f>
        <v>0.67500000000000004</v>
      </c>
      <c r="S22" s="332">
        <f>+R22*E10</f>
        <v>77.921999999999997</v>
      </c>
    </row>
    <row r="23" spans="2:20" s="202" customFormat="1" ht="15.75" customHeight="1" x14ac:dyDescent="0.3">
      <c r="B23" s="213">
        <v>6</v>
      </c>
      <c r="C23" s="276" t="s">
        <v>60</v>
      </c>
      <c r="D23" s="215"/>
      <c r="E23" s="216"/>
      <c r="F23" s="217"/>
      <c r="G23" s="218"/>
      <c r="H23" s="219"/>
      <c r="I23" s="220"/>
      <c r="J23" s="221"/>
      <c r="L23" s="223"/>
      <c r="M23" s="249"/>
    </row>
    <row r="24" spans="2:20" s="119" customFormat="1" ht="79.95" customHeight="1" x14ac:dyDescent="0.3">
      <c r="B24" s="225">
        <v>6.1</v>
      </c>
      <c r="C24" s="226" t="s">
        <v>350</v>
      </c>
      <c r="D24" s="228" t="s">
        <v>39</v>
      </c>
      <c r="E24" s="206">
        <f>47*3.05+8*3</f>
        <v>167.35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L24" s="211"/>
      <c r="M24" s="117"/>
    </row>
    <row r="25" spans="2:20" s="119" customFormat="1" ht="90.6" customHeight="1" x14ac:dyDescent="0.3">
      <c r="B25" s="225">
        <v>6.2</v>
      </c>
      <c r="C25" s="226" t="s">
        <v>351</v>
      </c>
      <c r="D25" s="228" t="s">
        <v>40</v>
      </c>
      <c r="E25" s="206">
        <f>45*2.5*1.8</f>
        <v>202.5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L25" s="211"/>
      <c r="M25" s="117"/>
      <c r="O25" s="333"/>
    </row>
    <row r="26" spans="2:20" s="119" customFormat="1" ht="31.2" x14ac:dyDescent="0.3">
      <c r="B26" s="225">
        <v>6.3</v>
      </c>
      <c r="C26" s="226" t="s">
        <v>352</v>
      </c>
      <c r="D26" s="228" t="s">
        <v>39</v>
      </c>
      <c r="E26" s="206">
        <f>E10</f>
        <v>115.44</v>
      </c>
      <c r="F26" s="297"/>
      <c r="G26" s="207">
        <f t="shared" si="3"/>
        <v>0</v>
      </c>
      <c r="H26" s="208">
        <v>0.33</v>
      </c>
      <c r="I26" s="209">
        <f t="shared" si="4"/>
        <v>0</v>
      </c>
      <c r="J26" s="210">
        <f t="shared" si="5"/>
        <v>0</v>
      </c>
      <c r="L26" s="211"/>
      <c r="M26" s="117"/>
    </row>
    <row r="27" spans="2:20" s="202" customFormat="1" x14ac:dyDescent="0.3">
      <c r="B27" s="213">
        <v>7</v>
      </c>
      <c r="C27" s="214" t="s">
        <v>17</v>
      </c>
      <c r="D27" s="215"/>
      <c r="E27" s="216"/>
      <c r="F27" s="217"/>
      <c r="G27" s="218"/>
      <c r="H27" s="219"/>
      <c r="I27" s="220"/>
      <c r="J27" s="221"/>
      <c r="L27" s="223"/>
      <c r="M27" s="249"/>
    </row>
    <row r="28" spans="2:20" x14ac:dyDescent="0.3">
      <c r="B28" s="225">
        <v>7.1</v>
      </c>
      <c r="C28" s="226" t="s">
        <v>18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L28" s="211"/>
    </row>
    <row r="29" spans="2:20" ht="16.2" thickBot="1" x14ac:dyDescent="0.35">
      <c r="B29" s="229">
        <v>7.2</v>
      </c>
      <c r="C29" s="251" t="s">
        <v>101</v>
      </c>
      <c r="D29" s="263" t="s">
        <v>19</v>
      </c>
      <c r="E29" s="232">
        <v>1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L29" s="211"/>
    </row>
    <row r="30" spans="2:20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2:20" s="119" customFormat="1" ht="18" customHeight="1" x14ac:dyDescent="0.3">
      <c r="B31" s="289"/>
      <c r="C31" s="118"/>
      <c r="D31" s="121"/>
      <c r="E31" s="124"/>
      <c r="F31" s="125"/>
      <c r="G31" s="125"/>
      <c r="H31" s="125"/>
      <c r="I31" s="125"/>
      <c r="J31" s="254"/>
      <c r="L31" s="211"/>
      <c r="M31" s="117"/>
      <c r="N31" s="126"/>
      <c r="O31" s="126"/>
      <c r="P31" s="126"/>
    </row>
    <row r="32" spans="2:20" x14ac:dyDescent="0.3">
      <c r="B32" s="139"/>
      <c r="C32" s="243"/>
      <c r="D32" s="520" t="s">
        <v>87</v>
      </c>
      <c r="E32" s="520"/>
      <c r="F32" s="520"/>
      <c r="G32" s="290">
        <f>SUM(G8:G30)</f>
        <v>0</v>
      </c>
      <c r="H32" s="245"/>
      <c r="I32" s="141"/>
      <c r="J32" s="290">
        <f>SUM(J8:J29)</f>
        <v>0</v>
      </c>
      <c r="L32" s="133"/>
      <c r="M32" s="133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AEC9-F991-4FB0-BA66-738E2847097B}">
  <sheetPr>
    <tabColor rgb="FF92D050"/>
  </sheetPr>
  <dimension ref="A1:P32"/>
  <sheetViews>
    <sheetView view="pageBreakPreview" topLeftCell="A23" zoomScale="60" zoomScaleNormal="70" workbookViewId="0">
      <selection activeCell="A31" sqref="A31:XFD245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524" t="s">
        <v>110</v>
      </c>
      <c r="C7" s="525"/>
      <c r="D7" s="525"/>
      <c r="E7" s="525"/>
      <c r="F7" s="525"/>
      <c r="G7" s="525"/>
      <c r="H7" s="525"/>
      <c r="I7" s="525"/>
      <c r="J7" s="526"/>
      <c r="L7" s="211"/>
    </row>
    <row r="8" spans="1:13" s="119" customFormat="1" ht="47.4" customHeight="1" thickBot="1" x14ac:dyDescent="0.35">
      <c r="A8" s="335"/>
      <c r="B8" s="336" t="s">
        <v>6</v>
      </c>
      <c r="C8" s="337" t="s">
        <v>7</v>
      </c>
      <c r="D8" s="338" t="s">
        <v>8</v>
      </c>
      <c r="E8" s="339" t="s">
        <v>9</v>
      </c>
      <c r="F8" s="340" t="s">
        <v>111</v>
      </c>
      <c r="G8" s="340" t="s">
        <v>112</v>
      </c>
      <c r="H8" s="341" t="s">
        <v>12</v>
      </c>
      <c r="I8" s="341" t="s">
        <v>13</v>
      </c>
      <c r="J8" s="342" t="s">
        <v>14</v>
      </c>
      <c r="L8" s="211"/>
      <c r="M8" s="117"/>
    </row>
    <row r="9" spans="1:13" s="202" customFormat="1" ht="14.25" customHeight="1" x14ac:dyDescent="0.3">
      <c r="B9" s="343">
        <v>1</v>
      </c>
      <c r="C9" s="344" t="s">
        <v>15</v>
      </c>
      <c r="D9" s="345"/>
      <c r="E9" s="346"/>
      <c r="F9" s="347"/>
      <c r="G9" s="347"/>
      <c r="H9" s="348"/>
      <c r="I9" s="349"/>
      <c r="J9" s="350"/>
      <c r="L9" s="223"/>
      <c r="M9" s="249"/>
    </row>
    <row r="10" spans="1:13" ht="30.6" customHeight="1" x14ac:dyDescent="0.3">
      <c r="A10" s="334"/>
      <c r="B10" s="351">
        <v>1.1000000000000001</v>
      </c>
      <c r="C10" s="352" t="s">
        <v>231</v>
      </c>
      <c r="D10" s="353" t="s">
        <v>40</v>
      </c>
      <c r="E10" s="354">
        <v>365</v>
      </c>
      <c r="F10" s="355"/>
      <c r="G10" s="355">
        <f>+ROUND(E10*F10,0)</f>
        <v>0</v>
      </c>
      <c r="H10" s="356">
        <v>0.33</v>
      </c>
      <c r="I10" s="357">
        <f>(F10*(1+H10))</f>
        <v>0</v>
      </c>
      <c r="J10" s="358">
        <f t="shared" ref="J10:J27" si="0">ROUND(I10*E10,0)</f>
        <v>0</v>
      </c>
      <c r="L10" s="211"/>
    </row>
    <row r="11" spans="1:13" ht="31.95" customHeight="1" x14ac:dyDescent="0.3">
      <c r="B11" s="203">
        <v>1.2</v>
      </c>
      <c r="C11" s="204" t="s">
        <v>234</v>
      </c>
      <c r="D11" s="205" t="s">
        <v>39</v>
      </c>
      <c r="E11" s="206">
        <f>10</f>
        <v>10</v>
      </c>
      <c r="F11" s="207"/>
      <c r="G11" s="355">
        <f t="shared" ref="G11:G27" si="1">+ROUND(E11*F11,0)</f>
        <v>0</v>
      </c>
      <c r="H11" s="356">
        <v>0.33</v>
      </c>
      <c r="I11" s="357">
        <f t="shared" ref="I11:I27" si="2">(F11*(1+H11))</f>
        <v>0</v>
      </c>
      <c r="J11" s="358">
        <f t="shared" si="0"/>
        <v>0</v>
      </c>
      <c r="L11" s="211"/>
    </row>
    <row r="12" spans="1:13" s="202" customFormat="1" x14ac:dyDescent="0.3">
      <c r="B12" s="359">
        <v>2</v>
      </c>
      <c r="C12" s="360" t="s">
        <v>16</v>
      </c>
      <c r="D12" s="361"/>
      <c r="E12" s="362"/>
      <c r="F12" s="363"/>
      <c r="G12" s="364"/>
      <c r="H12" s="365"/>
      <c r="I12" s="366"/>
      <c r="J12" s="367"/>
      <c r="K12" s="222"/>
      <c r="L12" s="223"/>
      <c r="M12" s="249"/>
    </row>
    <row r="13" spans="1:13" ht="62.4" x14ac:dyDescent="0.3">
      <c r="A13" s="334"/>
      <c r="B13" s="368">
        <v>2.1</v>
      </c>
      <c r="C13" s="352" t="s">
        <v>235</v>
      </c>
      <c r="D13" s="353" t="s">
        <v>40</v>
      </c>
      <c r="E13" s="354">
        <v>365</v>
      </c>
      <c r="F13" s="355"/>
      <c r="G13" s="355">
        <f t="shared" si="1"/>
        <v>0</v>
      </c>
      <c r="H13" s="356">
        <v>0.33</v>
      </c>
      <c r="I13" s="357">
        <f t="shared" si="2"/>
        <v>0</v>
      </c>
      <c r="J13" s="358">
        <f t="shared" si="0"/>
        <v>0</v>
      </c>
      <c r="K13" s="133"/>
      <c r="L13" s="211"/>
    </row>
    <row r="14" spans="1:13" ht="65.400000000000006" customHeight="1" x14ac:dyDescent="0.3">
      <c r="A14" s="334"/>
      <c r="B14" s="368">
        <v>2.2000000000000002</v>
      </c>
      <c r="C14" s="226" t="s">
        <v>246</v>
      </c>
      <c r="D14" s="228" t="s">
        <v>39</v>
      </c>
      <c r="E14" s="354">
        <v>160</v>
      </c>
      <c r="F14" s="207"/>
      <c r="G14" s="355">
        <f t="shared" si="1"/>
        <v>0</v>
      </c>
      <c r="H14" s="356">
        <v>0.33</v>
      </c>
      <c r="I14" s="357">
        <f t="shared" si="2"/>
        <v>0</v>
      </c>
      <c r="J14" s="358">
        <f t="shared" si="0"/>
        <v>0</v>
      </c>
      <c r="K14" s="121"/>
      <c r="L14" s="211"/>
    </row>
    <row r="15" spans="1:13" ht="46.8" x14ac:dyDescent="0.3">
      <c r="A15" s="334"/>
      <c r="B15" s="368">
        <v>2.2999999999999998</v>
      </c>
      <c r="C15" s="352" t="s">
        <v>236</v>
      </c>
      <c r="D15" s="353" t="s">
        <v>371</v>
      </c>
      <c r="E15" s="354">
        <v>57</v>
      </c>
      <c r="F15" s="355"/>
      <c r="G15" s="355">
        <f t="shared" si="1"/>
        <v>0</v>
      </c>
      <c r="H15" s="356">
        <v>0.33</v>
      </c>
      <c r="I15" s="357">
        <f t="shared" si="2"/>
        <v>0</v>
      </c>
      <c r="J15" s="358">
        <f t="shared" si="0"/>
        <v>0</v>
      </c>
      <c r="K15" s="121"/>
      <c r="L15" s="211"/>
    </row>
    <row r="16" spans="1:13" ht="31.2" x14ac:dyDescent="0.3">
      <c r="A16" s="334"/>
      <c r="B16" s="368">
        <v>2.4</v>
      </c>
      <c r="C16" s="369" t="s">
        <v>237</v>
      </c>
      <c r="D16" s="353" t="s">
        <v>371</v>
      </c>
      <c r="E16" s="354">
        <v>37.5</v>
      </c>
      <c r="F16" s="355"/>
      <c r="G16" s="355">
        <f t="shared" si="1"/>
        <v>0</v>
      </c>
      <c r="H16" s="356">
        <v>0.33</v>
      </c>
      <c r="I16" s="357">
        <f t="shared" si="2"/>
        <v>0</v>
      </c>
      <c r="J16" s="358">
        <f t="shared" si="0"/>
        <v>0</v>
      </c>
      <c r="K16" s="121"/>
      <c r="L16" s="211"/>
    </row>
    <row r="17" spans="1:16" s="249" customFormat="1" x14ac:dyDescent="0.3">
      <c r="B17" s="359">
        <v>3</v>
      </c>
      <c r="C17" s="360" t="s">
        <v>113</v>
      </c>
      <c r="D17" s="361"/>
      <c r="E17" s="362"/>
      <c r="F17" s="363"/>
      <c r="G17" s="364"/>
      <c r="H17" s="365"/>
      <c r="I17" s="366"/>
      <c r="J17" s="367"/>
      <c r="K17" s="250"/>
      <c r="L17" s="223"/>
    </row>
    <row r="18" spans="1:16" ht="31.2" x14ac:dyDescent="0.3">
      <c r="A18" s="334"/>
      <c r="B18" s="368">
        <v>3.1</v>
      </c>
      <c r="C18" s="370" t="s">
        <v>298</v>
      </c>
      <c r="D18" s="353" t="s">
        <v>40</v>
      </c>
      <c r="E18" s="371">
        <v>327</v>
      </c>
      <c r="F18" s="355"/>
      <c r="G18" s="355">
        <f t="shared" si="1"/>
        <v>0</v>
      </c>
      <c r="H18" s="356">
        <v>0.33</v>
      </c>
      <c r="I18" s="357">
        <f t="shared" si="2"/>
        <v>0</v>
      </c>
      <c r="J18" s="358">
        <f t="shared" si="0"/>
        <v>0</v>
      </c>
      <c r="K18" s="121"/>
      <c r="L18" s="211"/>
    </row>
    <row r="19" spans="1:16" s="249" customFormat="1" x14ac:dyDescent="0.3">
      <c r="B19" s="359">
        <v>4</v>
      </c>
      <c r="C19" s="360" t="s">
        <v>27</v>
      </c>
      <c r="D19" s="361"/>
      <c r="E19" s="362"/>
      <c r="F19" s="363"/>
      <c r="G19" s="364"/>
      <c r="H19" s="365"/>
      <c r="I19" s="366"/>
      <c r="J19" s="367"/>
      <c r="K19" s="250"/>
      <c r="L19" s="223"/>
    </row>
    <row r="20" spans="1:16" ht="48.6" customHeight="1" x14ac:dyDescent="0.3">
      <c r="A20" s="334"/>
      <c r="B20" s="368">
        <v>4.0999999999999996</v>
      </c>
      <c r="C20" s="370" t="s">
        <v>285</v>
      </c>
      <c r="D20" s="353" t="s">
        <v>65</v>
      </c>
      <c r="E20" s="371">
        <v>32.700000000000003</v>
      </c>
      <c r="F20" s="372"/>
      <c r="G20" s="355">
        <f t="shared" si="1"/>
        <v>0</v>
      </c>
      <c r="H20" s="356">
        <v>0.33</v>
      </c>
      <c r="I20" s="357">
        <f t="shared" si="2"/>
        <v>0</v>
      </c>
      <c r="J20" s="358">
        <f t="shared" si="0"/>
        <v>0</v>
      </c>
      <c r="K20" s="121"/>
      <c r="L20" s="211"/>
    </row>
    <row r="21" spans="1:16" ht="31.2" x14ac:dyDescent="0.3">
      <c r="A21" s="334"/>
      <c r="B21" s="373">
        <v>4.2</v>
      </c>
      <c r="C21" s="374" t="s">
        <v>304</v>
      </c>
      <c r="D21" s="353" t="s">
        <v>40</v>
      </c>
      <c r="E21" s="375">
        <v>336</v>
      </c>
      <c r="F21" s="376"/>
      <c r="G21" s="355">
        <f t="shared" si="1"/>
        <v>0</v>
      </c>
      <c r="H21" s="356">
        <v>0.33</v>
      </c>
      <c r="I21" s="357">
        <f t="shared" si="2"/>
        <v>0</v>
      </c>
      <c r="J21" s="358">
        <f t="shared" si="0"/>
        <v>0</v>
      </c>
      <c r="K21" s="121"/>
      <c r="L21" s="211"/>
    </row>
    <row r="22" spans="1:16" ht="36.6" customHeight="1" x14ac:dyDescent="0.3">
      <c r="A22" s="334"/>
      <c r="B22" s="368">
        <v>4.3</v>
      </c>
      <c r="C22" s="370" t="s">
        <v>305</v>
      </c>
      <c r="D22" s="353" t="s">
        <v>40</v>
      </c>
      <c r="E22" s="354">
        <v>327</v>
      </c>
      <c r="F22" s="355"/>
      <c r="G22" s="355">
        <f t="shared" si="1"/>
        <v>0</v>
      </c>
      <c r="H22" s="356">
        <v>0.33</v>
      </c>
      <c r="I22" s="357">
        <f t="shared" si="2"/>
        <v>0</v>
      </c>
      <c r="J22" s="358">
        <f t="shared" si="0"/>
        <v>0</v>
      </c>
      <c r="K22" s="121"/>
      <c r="L22" s="211"/>
    </row>
    <row r="23" spans="1:16" ht="49.2" customHeight="1" x14ac:dyDescent="0.3">
      <c r="A23" s="334"/>
      <c r="B23" s="368">
        <v>4.4000000000000004</v>
      </c>
      <c r="C23" s="370" t="s">
        <v>278</v>
      </c>
      <c r="D23" s="353" t="s">
        <v>40</v>
      </c>
      <c r="E23" s="354">
        <v>327</v>
      </c>
      <c r="F23" s="355"/>
      <c r="G23" s="355">
        <f t="shared" si="1"/>
        <v>0</v>
      </c>
      <c r="H23" s="356">
        <v>0.33</v>
      </c>
      <c r="I23" s="357">
        <f t="shared" si="2"/>
        <v>0</v>
      </c>
      <c r="J23" s="358">
        <f t="shared" si="0"/>
        <v>0</v>
      </c>
      <c r="K23" s="121"/>
      <c r="L23" s="211"/>
    </row>
    <row r="24" spans="1:16" ht="46.8" x14ac:dyDescent="0.3">
      <c r="A24" s="334"/>
      <c r="B24" s="368">
        <v>4.5</v>
      </c>
      <c r="C24" s="370" t="s">
        <v>353</v>
      </c>
      <c r="D24" s="353" t="s">
        <v>39</v>
      </c>
      <c r="E24" s="354">
        <v>182</v>
      </c>
      <c r="F24" s="355"/>
      <c r="G24" s="355">
        <f t="shared" si="1"/>
        <v>0</v>
      </c>
      <c r="H24" s="356">
        <v>0.33</v>
      </c>
      <c r="I24" s="357">
        <f t="shared" si="2"/>
        <v>0</v>
      </c>
      <c r="J24" s="358">
        <f t="shared" si="0"/>
        <v>0</v>
      </c>
      <c r="K24" s="121"/>
      <c r="L24" s="211"/>
    </row>
    <row r="25" spans="1:16" s="202" customFormat="1" x14ac:dyDescent="0.3">
      <c r="B25" s="359">
        <v>5</v>
      </c>
      <c r="C25" s="360" t="s">
        <v>17</v>
      </c>
      <c r="D25" s="361"/>
      <c r="E25" s="362"/>
      <c r="F25" s="363"/>
      <c r="G25" s="364"/>
      <c r="H25" s="365"/>
      <c r="I25" s="366"/>
      <c r="J25" s="367"/>
      <c r="K25" s="222"/>
      <c r="L25" s="223"/>
      <c r="M25" s="249"/>
    </row>
    <row r="26" spans="1:16" x14ac:dyDescent="0.3">
      <c r="A26" s="334"/>
      <c r="B26" s="368">
        <v>5.0999999999999996</v>
      </c>
      <c r="C26" s="352" t="s">
        <v>18</v>
      </c>
      <c r="D26" s="377" t="s">
        <v>19</v>
      </c>
      <c r="E26" s="354">
        <v>1</v>
      </c>
      <c r="F26" s="355"/>
      <c r="G26" s="355">
        <f t="shared" si="1"/>
        <v>0</v>
      </c>
      <c r="H26" s="356">
        <v>0.33</v>
      </c>
      <c r="I26" s="357">
        <f t="shared" si="2"/>
        <v>0</v>
      </c>
      <c r="J26" s="358">
        <f t="shared" si="0"/>
        <v>0</v>
      </c>
      <c r="K26" s="121"/>
      <c r="L26" s="211"/>
    </row>
    <row r="27" spans="1:16" ht="79.95" customHeight="1" thickBot="1" x14ac:dyDescent="0.35">
      <c r="A27" s="334"/>
      <c r="B27" s="378">
        <v>5.2</v>
      </c>
      <c r="C27" s="379" t="s">
        <v>245</v>
      </c>
      <c r="D27" s="380" t="s">
        <v>65</v>
      </c>
      <c r="E27" s="381">
        <v>25</v>
      </c>
      <c r="F27" s="382"/>
      <c r="G27" s="382">
        <f t="shared" si="1"/>
        <v>0</v>
      </c>
      <c r="H27" s="383">
        <v>0.33</v>
      </c>
      <c r="I27" s="384">
        <f t="shared" si="2"/>
        <v>0</v>
      </c>
      <c r="J27" s="385">
        <f t="shared" si="0"/>
        <v>0</v>
      </c>
      <c r="K27" s="121"/>
      <c r="L27" s="211"/>
    </row>
    <row r="28" spans="1:16" x14ac:dyDescent="0.3">
      <c r="B28" s="121"/>
      <c r="C28" s="122"/>
      <c r="D28" s="123"/>
      <c r="E28" s="238"/>
      <c r="F28" s="239"/>
      <c r="G28" s="239"/>
      <c r="H28" s="252"/>
      <c r="I28" s="133"/>
      <c r="J28" s="133"/>
      <c r="K28" s="121"/>
      <c r="L28" s="211"/>
    </row>
    <row r="29" spans="1:16" s="119" customFormat="1" ht="18" customHeight="1" x14ac:dyDescent="0.3">
      <c r="B29" s="289"/>
      <c r="C29" s="118"/>
      <c r="D29" s="121"/>
      <c r="E29" s="386"/>
      <c r="F29" s="387"/>
      <c r="G29" s="387"/>
      <c r="H29" s="125"/>
      <c r="I29" s="125"/>
      <c r="J29" s="125"/>
      <c r="L29" s="211"/>
      <c r="M29" s="117"/>
      <c r="N29" s="126"/>
      <c r="O29" s="126"/>
      <c r="P29" s="126"/>
    </row>
    <row r="30" spans="1:16" x14ac:dyDescent="0.3">
      <c r="B30" s="139"/>
      <c r="C30" s="243"/>
      <c r="D30" s="520" t="s">
        <v>89</v>
      </c>
      <c r="E30" s="520"/>
      <c r="F30" s="520"/>
      <c r="G30" s="290">
        <f>SUM(G8:G28)</f>
        <v>0</v>
      </c>
      <c r="H30" s="245"/>
      <c r="I30" s="141"/>
      <c r="J30" s="290">
        <f>SUM(J8:J27)</f>
        <v>0</v>
      </c>
      <c r="L30" s="211"/>
      <c r="M30" s="142"/>
    </row>
    <row r="31" spans="1:16" x14ac:dyDescent="0.3">
      <c r="L31" s="119"/>
    </row>
    <row r="32" spans="1:16" x14ac:dyDescent="0.3">
      <c r="L32" s="469"/>
      <c r="M32" s="142"/>
    </row>
  </sheetData>
  <mergeCells count="10">
    <mergeCell ref="B7:J7"/>
    <mergeCell ref="D30:F30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30142-C36E-4D35-9B16-BF665D32EAAF}">
  <sheetPr>
    <tabColor rgb="FF92D050"/>
  </sheetPr>
  <dimension ref="A1:P44"/>
  <sheetViews>
    <sheetView view="pageBreakPreview" topLeftCell="A26" zoomScale="60" zoomScaleNormal="70" workbookViewId="0">
      <selection activeCell="A43" sqref="A43:XFD219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527" t="s">
        <v>115</v>
      </c>
      <c r="C7" s="528"/>
      <c r="D7" s="528"/>
      <c r="E7" s="528"/>
      <c r="F7" s="528"/>
      <c r="G7" s="528"/>
      <c r="H7" s="528"/>
      <c r="I7" s="528"/>
      <c r="J7" s="529"/>
      <c r="L7" s="211"/>
    </row>
    <row r="8" spans="1:13" s="119" customFormat="1" ht="43.95" customHeight="1" thickBot="1" x14ac:dyDescent="0.35">
      <c r="A8" s="335"/>
      <c r="B8" s="388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389" t="s">
        <v>14</v>
      </c>
      <c r="L8" s="211"/>
      <c r="M8" s="117"/>
    </row>
    <row r="9" spans="1:13" s="390" customFormat="1" x14ac:dyDescent="0.3">
      <c r="B9" s="391">
        <v>1</v>
      </c>
      <c r="C9" s="248" t="s">
        <v>15</v>
      </c>
      <c r="D9" s="392"/>
      <c r="E9" s="393"/>
      <c r="F9" s="394"/>
      <c r="G9" s="395"/>
      <c r="H9" s="286"/>
      <c r="I9" s="287"/>
      <c r="J9" s="288"/>
      <c r="L9" s="223"/>
      <c r="M9" s="249"/>
    </row>
    <row r="10" spans="1:13" customFormat="1" ht="33" customHeight="1" x14ac:dyDescent="0.3">
      <c r="A10" s="396"/>
      <c r="B10" s="397">
        <v>1.1000000000000001</v>
      </c>
      <c r="C10" s="303" t="s">
        <v>309</v>
      </c>
      <c r="D10" s="398" t="s">
        <v>40</v>
      </c>
      <c r="E10" s="310">
        <v>18</v>
      </c>
      <c r="F10" s="399"/>
      <c r="G10" s="400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  <c r="M10" s="117"/>
    </row>
    <row r="11" spans="1:13" customFormat="1" ht="31.2" x14ac:dyDescent="0.3">
      <c r="A11" s="396"/>
      <c r="B11" s="397">
        <v>1.2</v>
      </c>
      <c r="C11" s="226" t="s">
        <v>234</v>
      </c>
      <c r="D11" s="205" t="s">
        <v>39</v>
      </c>
      <c r="E11" s="401">
        <v>30</v>
      </c>
      <c r="F11" s="402"/>
      <c r="G11" s="400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  <c r="M11" s="117"/>
    </row>
    <row r="12" spans="1:13" s="390" customFormat="1" x14ac:dyDescent="0.3">
      <c r="B12" s="403">
        <v>2</v>
      </c>
      <c r="C12" s="214" t="s">
        <v>113</v>
      </c>
      <c r="D12" s="404"/>
      <c r="E12" s="405"/>
      <c r="F12" s="406"/>
      <c r="G12" s="407"/>
      <c r="H12" s="219"/>
      <c r="I12" s="220"/>
      <c r="J12" s="221"/>
      <c r="L12" s="223"/>
      <c r="M12" s="249"/>
    </row>
    <row r="13" spans="1:13" customFormat="1" ht="62.4" x14ac:dyDescent="0.3">
      <c r="A13" s="396"/>
      <c r="B13" s="408">
        <v>2.1</v>
      </c>
      <c r="C13" s="226" t="s">
        <v>354</v>
      </c>
      <c r="D13" s="409" t="s">
        <v>65</v>
      </c>
      <c r="E13" s="410">
        <v>19.559999999999999</v>
      </c>
      <c r="F13" s="411"/>
      <c r="G13" s="400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  <c r="M13" s="117"/>
    </row>
    <row r="14" spans="1:13" s="390" customFormat="1" x14ac:dyDescent="0.3">
      <c r="B14" s="403">
        <v>3</v>
      </c>
      <c r="C14" s="214" t="s">
        <v>91</v>
      </c>
      <c r="D14" s="404"/>
      <c r="E14" s="405"/>
      <c r="F14" s="406"/>
      <c r="G14" s="407"/>
      <c r="H14" s="219"/>
      <c r="I14" s="220"/>
      <c r="J14" s="221"/>
      <c r="L14" s="223"/>
      <c r="M14" s="249"/>
    </row>
    <row r="15" spans="1:13" customFormat="1" ht="31.2" x14ac:dyDescent="0.3">
      <c r="A15" s="396"/>
      <c r="B15" s="397">
        <v>3.1</v>
      </c>
      <c r="C15" s="226" t="s">
        <v>284</v>
      </c>
      <c r="D15" s="205" t="s">
        <v>65</v>
      </c>
      <c r="E15" s="310">
        <v>30</v>
      </c>
      <c r="F15" s="412"/>
      <c r="G15" s="400">
        <f t="shared" ref="G15:G39" si="3">+ROUND(E15*F15,0)</f>
        <v>0</v>
      </c>
      <c r="H15" s="208">
        <v>0.33</v>
      </c>
      <c r="I15" s="209">
        <f t="shared" ref="I15:I39" si="4">(F15*(1+H15))</f>
        <v>0</v>
      </c>
      <c r="J15" s="210">
        <f t="shared" ref="J15:J39" si="5">ROUND(I15*E15,0)</f>
        <v>0</v>
      </c>
      <c r="L15" s="211"/>
      <c r="M15" s="117"/>
    </row>
    <row r="16" spans="1:13" customFormat="1" ht="54" customHeight="1" x14ac:dyDescent="0.3">
      <c r="A16" s="396"/>
      <c r="B16" s="397">
        <v>3.2</v>
      </c>
      <c r="C16" s="226" t="s">
        <v>311</v>
      </c>
      <c r="D16" s="205" t="s">
        <v>65</v>
      </c>
      <c r="E16" s="401">
        <v>0.6</v>
      </c>
      <c r="F16" s="402"/>
      <c r="G16" s="400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L16" s="211"/>
      <c r="M16" s="117"/>
    </row>
    <row r="17" spans="1:13" customFormat="1" ht="31.2" x14ac:dyDescent="0.3">
      <c r="A17" s="396"/>
      <c r="B17" s="397">
        <v>3.3</v>
      </c>
      <c r="C17" s="226" t="s">
        <v>355</v>
      </c>
      <c r="D17" s="205" t="s">
        <v>65</v>
      </c>
      <c r="E17" s="401">
        <v>4</v>
      </c>
      <c r="F17" s="402"/>
      <c r="G17" s="400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L17" s="211"/>
      <c r="M17" s="117"/>
    </row>
    <row r="18" spans="1:13" s="390" customFormat="1" x14ac:dyDescent="0.3">
      <c r="B18" s="413">
        <v>4</v>
      </c>
      <c r="C18" s="214" t="s">
        <v>116</v>
      </c>
      <c r="D18" s="404"/>
      <c r="E18" s="405"/>
      <c r="F18" s="406"/>
      <c r="G18" s="407"/>
      <c r="H18" s="219"/>
      <c r="I18" s="220"/>
      <c r="J18" s="221"/>
      <c r="L18" s="223"/>
      <c r="M18" s="249"/>
    </row>
    <row r="19" spans="1:13" customFormat="1" ht="31.2" x14ac:dyDescent="0.3">
      <c r="A19" s="396"/>
      <c r="B19" s="414">
        <v>4.0999999999999996</v>
      </c>
      <c r="C19" s="226" t="s">
        <v>312</v>
      </c>
      <c r="D19" s="205" t="s">
        <v>40</v>
      </c>
      <c r="E19" s="401">
        <v>9.4</v>
      </c>
      <c r="F19" s="402"/>
      <c r="G19" s="400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L19" s="211"/>
      <c r="M19" s="117"/>
    </row>
    <row r="20" spans="1:13" customFormat="1" ht="50.4" customHeight="1" x14ac:dyDescent="0.3">
      <c r="A20" s="396"/>
      <c r="B20" s="414">
        <v>4.2</v>
      </c>
      <c r="C20" s="226" t="s">
        <v>356</v>
      </c>
      <c r="D20" s="205" t="s">
        <v>39</v>
      </c>
      <c r="E20" s="401">
        <v>14</v>
      </c>
      <c r="F20" s="402"/>
      <c r="G20" s="400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L20" s="211"/>
      <c r="M20" s="117"/>
    </row>
    <row r="21" spans="1:13" customFormat="1" ht="49.95" customHeight="1" x14ac:dyDescent="0.3">
      <c r="A21" s="396"/>
      <c r="B21" s="414">
        <v>4.3</v>
      </c>
      <c r="C21" s="226" t="s">
        <v>357</v>
      </c>
      <c r="D21" s="205" t="s">
        <v>39</v>
      </c>
      <c r="E21" s="401">
        <v>10.8</v>
      </c>
      <c r="F21" s="402"/>
      <c r="G21" s="400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L21" s="211"/>
      <c r="M21" s="117"/>
    </row>
    <row r="22" spans="1:13" s="417" customFormat="1" ht="84" customHeight="1" x14ac:dyDescent="0.3">
      <c r="A22" s="396"/>
      <c r="B22" s="414">
        <v>4.4000000000000004</v>
      </c>
      <c r="C22" s="204" t="s">
        <v>358</v>
      </c>
      <c r="D22" s="409" t="s">
        <v>40</v>
      </c>
      <c r="E22" s="415">
        <f>2.3*4.1</f>
        <v>9.4299999999999979</v>
      </c>
      <c r="F22" s="416"/>
      <c r="G22" s="400">
        <f t="shared" si="3"/>
        <v>0</v>
      </c>
      <c r="H22" s="208">
        <v>0.33</v>
      </c>
      <c r="I22" s="209">
        <f t="shared" si="4"/>
        <v>0</v>
      </c>
      <c r="J22" s="210">
        <f t="shared" si="5"/>
        <v>0</v>
      </c>
      <c r="L22" s="211"/>
      <c r="M22" s="117"/>
    </row>
    <row r="23" spans="1:13" s="417" customFormat="1" ht="62.4" x14ac:dyDescent="0.3">
      <c r="A23" s="396"/>
      <c r="B23" s="414">
        <v>4.5</v>
      </c>
      <c r="C23" s="204" t="s">
        <v>359</v>
      </c>
      <c r="D23" s="409" t="s">
        <v>40</v>
      </c>
      <c r="E23" s="415">
        <v>1</v>
      </c>
      <c r="F23" s="416"/>
      <c r="G23" s="400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L23" s="211"/>
      <c r="M23" s="117"/>
    </row>
    <row r="24" spans="1:13" s="417" customFormat="1" ht="62.4" x14ac:dyDescent="0.3">
      <c r="A24" s="396"/>
      <c r="B24" s="414">
        <v>4.5999999999999996</v>
      </c>
      <c r="C24" s="204" t="s">
        <v>360</v>
      </c>
      <c r="D24" s="409" t="s">
        <v>19</v>
      </c>
      <c r="E24" s="415">
        <v>1</v>
      </c>
      <c r="F24" s="416"/>
      <c r="G24" s="400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L24" s="211"/>
      <c r="M24" s="117"/>
    </row>
    <row r="25" spans="1:13" customFormat="1" ht="62.4" x14ac:dyDescent="0.3">
      <c r="A25" s="396"/>
      <c r="B25" s="414">
        <v>4.7</v>
      </c>
      <c r="C25" s="226" t="s">
        <v>361</v>
      </c>
      <c r="D25" s="205" t="s">
        <v>19</v>
      </c>
      <c r="E25" s="401">
        <v>1</v>
      </c>
      <c r="F25" s="402"/>
      <c r="G25" s="400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L25" s="211"/>
      <c r="M25" s="117"/>
    </row>
    <row r="26" spans="1:13" customFormat="1" ht="46.8" x14ac:dyDescent="0.3">
      <c r="A26" s="396"/>
      <c r="B26" s="414">
        <v>4.8</v>
      </c>
      <c r="C26" s="226" t="s">
        <v>362</v>
      </c>
      <c r="D26" s="205" t="s">
        <v>40</v>
      </c>
      <c r="E26" s="401">
        <f>4.05*2.3</f>
        <v>9.3149999999999995</v>
      </c>
      <c r="F26" s="402"/>
      <c r="G26" s="400">
        <f t="shared" si="3"/>
        <v>0</v>
      </c>
      <c r="H26" s="208">
        <v>0.33</v>
      </c>
      <c r="I26" s="209">
        <f t="shared" si="4"/>
        <v>0</v>
      </c>
      <c r="J26" s="210">
        <f t="shared" si="5"/>
        <v>0</v>
      </c>
      <c r="L26" s="211"/>
      <c r="M26" s="117"/>
    </row>
    <row r="27" spans="1:13" customFormat="1" ht="46.8" x14ac:dyDescent="0.3">
      <c r="A27" s="396"/>
      <c r="B27" s="414">
        <v>4.9000000000000004</v>
      </c>
      <c r="C27" s="226" t="s">
        <v>334</v>
      </c>
      <c r="D27" s="205" t="s">
        <v>19</v>
      </c>
      <c r="E27" s="401">
        <v>1</v>
      </c>
      <c r="F27" s="402"/>
      <c r="G27" s="400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L27" s="211"/>
      <c r="M27" s="117"/>
    </row>
    <row r="28" spans="1:13" s="390" customFormat="1" x14ac:dyDescent="0.3">
      <c r="B28" s="413">
        <v>5</v>
      </c>
      <c r="C28" s="214" t="s">
        <v>68</v>
      </c>
      <c r="D28" s="404"/>
      <c r="E28" s="405"/>
      <c r="F28" s="406"/>
      <c r="G28" s="407"/>
      <c r="H28" s="219"/>
      <c r="I28" s="220"/>
      <c r="J28" s="221"/>
      <c r="L28" s="223"/>
      <c r="M28" s="249"/>
    </row>
    <row r="29" spans="1:13" s="417" customFormat="1" ht="31.2" x14ac:dyDescent="0.3">
      <c r="A29" s="396"/>
      <c r="B29" s="418">
        <v>5.0999999999999996</v>
      </c>
      <c r="C29" s="204" t="s">
        <v>363</v>
      </c>
      <c r="D29" s="409" t="s">
        <v>40</v>
      </c>
      <c r="E29" s="415">
        <v>23.6</v>
      </c>
      <c r="F29" s="416"/>
      <c r="G29" s="400">
        <f t="shared" si="3"/>
        <v>0</v>
      </c>
      <c r="H29" s="208">
        <v>0.33</v>
      </c>
      <c r="I29" s="209">
        <f t="shared" si="4"/>
        <v>0</v>
      </c>
      <c r="J29" s="210">
        <f t="shared" si="5"/>
        <v>0</v>
      </c>
      <c r="L29" s="211"/>
      <c r="M29" s="117"/>
    </row>
    <row r="30" spans="1:13" s="390" customFormat="1" x14ac:dyDescent="0.3">
      <c r="B30" s="413">
        <v>6</v>
      </c>
      <c r="C30" s="214" t="s">
        <v>93</v>
      </c>
      <c r="D30" s="404"/>
      <c r="E30" s="405"/>
      <c r="F30" s="406"/>
      <c r="G30" s="407"/>
      <c r="H30" s="219"/>
      <c r="I30" s="220"/>
      <c r="J30" s="221"/>
      <c r="L30" s="223"/>
      <c r="M30" s="249"/>
    </row>
    <row r="31" spans="1:13" s="417" customFormat="1" ht="31.2" x14ac:dyDescent="0.3">
      <c r="A31" s="396"/>
      <c r="B31" s="418">
        <v>6.1</v>
      </c>
      <c r="C31" s="419" t="s">
        <v>364</v>
      </c>
      <c r="D31" s="420" t="s">
        <v>40</v>
      </c>
      <c r="E31" s="415">
        <v>27.4</v>
      </c>
      <c r="F31" s="416"/>
      <c r="G31" s="400">
        <f t="shared" si="3"/>
        <v>0</v>
      </c>
      <c r="H31" s="208">
        <v>0.33</v>
      </c>
      <c r="I31" s="209">
        <f t="shared" si="4"/>
        <v>0</v>
      </c>
      <c r="J31" s="210">
        <f t="shared" si="5"/>
        <v>0</v>
      </c>
      <c r="L31" s="211"/>
      <c r="M31" s="117"/>
    </row>
    <row r="32" spans="1:13" customFormat="1" ht="31.2" x14ac:dyDescent="0.3">
      <c r="A32" s="396"/>
      <c r="B32" s="418">
        <v>6.2</v>
      </c>
      <c r="C32" s="419" t="s">
        <v>365</v>
      </c>
      <c r="D32" s="420" t="s">
        <v>40</v>
      </c>
      <c r="E32" s="415">
        <v>27.4</v>
      </c>
      <c r="F32" s="416"/>
      <c r="G32" s="400">
        <f t="shared" si="3"/>
        <v>0</v>
      </c>
      <c r="H32" s="208">
        <v>0.33</v>
      </c>
      <c r="I32" s="209">
        <f t="shared" si="4"/>
        <v>0</v>
      </c>
      <c r="J32" s="210">
        <f t="shared" si="5"/>
        <v>0</v>
      </c>
      <c r="L32" s="211"/>
      <c r="M32" s="117"/>
    </row>
    <row r="33" spans="1:16" s="390" customFormat="1" x14ac:dyDescent="0.3">
      <c r="B33" s="413">
        <v>7</v>
      </c>
      <c r="C33" s="214" t="s">
        <v>117</v>
      </c>
      <c r="D33" s="404"/>
      <c r="E33" s="405"/>
      <c r="F33" s="406"/>
      <c r="G33" s="407"/>
      <c r="H33" s="219"/>
      <c r="I33" s="220"/>
      <c r="J33" s="221"/>
      <c r="L33" s="223"/>
      <c r="M33" s="249"/>
    </row>
    <row r="34" spans="1:16" customFormat="1" ht="46.8" x14ac:dyDescent="0.3">
      <c r="A34" s="396"/>
      <c r="B34" s="314">
        <v>7.1</v>
      </c>
      <c r="C34" s="312" t="s">
        <v>366</v>
      </c>
      <c r="D34" s="205" t="s">
        <v>372</v>
      </c>
      <c r="E34" s="401">
        <v>1</v>
      </c>
      <c r="F34" s="402"/>
      <c r="G34" s="400">
        <f t="shared" si="3"/>
        <v>0</v>
      </c>
      <c r="H34" s="208">
        <v>0.33</v>
      </c>
      <c r="I34" s="209">
        <f t="shared" si="4"/>
        <v>0</v>
      </c>
      <c r="J34" s="210">
        <f t="shared" si="5"/>
        <v>0</v>
      </c>
      <c r="L34" s="211"/>
      <c r="M34" s="117"/>
    </row>
    <row r="35" spans="1:16" customFormat="1" ht="31.2" x14ac:dyDescent="0.3">
      <c r="A35" s="396"/>
      <c r="B35" s="314">
        <v>7.2</v>
      </c>
      <c r="C35" s="312" t="s">
        <v>367</v>
      </c>
      <c r="D35" s="205" t="s">
        <v>371</v>
      </c>
      <c r="E35" s="401">
        <v>30</v>
      </c>
      <c r="F35" s="402"/>
      <c r="G35" s="400">
        <f t="shared" si="3"/>
        <v>0</v>
      </c>
      <c r="H35" s="208">
        <v>0.33</v>
      </c>
      <c r="I35" s="209">
        <f t="shared" si="4"/>
        <v>0</v>
      </c>
      <c r="J35" s="210">
        <f t="shared" si="5"/>
        <v>0</v>
      </c>
      <c r="L35" s="211"/>
      <c r="M35" s="117"/>
    </row>
    <row r="36" spans="1:16" customFormat="1" ht="46.8" x14ac:dyDescent="0.3">
      <c r="A36" s="396"/>
      <c r="B36" s="314">
        <v>7.3</v>
      </c>
      <c r="C36" s="312" t="s">
        <v>368</v>
      </c>
      <c r="D36" s="205" t="s">
        <v>372</v>
      </c>
      <c r="E36" s="401">
        <v>1</v>
      </c>
      <c r="F36" s="402"/>
      <c r="G36" s="400">
        <f t="shared" si="3"/>
        <v>0</v>
      </c>
      <c r="H36" s="208">
        <v>0.33</v>
      </c>
      <c r="I36" s="209">
        <f t="shared" si="4"/>
        <v>0</v>
      </c>
      <c r="J36" s="210">
        <f t="shared" si="5"/>
        <v>0</v>
      </c>
      <c r="L36" s="211"/>
      <c r="M36" s="117"/>
    </row>
    <row r="37" spans="1:16" s="390" customFormat="1" x14ac:dyDescent="0.3">
      <c r="B37" s="413">
        <v>9</v>
      </c>
      <c r="C37" s="214" t="s">
        <v>99</v>
      </c>
      <c r="D37" s="404"/>
      <c r="E37" s="405"/>
      <c r="F37" s="406"/>
      <c r="G37" s="407"/>
      <c r="H37" s="219"/>
      <c r="I37" s="220"/>
      <c r="J37" s="221"/>
      <c r="L37" s="223"/>
      <c r="M37" s="249"/>
    </row>
    <row r="38" spans="1:16" customFormat="1" x14ac:dyDescent="0.3">
      <c r="A38" s="396"/>
      <c r="B38" s="414">
        <v>9.1</v>
      </c>
      <c r="C38" s="312" t="s">
        <v>100</v>
      </c>
      <c r="D38" s="421" t="s">
        <v>19</v>
      </c>
      <c r="E38" s="292">
        <v>1</v>
      </c>
      <c r="F38" s="412"/>
      <c r="G38" s="400">
        <f t="shared" si="3"/>
        <v>0</v>
      </c>
      <c r="H38" s="208">
        <v>0.33</v>
      </c>
      <c r="I38" s="209">
        <f t="shared" si="4"/>
        <v>0</v>
      </c>
      <c r="J38" s="210">
        <f t="shared" si="5"/>
        <v>0</v>
      </c>
      <c r="L38" s="211"/>
      <c r="M38" s="117"/>
    </row>
    <row r="39" spans="1:16" customFormat="1" ht="16.2" thickBot="1" x14ac:dyDescent="0.35">
      <c r="A39" s="396"/>
      <c r="B39" s="422">
        <v>9.1999999999999993</v>
      </c>
      <c r="C39" s="319" t="s">
        <v>101</v>
      </c>
      <c r="D39" s="423" t="s">
        <v>118</v>
      </c>
      <c r="E39" s="424">
        <v>1</v>
      </c>
      <c r="F39" s="425"/>
      <c r="G39" s="426">
        <f t="shared" si="3"/>
        <v>0</v>
      </c>
      <c r="H39" s="234">
        <v>0.33</v>
      </c>
      <c r="I39" s="235">
        <f t="shared" si="4"/>
        <v>0</v>
      </c>
      <c r="J39" s="236">
        <f t="shared" si="5"/>
        <v>0</v>
      </c>
      <c r="L39" s="211"/>
      <c r="M39" s="117"/>
    </row>
    <row r="40" spans="1:16" x14ac:dyDescent="0.3">
      <c r="B40" s="121"/>
      <c r="C40" s="122"/>
      <c r="D40" s="123"/>
      <c r="E40" s="238"/>
      <c r="F40" s="239"/>
      <c r="G40" s="239"/>
      <c r="H40" s="252"/>
      <c r="I40" s="133"/>
      <c r="J40" s="133"/>
      <c r="K40" s="121"/>
      <c r="L40" s="211"/>
    </row>
    <row r="41" spans="1:16" s="119" customFormat="1" ht="18" customHeight="1" x14ac:dyDescent="0.3">
      <c r="B41" s="253"/>
      <c r="C41" s="118"/>
      <c r="D41" s="121"/>
      <c r="E41" s="124"/>
      <c r="F41" s="125"/>
      <c r="G41" s="125"/>
      <c r="H41" s="125"/>
      <c r="I41" s="125"/>
      <c r="J41" s="125"/>
      <c r="L41" s="211"/>
      <c r="M41" s="117"/>
      <c r="N41" s="126"/>
      <c r="O41" s="126"/>
      <c r="P41" s="126"/>
    </row>
    <row r="42" spans="1:16" x14ac:dyDescent="0.3">
      <c r="B42" s="242"/>
      <c r="C42" s="243"/>
      <c r="D42" s="520" t="s">
        <v>219</v>
      </c>
      <c r="E42" s="520"/>
      <c r="F42" s="520"/>
      <c r="G42" s="290">
        <f>SUM(G9:G39)</f>
        <v>0</v>
      </c>
      <c r="H42" s="245"/>
      <c r="I42" s="141"/>
      <c r="J42" s="290">
        <f>SUM(J10:J39)</f>
        <v>0</v>
      </c>
      <c r="L42" s="133"/>
      <c r="M42" s="133"/>
    </row>
    <row r="43" spans="1:16" x14ac:dyDescent="0.3">
      <c r="L43" s="119"/>
    </row>
    <row r="44" spans="1:16" x14ac:dyDescent="0.3">
      <c r="L44" s="469"/>
      <c r="M44" s="142"/>
    </row>
  </sheetData>
  <mergeCells count="10">
    <mergeCell ref="B7:J7"/>
    <mergeCell ref="D42:F4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32EED-CA28-4CC4-B1F5-9CB87B343EBD}">
  <sheetPr>
    <tabColor rgb="FF92D050"/>
  </sheetPr>
  <dimension ref="A1:P34"/>
  <sheetViews>
    <sheetView view="pageBreakPreview" topLeftCell="A20" zoomScale="60" zoomScaleNormal="70" workbookViewId="0">
      <selection activeCell="L47" sqref="L47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480" t="s">
        <v>120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1:13" s="119" customFormat="1" ht="45" customHeight="1" thickBot="1" x14ac:dyDescent="0.35">
      <c r="A8" s="335"/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1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1:13" ht="37.200000000000003" customHeight="1" x14ac:dyDescent="0.3">
      <c r="A10" s="334"/>
      <c r="B10" s="203">
        <v>1.1000000000000001</v>
      </c>
      <c r="C10" s="204" t="s">
        <v>231</v>
      </c>
      <c r="D10" s="205" t="s">
        <v>40</v>
      </c>
      <c r="E10" s="206">
        <v>200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</row>
    <row r="11" spans="1:13" ht="31.95" customHeight="1" x14ac:dyDescent="0.3">
      <c r="B11" s="203">
        <v>1.2</v>
      </c>
      <c r="C11" s="204" t="s">
        <v>232</v>
      </c>
      <c r="D11" s="205" t="s">
        <v>40</v>
      </c>
      <c r="E11" s="206">
        <f>+E10/3</f>
        <v>66.666666666666671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1:13" ht="31.95" customHeight="1" x14ac:dyDescent="0.3">
      <c r="B12" s="203">
        <v>1.3</v>
      </c>
      <c r="C12" s="204" t="s">
        <v>233</v>
      </c>
      <c r="D12" s="205" t="s">
        <v>370</v>
      </c>
      <c r="E12" s="206">
        <f>(9+8+8+10)*2</f>
        <v>70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1:13" ht="31.95" customHeight="1" x14ac:dyDescent="0.3">
      <c r="B13" s="203">
        <v>1.4</v>
      </c>
      <c r="C13" s="204" t="s">
        <v>234</v>
      </c>
      <c r="D13" s="205" t="s">
        <v>39</v>
      </c>
      <c r="E13" s="206">
        <f>9+9+9+9+8+8</f>
        <v>52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1:13" s="202" customFormat="1" x14ac:dyDescent="0.3">
      <c r="B14" s="427">
        <v>2</v>
      </c>
      <c r="C14" s="428" t="s">
        <v>16</v>
      </c>
      <c r="D14" s="429"/>
      <c r="E14" s="430"/>
      <c r="F14" s="431"/>
      <c r="G14" s="218"/>
      <c r="H14" s="219"/>
      <c r="I14" s="220"/>
      <c r="J14" s="221"/>
      <c r="K14" s="222"/>
      <c r="L14" s="223"/>
      <c r="M14" s="249"/>
    </row>
    <row r="15" spans="1:13" s="202" customFormat="1" ht="70.95" customHeight="1" x14ac:dyDescent="0.3">
      <c r="A15" s="335"/>
      <c r="B15" s="368">
        <v>9.4</v>
      </c>
      <c r="C15" s="352" t="s">
        <v>247</v>
      </c>
      <c r="D15" s="353" t="s">
        <v>39</v>
      </c>
      <c r="E15" s="354">
        <v>10.5</v>
      </c>
      <c r="F15" s="355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K15" s="222"/>
      <c r="L15" s="211"/>
      <c r="M15" s="117"/>
    </row>
    <row r="16" spans="1:13" ht="62.4" x14ac:dyDescent="0.3">
      <c r="A16" s="334"/>
      <c r="B16" s="432">
        <v>2.1</v>
      </c>
      <c r="C16" s="433" t="s">
        <v>235</v>
      </c>
      <c r="D16" s="434" t="s">
        <v>40</v>
      </c>
      <c r="E16" s="435">
        <v>200</v>
      </c>
      <c r="F16" s="436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211"/>
    </row>
    <row r="17" spans="1:16" ht="66.599999999999994" customHeight="1" x14ac:dyDescent="0.3">
      <c r="A17" s="334"/>
      <c r="B17" s="225">
        <v>2.2000000000000002</v>
      </c>
      <c r="C17" s="226" t="s">
        <v>246</v>
      </c>
      <c r="D17" s="228" t="s">
        <v>39</v>
      </c>
      <c r="E17" s="206">
        <v>49</v>
      </c>
      <c r="F17" s="207"/>
      <c r="G17" s="207">
        <f>+ROUND(E17*F17,0)</f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</row>
    <row r="18" spans="1:16" ht="46.8" x14ac:dyDescent="0.3">
      <c r="A18" s="334"/>
      <c r="B18" s="225">
        <v>2.2999999999999998</v>
      </c>
      <c r="C18" s="204" t="s">
        <v>236</v>
      </c>
      <c r="D18" s="205" t="s">
        <v>371</v>
      </c>
      <c r="E18" s="206">
        <v>19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</row>
    <row r="19" spans="1:16" ht="30.75" customHeight="1" x14ac:dyDescent="0.3">
      <c r="A19" s="334"/>
      <c r="B19" s="225">
        <v>2.4</v>
      </c>
      <c r="C19" s="204" t="s">
        <v>237</v>
      </c>
      <c r="D19" s="205" t="s">
        <v>371</v>
      </c>
      <c r="E19" s="206">
        <v>37.299999999999997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K19" s="121"/>
      <c r="L19" s="211"/>
    </row>
    <row r="20" spans="1:16" ht="32.25" customHeight="1" x14ac:dyDescent="0.3">
      <c r="B20" s="225">
        <v>2.7</v>
      </c>
      <c r="C20" s="204" t="s">
        <v>239</v>
      </c>
      <c r="D20" s="205" t="s">
        <v>40</v>
      </c>
      <c r="E20" s="206">
        <f>+E21*2</f>
        <v>31.92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</row>
    <row r="21" spans="1:16" ht="32.25" customHeight="1" x14ac:dyDescent="0.3">
      <c r="B21" s="225">
        <v>2.8</v>
      </c>
      <c r="C21" s="204" t="s">
        <v>240</v>
      </c>
      <c r="D21" s="205" t="s">
        <v>40</v>
      </c>
      <c r="E21" s="206">
        <f>10.64*1.5</f>
        <v>15.96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</row>
    <row r="22" spans="1:16" s="202" customFormat="1" x14ac:dyDescent="0.3">
      <c r="B22" s="213">
        <v>3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49"/>
    </row>
    <row r="23" spans="1:16" ht="31.2" x14ac:dyDescent="0.3">
      <c r="B23" s="225">
        <v>3.1</v>
      </c>
      <c r="C23" s="227" t="s">
        <v>242</v>
      </c>
      <c r="D23" s="228" t="s">
        <v>19</v>
      </c>
      <c r="E23" s="206">
        <v>2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211"/>
    </row>
    <row r="24" spans="1:16" ht="75" customHeight="1" x14ac:dyDescent="0.3">
      <c r="B24" s="225">
        <v>3.2</v>
      </c>
      <c r="C24" s="227" t="s">
        <v>243</v>
      </c>
      <c r="D24" s="228" t="s">
        <v>19</v>
      </c>
      <c r="E24" s="206">
        <v>8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1:16" ht="31.2" x14ac:dyDescent="0.3">
      <c r="B25" s="225">
        <v>3.3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1:16" s="202" customFormat="1" x14ac:dyDescent="0.3">
      <c r="B26" s="213">
        <v>4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3"/>
      <c r="M26" s="249"/>
    </row>
    <row r="27" spans="1:16" x14ac:dyDescent="0.3">
      <c r="A27" s="334"/>
      <c r="B27" s="225">
        <v>4.0999999999999996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</row>
    <row r="28" spans="1:16" x14ac:dyDescent="0.3">
      <c r="A28" s="334"/>
      <c r="B28" s="225">
        <v>4.2</v>
      </c>
      <c r="C28" s="226" t="s">
        <v>20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</row>
    <row r="29" spans="1:16" ht="78.599999999999994" customHeight="1" thickBot="1" x14ac:dyDescent="0.35">
      <c r="A29" s="334"/>
      <c r="B29" s="229">
        <v>4.3</v>
      </c>
      <c r="C29" s="251" t="s">
        <v>245</v>
      </c>
      <c r="D29" s="231" t="s">
        <v>65</v>
      </c>
      <c r="E29" s="232">
        <v>12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K29" s="121"/>
      <c r="L29" s="211"/>
    </row>
    <row r="30" spans="1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</row>
    <row r="31" spans="1:16" s="119" customFormat="1" ht="18" customHeight="1" x14ac:dyDescent="0.3">
      <c r="B31" s="289"/>
      <c r="C31" s="118"/>
      <c r="D31" s="121"/>
      <c r="E31" s="124"/>
      <c r="F31" s="125"/>
      <c r="G31" s="125"/>
      <c r="H31" s="125"/>
      <c r="I31" s="125"/>
      <c r="J31" s="125"/>
      <c r="L31" s="211"/>
      <c r="M31" s="117"/>
      <c r="N31" s="126"/>
      <c r="O31" s="126"/>
      <c r="P31" s="126"/>
    </row>
    <row r="32" spans="1:16" x14ac:dyDescent="0.3">
      <c r="B32" s="139"/>
      <c r="C32" s="243"/>
      <c r="D32" s="520" t="s">
        <v>109</v>
      </c>
      <c r="E32" s="520"/>
      <c r="F32" s="520"/>
      <c r="G32" s="290">
        <f>SUM(G9:G29)</f>
        <v>0</v>
      </c>
      <c r="H32" s="245"/>
      <c r="I32" s="141"/>
      <c r="J32" s="290">
        <f>SUM(J9:J29)</f>
        <v>0</v>
      </c>
      <c r="L32" s="211"/>
      <c r="M32" s="142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A77A-15C2-408A-8595-117C4476012F}">
  <sheetPr>
    <tabColor rgb="FF92D050"/>
  </sheetPr>
  <dimension ref="A1:P27"/>
  <sheetViews>
    <sheetView view="pageBreakPreview" topLeftCell="A13" zoomScale="60" zoomScaleNormal="70" workbookViewId="0">
      <selection activeCell="A26" sqref="A26:XFD153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B7" s="517" t="s">
        <v>122</v>
      </c>
      <c r="C7" s="518"/>
      <c r="D7" s="518"/>
      <c r="E7" s="518"/>
      <c r="F7" s="518"/>
      <c r="G7" s="518"/>
      <c r="H7" s="518"/>
      <c r="I7" s="518"/>
      <c r="J7" s="519"/>
      <c r="L7" s="211"/>
    </row>
    <row r="8" spans="1:13" s="119" customFormat="1" ht="49.2" customHeight="1" thickBot="1" x14ac:dyDescent="0.35">
      <c r="B8" s="437" t="s">
        <v>6</v>
      </c>
      <c r="C8" s="438" t="s">
        <v>7</v>
      </c>
      <c r="D8" s="439" t="s">
        <v>8</v>
      </c>
      <c r="E8" s="440" t="s">
        <v>9</v>
      </c>
      <c r="F8" s="441" t="s">
        <v>10</v>
      </c>
      <c r="G8" s="442" t="s">
        <v>11</v>
      </c>
      <c r="H8" s="442" t="s">
        <v>12</v>
      </c>
      <c r="I8" s="442" t="s">
        <v>13</v>
      </c>
      <c r="J8" s="443" t="s">
        <v>14</v>
      </c>
      <c r="L8" s="211"/>
      <c r="M8" s="117"/>
    </row>
    <row r="9" spans="1:13" s="202" customFormat="1" ht="14.25" customHeight="1" x14ac:dyDescent="0.3">
      <c r="A9" s="119"/>
      <c r="B9" s="444">
        <v>1</v>
      </c>
      <c r="C9" s="214" t="s">
        <v>220</v>
      </c>
      <c r="D9" s="215"/>
      <c r="E9" s="216"/>
      <c r="F9" s="217"/>
      <c r="G9" s="445"/>
      <c r="H9" s="200"/>
      <c r="I9" s="196"/>
      <c r="J9" s="446"/>
      <c r="L9" s="223"/>
      <c r="M9" s="249"/>
    </row>
    <row r="10" spans="1:13" ht="31.2" x14ac:dyDescent="0.3">
      <c r="B10" s="447">
        <v>1.1000000000000001</v>
      </c>
      <c r="C10" s="204" t="s">
        <v>234</v>
      </c>
      <c r="D10" s="205" t="s">
        <v>39</v>
      </c>
      <c r="E10" s="206">
        <v>16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448">
        <f>ROUND(I10*E10,0)</f>
        <v>0</v>
      </c>
      <c r="K10" s="121"/>
      <c r="L10" s="211"/>
    </row>
    <row r="11" spans="1:13" s="249" customFormat="1" x14ac:dyDescent="0.3">
      <c r="A11" s="117"/>
      <c r="B11" s="444">
        <v>2</v>
      </c>
      <c r="C11" s="214" t="s">
        <v>113</v>
      </c>
      <c r="D11" s="215"/>
      <c r="E11" s="216"/>
      <c r="F11" s="217"/>
      <c r="G11" s="218"/>
      <c r="H11" s="219"/>
      <c r="I11" s="220"/>
      <c r="J11" s="449"/>
      <c r="K11" s="250"/>
      <c r="L11" s="223"/>
    </row>
    <row r="12" spans="1:13" ht="31.2" x14ac:dyDescent="0.3">
      <c r="B12" s="450">
        <v>2.1</v>
      </c>
      <c r="C12" s="227" t="s">
        <v>298</v>
      </c>
      <c r="D12" s="205" t="s">
        <v>40</v>
      </c>
      <c r="E12" s="206">
        <v>165</v>
      </c>
      <c r="F12" s="207"/>
      <c r="G12" s="207">
        <f t="shared" ref="G12" si="0">+ROUND(E12*F12,0)</f>
        <v>0</v>
      </c>
      <c r="H12" s="208">
        <v>0.33</v>
      </c>
      <c r="I12" s="209">
        <f t="shared" ref="I12" si="1">(F12*(1+H12))</f>
        <v>0</v>
      </c>
      <c r="J12" s="448">
        <f t="shared" ref="J12" si="2">ROUND(I12*E12,0)</f>
        <v>0</v>
      </c>
      <c r="K12" s="121"/>
      <c r="L12" s="211"/>
    </row>
    <row r="13" spans="1:13" s="249" customFormat="1" x14ac:dyDescent="0.3">
      <c r="A13" s="117"/>
      <c r="B13" s="444">
        <v>3</v>
      </c>
      <c r="C13" s="214" t="s">
        <v>27</v>
      </c>
      <c r="D13" s="215"/>
      <c r="E13" s="216"/>
      <c r="F13" s="217"/>
      <c r="G13" s="218"/>
      <c r="H13" s="219"/>
      <c r="I13" s="220"/>
      <c r="J13" s="449"/>
      <c r="K13" s="250"/>
      <c r="L13" s="223"/>
    </row>
    <row r="14" spans="1:13" ht="31.2" x14ac:dyDescent="0.3">
      <c r="B14" s="450">
        <v>3.1</v>
      </c>
      <c r="C14" s="227" t="s">
        <v>285</v>
      </c>
      <c r="D14" s="205" t="s">
        <v>65</v>
      </c>
      <c r="E14" s="206">
        <v>17</v>
      </c>
      <c r="F14" s="207"/>
      <c r="G14" s="207">
        <f t="shared" ref="G14:G23" si="3">+ROUND(E14*F14,0)</f>
        <v>0</v>
      </c>
      <c r="H14" s="208">
        <v>0.33</v>
      </c>
      <c r="I14" s="209">
        <f t="shared" ref="I14:I23" si="4">(F14*(1+H14))</f>
        <v>0</v>
      </c>
      <c r="J14" s="448">
        <f t="shared" ref="J14:J23" si="5">ROUND(I14*E14,0)</f>
        <v>0</v>
      </c>
      <c r="K14" s="121"/>
      <c r="L14" s="211"/>
    </row>
    <row r="15" spans="1:13" ht="31.2" x14ac:dyDescent="0.3">
      <c r="B15" s="451">
        <v>3.2</v>
      </c>
      <c r="C15" s="315" t="s">
        <v>304</v>
      </c>
      <c r="D15" s="205" t="s">
        <v>40</v>
      </c>
      <c r="E15" s="452">
        <v>175</v>
      </c>
      <c r="F15" s="316"/>
      <c r="G15" s="207">
        <f t="shared" si="3"/>
        <v>0</v>
      </c>
      <c r="H15" s="208">
        <v>0.33</v>
      </c>
      <c r="I15" s="209">
        <f t="shared" si="4"/>
        <v>0</v>
      </c>
      <c r="J15" s="448">
        <f t="shared" si="5"/>
        <v>0</v>
      </c>
      <c r="K15" s="121"/>
      <c r="L15" s="211"/>
    </row>
    <row r="16" spans="1:13" x14ac:dyDescent="0.3">
      <c r="B16" s="450">
        <v>3.3</v>
      </c>
      <c r="C16" s="227" t="s">
        <v>305</v>
      </c>
      <c r="D16" s="205" t="s">
        <v>40</v>
      </c>
      <c r="E16" s="206">
        <v>165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448">
        <f t="shared" si="5"/>
        <v>0</v>
      </c>
      <c r="K16" s="121"/>
      <c r="L16" s="211"/>
    </row>
    <row r="17" spans="1:16" ht="31.2" x14ac:dyDescent="0.3">
      <c r="B17" s="451">
        <v>3.4</v>
      </c>
      <c r="C17" s="227" t="s">
        <v>278</v>
      </c>
      <c r="D17" s="205" t="s">
        <v>40</v>
      </c>
      <c r="E17" s="206">
        <v>165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448">
        <f t="shared" si="5"/>
        <v>0</v>
      </c>
      <c r="K17" s="121"/>
      <c r="L17" s="211"/>
    </row>
    <row r="18" spans="1:16" s="202" customFormat="1" ht="46.8" x14ac:dyDescent="0.3">
      <c r="A18" s="119"/>
      <c r="B18" s="450">
        <v>3.5</v>
      </c>
      <c r="C18" s="227" t="s">
        <v>353</v>
      </c>
      <c r="D18" s="205" t="s">
        <v>39</v>
      </c>
      <c r="E18" s="206">
        <v>110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448">
        <f t="shared" si="5"/>
        <v>0</v>
      </c>
      <c r="K18" s="222"/>
      <c r="L18" s="211"/>
      <c r="M18" s="117"/>
    </row>
    <row r="19" spans="1:16" x14ac:dyDescent="0.3">
      <c r="B19" s="451">
        <v>3.6</v>
      </c>
      <c r="C19" s="227" t="s">
        <v>253</v>
      </c>
      <c r="D19" s="205" t="s">
        <v>40</v>
      </c>
      <c r="E19" s="206">
        <v>165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448">
        <f t="shared" si="5"/>
        <v>0</v>
      </c>
      <c r="K19" s="121"/>
      <c r="L19" s="211"/>
    </row>
    <row r="20" spans="1:16" s="249" customFormat="1" x14ac:dyDescent="0.3">
      <c r="A20" s="117"/>
      <c r="B20" s="444">
        <v>4</v>
      </c>
      <c r="C20" s="214" t="s">
        <v>17</v>
      </c>
      <c r="D20" s="215"/>
      <c r="E20" s="216"/>
      <c r="F20" s="217"/>
      <c r="G20" s="218"/>
      <c r="H20" s="219"/>
      <c r="I20" s="220"/>
      <c r="J20" s="449"/>
      <c r="K20" s="250"/>
      <c r="L20" s="223"/>
    </row>
    <row r="21" spans="1:16" x14ac:dyDescent="0.3">
      <c r="B21" s="450">
        <v>4.0999999999999996</v>
      </c>
      <c r="C21" s="226" t="s">
        <v>18</v>
      </c>
      <c r="D21" s="228" t="s">
        <v>19</v>
      </c>
      <c r="E21" s="206">
        <v>1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448">
        <f t="shared" si="5"/>
        <v>0</v>
      </c>
      <c r="K21" s="121"/>
      <c r="L21" s="211"/>
    </row>
    <row r="22" spans="1:16" x14ac:dyDescent="0.3">
      <c r="B22" s="450">
        <v>4.2</v>
      </c>
      <c r="C22" s="226" t="s">
        <v>101</v>
      </c>
      <c r="D22" s="228" t="s">
        <v>118</v>
      </c>
      <c r="E22" s="206">
        <v>4</v>
      </c>
      <c r="F22" s="207"/>
      <c r="G22" s="207">
        <f t="shared" si="3"/>
        <v>0</v>
      </c>
      <c r="H22" s="208">
        <v>0.33</v>
      </c>
      <c r="I22" s="209">
        <f t="shared" si="4"/>
        <v>0</v>
      </c>
      <c r="J22" s="448">
        <f t="shared" si="5"/>
        <v>0</v>
      </c>
      <c r="K22" s="121"/>
      <c r="L22" s="211"/>
    </row>
    <row r="23" spans="1:16" ht="63" thickBot="1" x14ac:dyDescent="0.35">
      <c r="B23" s="453">
        <v>4.3</v>
      </c>
      <c r="C23" s="454" t="s">
        <v>245</v>
      </c>
      <c r="D23" s="455" t="s">
        <v>65</v>
      </c>
      <c r="E23" s="456">
        <v>25</v>
      </c>
      <c r="F23" s="457"/>
      <c r="G23" s="457">
        <f t="shared" si="3"/>
        <v>0</v>
      </c>
      <c r="H23" s="458">
        <v>0.33</v>
      </c>
      <c r="I23" s="459">
        <f t="shared" si="4"/>
        <v>0</v>
      </c>
      <c r="J23" s="460">
        <f t="shared" si="5"/>
        <v>0</v>
      </c>
      <c r="K23" s="121"/>
      <c r="L23" s="211"/>
    </row>
    <row r="24" spans="1:16" s="119" customFormat="1" ht="18" customHeight="1" x14ac:dyDescent="0.3">
      <c r="B24" s="253"/>
      <c r="C24" s="118"/>
      <c r="D24" s="121"/>
      <c r="E24" s="124"/>
      <c r="F24" s="125"/>
      <c r="G24" s="125"/>
      <c r="H24" s="125"/>
      <c r="I24" s="125"/>
      <c r="J24" s="125"/>
      <c r="L24" s="211"/>
      <c r="M24" s="117"/>
      <c r="N24" s="126"/>
      <c r="O24" s="126"/>
      <c r="P24" s="126"/>
    </row>
    <row r="25" spans="1:16" x14ac:dyDescent="0.3">
      <c r="B25" s="242"/>
      <c r="C25" s="243"/>
      <c r="D25" s="520" t="s">
        <v>221</v>
      </c>
      <c r="E25" s="520"/>
      <c r="F25" s="520"/>
      <c r="G25" s="290">
        <f>SUM(G10:G23)</f>
        <v>0</v>
      </c>
      <c r="H25" s="245"/>
      <c r="I25" s="141"/>
      <c r="J25" s="290">
        <f>SUM(J9:J23)</f>
        <v>0</v>
      </c>
      <c r="L25" s="211"/>
      <c r="M25" s="142"/>
    </row>
    <row r="26" spans="1:16" x14ac:dyDescent="0.3">
      <c r="L26" s="119"/>
    </row>
    <row r="27" spans="1:16" x14ac:dyDescent="0.3">
      <c r="L27" s="469"/>
      <c r="M27" s="142"/>
    </row>
  </sheetData>
  <mergeCells count="10">
    <mergeCell ref="B7:J7"/>
    <mergeCell ref="D25:F25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B2511-089D-4FCB-97AA-406FB45F495D}">
  <sheetPr>
    <tabColor rgb="FF92D050"/>
  </sheetPr>
  <dimension ref="A1:P35"/>
  <sheetViews>
    <sheetView view="pageBreakPreview" topLeftCell="A19" zoomScale="60" zoomScaleNormal="70" workbookViewId="0">
      <selection activeCell="A34" sqref="A34:XFD132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480" t="s">
        <v>222</v>
      </c>
      <c r="C7" s="481"/>
      <c r="D7" s="481"/>
      <c r="E7" s="481"/>
      <c r="F7" s="481"/>
      <c r="G7" s="481"/>
      <c r="H7" s="481"/>
      <c r="I7" s="481"/>
      <c r="J7" s="482"/>
      <c r="L7" s="211"/>
    </row>
    <row r="8" spans="1:13" s="119" customFormat="1" ht="49.2" customHeight="1" thickBot="1" x14ac:dyDescent="0.35">
      <c r="A8" s="335"/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1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1:13" x14ac:dyDescent="0.3">
      <c r="B10" s="203">
        <v>1.1000000000000001</v>
      </c>
      <c r="C10" s="204" t="s">
        <v>231</v>
      </c>
      <c r="D10" s="205" t="s">
        <v>40</v>
      </c>
      <c r="E10" s="206">
        <v>226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  <c r="L10" s="211"/>
    </row>
    <row r="11" spans="1:13" ht="31.2" x14ac:dyDescent="0.3">
      <c r="B11" s="203">
        <v>1.2</v>
      </c>
      <c r="C11" s="204" t="s">
        <v>234</v>
      </c>
      <c r="D11" s="205" t="s">
        <v>39</v>
      </c>
      <c r="E11" s="206">
        <v>58.787201225114856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1:13" ht="31.95" customHeight="1" x14ac:dyDescent="0.3">
      <c r="B12" s="203">
        <v>1.3</v>
      </c>
      <c r="C12" s="204" t="s">
        <v>232</v>
      </c>
      <c r="D12" s="205" t="s">
        <v>40</v>
      </c>
      <c r="E12" s="206">
        <f>+E10</f>
        <v>226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1:13" ht="31.95" customHeight="1" x14ac:dyDescent="0.3">
      <c r="B13" s="203">
        <v>1.4</v>
      </c>
      <c r="C13" s="204" t="s">
        <v>233</v>
      </c>
      <c r="D13" s="205" t="s">
        <v>370</v>
      </c>
      <c r="E13" s="206">
        <f>(9+8+8+10)*2</f>
        <v>70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1:13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3"/>
      <c r="M14" s="249"/>
    </row>
    <row r="15" spans="1:13" ht="62.4" x14ac:dyDescent="0.3">
      <c r="B15" s="225">
        <v>2.1</v>
      </c>
      <c r="C15" s="204" t="s">
        <v>235</v>
      </c>
      <c r="D15" s="205" t="s">
        <v>40</v>
      </c>
      <c r="E15" s="206">
        <v>227</v>
      </c>
      <c r="F15" s="207"/>
      <c r="G15" s="207">
        <f t="shared" ref="G15:G30" si="3">+ROUND(E15*F15,0)</f>
        <v>0</v>
      </c>
      <c r="H15" s="208">
        <v>0.33</v>
      </c>
      <c r="I15" s="209">
        <f t="shared" ref="I15:I30" si="4">(F15*(1+H15))</f>
        <v>0</v>
      </c>
      <c r="J15" s="210">
        <f t="shared" ref="J15:J30" si="5">ROUND(I15*E15,0)</f>
        <v>0</v>
      </c>
      <c r="K15" s="121"/>
      <c r="L15" s="211"/>
    </row>
    <row r="16" spans="1:13" s="293" customFormat="1" ht="49.2" customHeight="1" x14ac:dyDescent="0.3">
      <c r="B16" s="294">
        <v>2.2000000000000002</v>
      </c>
      <c r="C16" s="204" t="s">
        <v>246</v>
      </c>
      <c r="D16" s="296" t="s">
        <v>39</v>
      </c>
      <c r="E16" s="329">
        <v>229</v>
      </c>
      <c r="F16" s="29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461"/>
      <c r="L16" s="211"/>
      <c r="M16" s="117"/>
    </row>
    <row r="17" spans="2:16" ht="46.8" x14ac:dyDescent="0.3">
      <c r="B17" s="225">
        <v>2.2999999999999998</v>
      </c>
      <c r="C17" s="204" t="s">
        <v>236</v>
      </c>
      <c r="D17" s="205" t="s">
        <v>371</v>
      </c>
      <c r="E17" s="206">
        <v>19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211"/>
    </row>
    <row r="18" spans="2:16" ht="32.25" customHeight="1" x14ac:dyDescent="0.3">
      <c r="B18" s="225">
        <v>2.4</v>
      </c>
      <c r="C18" s="204" t="s">
        <v>237</v>
      </c>
      <c r="D18" s="205" t="s">
        <v>371</v>
      </c>
      <c r="E18" s="206">
        <v>37.4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211"/>
    </row>
    <row r="19" spans="2:16" ht="32.25" customHeight="1" x14ac:dyDescent="0.3">
      <c r="B19" s="225">
        <v>2.5</v>
      </c>
      <c r="C19" s="204" t="s">
        <v>238</v>
      </c>
      <c r="D19" s="205" t="s">
        <v>371</v>
      </c>
      <c r="E19" s="206">
        <v>13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K19" s="121"/>
      <c r="L19" s="211"/>
    </row>
    <row r="20" spans="2:16" ht="32.25" customHeight="1" x14ac:dyDescent="0.3">
      <c r="B20" s="225">
        <v>2.6</v>
      </c>
      <c r="C20" s="204" t="s">
        <v>239</v>
      </c>
      <c r="D20" s="205" t="s">
        <v>40</v>
      </c>
      <c r="E20" s="329">
        <f>+E21*2</f>
        <v>31.92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211"/>
    </row>
    <row r="21" spans="2:16" ht="32.25" customHeight="1" x14ac:dyDescent="0.3">
      <c r="B21" s="225">
        <v>2.7</v>
      </c>
      <c r="C21" s="204" t="s">
        <v>240</v>
      </c>
      <c r="D21" s="205" t="s">
        <v>40</v>
      </c>
      <c r="E21" s="206">
        <f>10.64*1.5</f>
        <v>15.96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211"/>
    </row>
    <row r="22" spans="2:16" ht="32.25" customHeight="1" x14ac:dyDescent="0.3">
      <c r="B22" s="225">
        <v>2.8</v>
      </c>
      <c r="C22" s="204" t="s">
        <v>241</v>
      </c>
      <c r="D22" s="205" t="s">
        <v>370</v>
      </c>
      <c r="E22" s="206">
        <v>21</v>
      </c>
      <c r="F22" s="207"/>
      <c r="G22" s="207">
        <f t="shared" si="3"/>
        <v>0</v>
      </c>
      <c r="H22" s="208">
        <v>0.33</v>
      </c>
      <c r="I22" s="209">
        <f t="shared" si="4"/>
        <v>0</v>
      </c>
      <c r="J22" s="210">
        <f t="shared" si="5"/>
        <v>0</v>
      </c>
      <c r="K22" s="121"/>
      <c r="L22" s="211"/>
    </row>
    <row r="23" spans="2:16" s="202" customFormat="1" x14ac:dyDescent="0.3">
      <c r="B23" s="213">
        <v>3</v>
      </c>
      <c r="C23" s="214" t="s">
        <v>43</v>
      </c>
      <c r="D23" s="215"/>
      <c r="E23" s="216"/>
      <c r="F23" s="217"/>
      <c r="G23" s="218"/>
      <c r="H23" s="219"/>
      <c r="I23" s="220"/>
      <c r="J23" s="221"/>
      <c r="K23" s="222"/>
      <c r="L23" s="223"/>
      <c r="M23" s="249"/>
    </row>
    <row r="24" spans="2:16" ht="31.2" x14ac:dyDescent="0.3">
      <c r="B24" s="225">
        <v>3.1</v>
      </c>
      <c r="C24" s="227" t="s">
        <v>242</v>
      </c>
      <c r="D24" s="228" t="s">
        <v>19</v>
      </c>
      <c r="E24" s="206">
        <v>2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2:16" ht="75" customHeight="1" x14ac:dyDescent="0.3">
      <c r="B25" s="225">
        <v>3.2</v>
      </c>
      <c r="C25" s="227" t="s">
        <v>243</v>
      </c>
      <c r="D25" s="228" t="s">
        <v>19</v>
      </c>
      <c r="E25" s="206">
        <v>8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2:16" ht="31.2" x14ac:dyDescent="0.3">
      <c r="B26" s="225">
        <v>3.3</v>
      </c>
      <c r="C26" s="227" t="s">
        <v>244</v>
      </c>
      <c r="D26" s="228" t="s">
        <v>39</v>
      </c>
      <c r="E26" s="206">
        <f>15.5*2</f>
        <v>31</v>
      </c>
      <c r="F26" s="207"/>
      <c r="G26" s="207">
        <f t="shared" si="3"/>
        <v>0</v>
      </c>
      <c r="H26" s="208">
        <v>0.33</v>
      </c>
      <c r="I26" s="209">
        <f t="shared" si="4"/>
        <v>0</v>
      </c>
      <c r="J26" s="210">
        <f t="shared" si="5"/>
        <v>0</v>
      </c>
      <c r="K26" s="121"/>
      <c r="L26" s="211"/>
    </row>
    <row r="27" spans="2:16" s="202" customFormat="1" x14ac:dyDescent="0.3">
      <c r="B27" s="213">
        <v>4</v>
      </c>
      <c r="C27" s="214" t="s">
        <v>17</v>
      </c>
      <c r="D27" s="215"/>
      <c r="E27" s="216"/>
      <c r="F27" s="217"/>
      <c r="G27" s="218"/>
      <c r="H27" s="219"/>
      <c r="I27" s="220"/>
      <c r="J27" s="221"/>
      <c r="K27" s="222"/>
      <c r="L27" s="223"/>
      <c r="M27" s="249"/>
    </row>
    <row r="28" spans="2:16" x14ac:dyDescent="0.3">
      <c r="B28" s="225">
        <v>4.0999999999999996</v>
      </c>
      <c r="C28" s="226" t="s">
        <v>18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</row>
    <row r="29" spans="2:16" x14ac:dyDescent="0.3">
      <c r="B29" s="225">
        <v>4.2</v>
      </c>
      <c r="C29" s="226" t="s">
        <v>20</v>
      </c>
      <c r="D29" s="228" t="s">
        <v>19</v>
      </c>
      <c r="E29" s="206">
        <v>1</v>
      </c>
      <c r="F29" s="207"/>
      <c r="G29" s="207">
        <f t="shared" si="3"/>
        <v>0</v>
      </c>
      <c r="H29" s="208">
        <v>0.33</v>
      </c>
      <c r="I29" s="209">
        <f t="shared" si="4"/>
        <v>0</v>
      </c>
      <c r="J29" s="210">
        <f t="shared" si="5"/>
        <v>0</v>
      </c>
      <c r="K29" s="121"/>
      <c r="L29" s="211"/>
    </row>
    <row r="30" spans="2:16" ht="33" customHeight="1" thickBot="1" x14ac:dyDescent="0.35">
      <c r="B30" s="229">
        <v>4.3</v>
      </c>
      <c r="C30" s="251" t="s">
        <v>245</v>
      </c>
      <c r="D30" s="231" t="s">
        <v>65</v>
      </c>
      <c r="E30" s="232">
        <v>15</v>
      </c>
      <c r="F30" s="233"/>
      <c r="G30" s="233">
        <f t="shared" si="3"/>
        <v>0</v>
      </c>
      <c r="H30" s="234">
        <v>0.33</v>
      </c>
      <c r="I30" s="235">
        <f t="shared" si="4"/>
        <v>0</v>
      </c>
      <c r="J30" s="236">
        <f t="shared" si="5"/>
        <v>0</v>
      </c>
      <c r="K30" s="121"/>
      <c r="L30" s="211"/>
    </row>
    <row r="31" spans="2:16" x14ac:dyDescent="0.3">
      <c r="B31" s="121"/>
      <c r="C31" s="122"/>
      <c r="D31" s="123"/>
      <c r="E31" s="238"/>
      <c r="F31" s="239"/>
      <c r="G31" s="239"/>
      <c r="H31" s="252"/>
      <c r="I31" s="133"/>
      <c r="J31" s="133"/>
      <c r="K31" s="121"/>
      <c r="L31" s="211"/>
      <c r="M31" s="121"/>
    </row>
    <row r="32" spans="2:16" s="119" customFormat="1" ht="18" customHeight="1" x14ac:dyDescent="0.3">
      <c r="B32" s="289"/>
      <c r="C32" s="118"/>
      <c r="D32" s="121"/>
      <c r="E32" s="124"/>
      <c r="F32" s="125"/>
      <c r="G32" s="125"/>
      <c r="H32" s="125"/>
      <c r="I32" s="125"/>
      <c r="J32" s="125"/>
      <c r="L32" s="211"/>
      <c r="N32" s="126"/>
      <c r="O32" s="126"/>
      <c r="P32" s="126"/>
    </row>
    <row r="33" spans="2:13" x14ac:dyDescent="0.3">
      <c r="B33" s="139"/>
      <c r="C33" s="243"/>
      <c r="D33" s="520" t="s">
        <v>114</v>
      </c>
      <c r="E33" s="520"/>
      <c r="F33" s="520"/>
      <c r="G33" s="290">
        <f>SUM(G10:G31)</f>
        <v>0</v>
      </c>
      <c r="H33" s="245"/>
      <c r="I33" s="141"/>
      <c r="J33" s="290">
        <f>+SUM(J10:J30)</f>
        <v>0</v>
      </c>
      <c r="L33" s="211"/>
      <c r="M33" s="141"/>
    </row>
    <row r="34" spans="2:13" x14ac:dyDescent="0.3">
      <c r="L34" s="119"/>
    </row>
    <row r="35" spans="2:13" x14ac:dyDescent="0.3">
      <c r="L35" s="469"/>
      <c r="M35" s="142"/>
    </row>
  </sheetData>
  <mergeCells count="10">
    <mergeCell ref="B7:J7"/>
    <mergeCell ref="D33:F33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B9939-320A-41E6-9E0D-E94B5A18D8D2}">
  <sheetPr>
    <tabColor rgb="FF92D050"/>
  </sheetPr>
  <dimension ref="A1:P37"/>
  <sheetViews>
    <sheetView view="pageBreakPreview" topLeftCell="A19" zoomScale="60" zoomScaleNormal="70" workbookViewId="0">
      <selection activeCell="A36" sqref="A36:XFD103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530" t="s">
        <v>223</v>
      </c>
      <c r="C7" s="531"/>
      <c r="D7" s="531"/>
      <c r="E7" s="531"/>
      <c r="F7" s="531"/>
      <c r="G7" s="531"/>
      <c r="H7" s="531"/>
      <c r="I7" s="531"/>
      <c r="J7" s="532"/>
      <c r="L7" s="211"/>
    </row>
    <row r="8" spans="1:13" s="119" customFormat="1" ht="49.2" customHeight="1" thickBot="1" x14ac:dyDescent="0.35">
      <c r="A8" s="335"/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1:13" s="202" customFormat="1" ht="14.2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1:13" x14ac:dyDescent="0.3">
      <c r="B10" s="203">
        <v>1.1000000000000001</v>
      </c>
      <c r="C10" s="226" t="s">
        <v>231</v>
      </c>
      <c r="D10" s="205" t="s">
        <v>40</v>
      </c>
      <c r="E10" s="206">
        <v>354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</row>
    <row r="11" spans="1:13" ht="31.2" x14ac:dyDescent="0.3">
      <c r="B11" s="203">
        <v>1.2</v>
      </c>
      <c r="C11" s="204" t="s">
        <v>234</v>
      </c>
      <c r="D11" s="205" t="s">
        <v>39</v>
      </c>
      <c r="E11" s="206">
        <f>8+8+8+8+8+8+6+6</f>
        <v>60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1:13" ht="31.95" customHeight="1" x14ac:dyDescent="0.3">
      <c r="B12" s="203">
        <v>1.3</v>
      </c>
      <c r="C12" s="204" t="s">
        <v>232</v>
      </c>
      <c r="D12" s="205" t="s">
        <v>40</v>
      </c>
      <c r="E12" s="206">
        <f>+E10</f>
        <v>354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1:13" ht="31.95" customHeight="1" x14ac:dyDescent="0.3">
      <c r="B13" s="203">
        <v>1.4</v>
      </c>
      <c r="C13" s="204" t="s">
        <v>233</v>
      </c>
      <c r="D13" s="205" t="s">
        <v>370</v>
      </c>
      <c r="E13" s="206">
        <f>(9+8+8+10)*4</f>
        <v>140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1:13" s="202" customFormat="1" x14ac:dyDescent="0.3">
      <c r="B14" s="213">
        <v>2</v>
      </c>
      <c r="C14" s="214" t="s">
        <v>60</v>
      </c>
      <c r="D14" s="215"/>
      <c r="E14" s="216"/>
      <c r="F14" s="217"/>
      <c r="G14" s="218"/>
      <c r="H14" s="219"/>
      <c r="I14" s="220"/>
      <c r="J14" s="221"/>
      <c r="K14" s="222"/>
      <c r="L14" s="222"/>
      <c r="M14" s="222"/>
    </row>
    <row r="15" spans="1:13" ht="46.8" x14ac:dyDescent="0.3">
      <c r="B15" s="225">
        <v>2.1</v>
      </c>
      <c r="C15" s="226" t="s">
        <v>280</v>
      </c>
      <c r="D15" s="205" t="s">
        <v>40</v>
      </c>
      <c r="E15" s="206">
        <v>1.7</v>
      </c>
      <c r="F15" s="207"/>
      <c r="G15" s="207">
        <f t="shared" ref="G15:G32" si="3">+ROUND(E15*F15,0)</f>
        <v>0</v>
      </c>
      <c r="H15" s="208">
        <v>0.33</v>
      </c>
      <c r="I15" s="209">
        <f t="shared" ref="I15:I32" si="4">(F15*(1+H15))</f>
        <v>0</v>
      </c>
      <c r="J15" s="210">
        <f t="shared" ref="J15:J32" si="5">ROUND(I15*E15,0)</f>
        <v>0</v>
      </c>
      <c r="K15" s="121"/>
      <c r="L15" s="121"/>
      <c r="M15" s="121"/>
    </row>
    <row r="16" spans="1:13" x14ac:dyDescent="0.3">
      <c r="B16" s="225">
        <v>2.2000000000000002</v>
      </c>
      <c r="C16" s="226" t="s">
        <v>274</v>
      </c>
      <c r="D16" s="205" t="s">
        <v>40</v>
      </c>
      <c r="E16" s="206">
        <v>3.11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121"/>
      <c r="M16" s="121"/>
    </row>
    <row r="17" spans="2:13" s="202" customFormat="1" x14ac:dyDescent="0.3">
      <c r="B17" s="213">
        <v>3</v>
      </c>
      <c r="C17" s="214" t="s">
        <v>16</v>
      </c>
      <c r="D17" s="215"/>
      <c r="E17" s="216"/>
      <c r="F17" s="217"/>
      <c r="G17" s="218"/>
      <c r="H17" s="219"/>
      <c r="I17" s="220"/>
      <c r="J17" s="221"/>
      <c r="K17" s="222"/>
      <c r="L17" s="222"/>
      <c r="M17" s="222"/>
    </row>
    <row r="18" spans="2:13" ht="62.4" x14ac:dyDescent="0.3">
      <c r="B18" s="225">
        <v>3.1</v>
      </c>
      <c r="C18" s="226" t="s">
        <v>235</v>
      </c>
      <c r="D18" s="205" t="s">
        <v>40</v>
      </c>
      <c r="E18" s="206">
        <v>354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121"/>
      <c r="M18" s="121"/>
    </row>
    <row r="19" spans="2:13" ht="46.8" x14ac:dyDescent="0.3">
      <c r="B19" s="225">
        <v>3.2</v>
      </c>
      <c r="C19" s="226" t="s">
        <v>236</v>
      </c>
      <c r="D19" s="205" t="s">
        <v>371</v>
      </c>
      <c r="E19" s="206">
        <v>50</v>
      </c>
      <c r="F19" s="207"/>
      <c r="G19" s="207">
        <f t="shared" si="3"/>
        <v>0</v>
      </c>
      <c r="H19" s="208">
        <v>0.33</v>
      </c>
      <c r="I19" s="209">
        <f t="shared" si="4"/>
        <v>0</v>
      </c>
      <c r="J19" s="210">
        <f t="shared" si="5"/>
        <v>0</v>
      </c>
      <c r="K19" s="121"/>
      <c r="L19" s="121"/>
      <c r="M19" s="121"/>
    </row>
    <row r="20" spans="2:13" ht="46.8" x14ac:dyDescent="0.3">
      <c r="B20" s="225">
        <v>3.3</v>
      </c>
      <c r="C20" s="226" t="s">
        <v>246</v>
      </c>
      <c r="D20" s="228" t="s">
        <v>39</v>
      </c>
      <c r="E20" s="206">
        <v>120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121"/>
      <c r="M20" s="121"/>
    </row>
    <row r="21" spans="2:13" ht="46.8" x14ac:dyDescent="0.3">
      <c r="B21" s="225">
        <v>3.4</v>
      </c>
      <c r="C21" s="227" t="s">
        <v>247</v>
      </c>
      <c r="D21" s="228" t="s">
        <v>39</v>
      </c>
      <c r="E21" s="206">
        <f>10.5*4</f>
        <v>42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121"/>
      <c r="M21" s="121"/>
    </row>
    <row r="22" spans="2:13" s="249" customFormat="1" x14ac:dyDescent="0.3">
      <c r="B22" s="213">
        <v>4</v>
      </c>
      <c r="C22" s="462" t="s">
        <v>28</v>
      </c>
      <c r="D22" s="215"/>
      <c r="E22" s="216"/>
      <c r="F22" s="217"/>
      <c r="G22" s="218"/>
      <c r="H22" s="219"/>
      <c r="I22" s="220"/>
      <c r="J22" s="221"/>
      <c r="K22" s="250"/>
      <c r="L22" s="250"/>
      <c r="M22" s="250"/>
    </row>
    <row r="23" spans="2:13" ht="31.2" x14ac:dyDescent="0.3">
      <c r="B23" s="225">
        <v>4.0999999999999996</v>
      </c>
      <c r="C23" s="226" t="s">
        <v>239</v>
      </c>
      <c r="D23" s="205" t="s">
        <v>40</v>
      </c>
      <c r="E23" s="206">
        <f>+E24*2</f>
        <v>60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121"/>
      <c r="M23" s="121"/>
    </row>
    <row r="24" spans="2:13" ht="32.25" customHeight="1" x14ac:dyDescent="0.3">
      <c r="B24" s="225">
        <v>4.2</v>
      </c>
      <c r="C24" s="204" t="s">
        <v>240</v>
      </c>
      <c r="D24" s="205" t="s">
        <v>40</v>
      </c>
      <c r="E24" s="206">
        <f>6*5</f>
        <v>30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2:13" s="202" customFormat="1" x14ac:dyDescent="0.3">
      <c r="B25" s="213">
        <v>5</v>
      </c>
      <c r="C25" s="214" t="s">
        <v>43</v>
      </c>
      <c r="D25" s="215"/>
      <c r="E25" s="216"/>
      <c r="F25" s="217"/>
      <c r="G25" s="218"/>
      <c r="H25" s="219"/>
      <c r="I25" s="220"/>
      <c r="J25" s="221"/>
      <c r="K25" s="222"/>
      <c r="L25" s="223"/>
      <c r="M25" s="249"/>
    </row>
    <row r="26" spans="2:13" ht="31.2" x14ac:dyDescent="0.3">
      <c r="B26" s="225">
        <v>5.0999999999999996</v>
      </c>
      <c r="C26" s="227" t="s">
        <v>242</v>
      </c>
      <c r="D26" s="228" t="s">
        <v>19</v>
      </c>
      <c r="E26" s="206">
        <v>4</v>
      </c>
      <c r="F26" s="207"/>
      <c r="G26" s="207">
        <f t="shared" si="3"/>
        <v>0</v>
      </c>
      <c r="H26" s="208">
        <v>0.33</v>
      </c>
      <c r="I26" s="209">
        <f t="shared" si="4"/>
        <v>0</v>
      </c>
      <c r="J26" s="210">
        <f t="shared" si="5"/>
        <v>0</v>
      </c>
      <c r="K26" s="121"/>
      <c r="L26" s="211"/>
    </row>
    <row r="27" spans="2:13" ht="75" customHeight="1" x14ac:dyDescent="0.3">
      <c r="B27" s="225">
        <v>5.2</v>
      </c>
      <c r="C27" s="227" t="s">
        <v>243</v>
      </c>
      <c r="D27" s="228" t="s">
        <v>19</v>
      </c>
      <c r="E27" s="206">
        <v>16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</row>
    <row r="28" spans="2:13" ht="31.2" x14ac:dyDescent="0.3">
      <c r="B28" s="225">
        <v>5.3</v>
      </c>
      <c r="C28" s="227" t="s">
        <v>244</v>
      </c>
      <c r="D28" s="228" t="s">
        <v>39</v>
      </c>
      <c r="E28" s="206">
        <f>15.5*4</f>
        <v>62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211"/>
    </row>
    <row r="29" spans="2:13" s="202" customFormat="1" x14ac:dyDescent="0.3">
      <c r="B29" s="213">
        <v>6</v>
      </c>
      <c r="C29" s="214" t="s">
        <v>17</v>
      </c>
      <c r="D29" s="215"/>
      <c r="E29" s="216"/>
      <c r="F29" s="217"/>
      <c r="G29" s="218"/>
      <c r="H29" s="219"/>
      <c r="I29" s="220"/>
      <c r="J29" s="221"/>
      <c r="K29" s="222"/>
      <c r="L29" s="222"/>
      <c r="M29" s="222"/>
    </row>
    <row r="30" spans="2:13" x14ac:dyDescent="0.3">
      <c r="B30" s="225">
        <v>6.1</v>
      </c>
      <c r="C30" s="226" t="s">
        <v>18</v>
      </c>
      <c r="D30" s="228" t="s">
        <v>19</v>
      </c>
      <c r="E30" s="206">
        <v>1</v>
      </c>
      <c r="F30" s="207"/>
      <c r="G30" s="207">
        <f t="shared" si="3"/>
        <v>0</v>
      </c>
      <c r="H30" s="208">
        <v>0.33</v>
      </c>
      <c r="I30" s="209">
        <f t="shared" si="4"/>
        <v>0</v>
      </c>
      <c r="J30" s="210">
        <f t="shared" si="5"/>
        <v>0</v>
      </c>
      <c r="K30" s="121"/>
      <c r="L30" s="121"/>
      <c r="M30" s="121"/>
    </row>
    <row r="31" spans="2:13" x14ac:dyDescent="0.3">
      <c r="B31" s="225">
        <v>6.2</v>
      </c>
      <c r="C31" s="226" t="s">
        <v>20</v>
      </c>
      <c r="D31" s="228" t="s">
        <v>19</v>
      </c>
      <c r="E31" s="206">
        <v>1</v>
      </c>
      <c r="F31" s="207"/>
      <c r="G31" s="207">
        <f t="shared" si="3"/>
        <v>0</v>
      </c>
      <c r="H31" s="208">
        <v>0.33</v>
      </c>
      <c r="I31" s="209">
        <f t="shared" si="4"/>
        <v>0</v>
      </c>
      <c r="J31" s="210">
        <f t="shared" si="5"/>
        <v>0</v>
      </c>
      <c r="K31" s="121"/>
      <c r="L31" s="121"/>
      <c r="M31" s="121"/>
    </row>
    <row r="32" spans="2:13" ht="63" thickBot="1" x14ac:dyDescent="0.35">
      <c r="B32" s="229">
        <v>6.3</v>
      </c>
      <c r="C32" s="251" t="s">
        <v>245</v>
      </c>
      <c r="D32" s="231" t="s">
        <v>65</v>
      </c>
      <c r="E32" s="232">
        <v>18</v>
      </c>
      <c r="F32" s="233"/>
      <c r="G32" s="233">
        <f t="shared" si="3"/>
        <v>0</v>
      </c>
      <c r="H32" s="234">
        <v>0.33</v>
      </c>
      <c r="I32" s="235">
        <f t="shared" si="4"/>
        <v>0</v>
      </c>
      <c r="J32" s="236">
        <f t="shared" si="5"/>
        <v>0</v>
      </c>
      <c r="K32" s="121"/>
      <c r="L32" s="121"/>
      <c r="M32" s="121"/>
    </row>
    <row r="33" spans="2:16" x14ac:dyDescent="0.3">
      <c r="B33" s="121"/>
      <c r="C33" s="122"/>
      <c r="D33" s="123"/>
      <c r="E33" s="238"/>
      <c r="F33" s="239"/>
      <c r="G33" s="239"/>
      <c r="H33" s="252"/>
      <c r="I33" s="133"/>
      <c r="J33" s="133"/>
      <c r="K33" s="121"/>
      <c r="L33" s="211"/>
      <c r="M33" s="121"/>
    </row>
    <row r="34" spans="2:16" s="119" customFormat="1" ht="18" customHeight="1" x14ac:dyDescent="0.3">
      <c r="B34" s="289"/>
      <c r="C34" s="118"/>
      <c r="D34" s="121"/>
      <c r="E34" s="124"/>
      <c r="F34" s="125"/>
      <c r="G34" s="125"/>
      <c r="H34" s="125"/>
      <c r="I34" s="125"/>
      <c r="J34" s="125"/>
      <c r="L34" s="211"/>
      <c r="N34" s="126"/>
      <c r="O34" s="126"/>
      <c r="P34" s="126"/>
    </row>
    <row r="35" spans="2:16" x14ac:dyDescent="0.3">
      <c r="B35" s="139"/>
      <c r="C35" s="243"/>
      <c r="D35" s="635" t="s">
        <v>119</v>
      </c>
      <c r="E35" s="636"/>
      <c r="F35" s="637"/>
      <c r="G35" s="290">
        <f>SUM(G9:G33)</f>
        <v>0</v>
      </c>
      <c r="H35" s="245"/>
      <c r="I35" s="141"/>
      <c r="J35" s="290">
        <f>+SUM(J9:J32)</f>
        <v>0</v>
      </c>
      <c r="L35" s="211"/>
      <c r="M35" s="141"/>
    </row>
    <row r="36" spans="2:16" x14ac:dyDescent="0.3">
      <c r="L36" s="119"/>
    </row>
    <row r="37" spans="2:16" x14ac:dyDescent="0.3">
      <c r="L37" s="469"/>
      <c r="M37" s="142"/>
    </row>
  </sheetData>
  <mergeCells count="10">
    <mergeCell ref="B7:J7"/>
    <mergeCell ref="D35:F35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62856-6D8F-4E20-ABA5-ABDED36FAF67}">
  <sheetPr>
    <tabColor rgb="FF92D050"/>
  </sheetPr>
  <dimension ref="A1:P34"/>
  <sheetViews>
    <sheetView view="pageBreakPreview" topLeftCell="A20" zoomScale="60" zoomScaleNormal="70" workbookViewId="0">
      <selection activeCell="A33" sqref="A33:XFD72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530" t="s">
        <v>224</v>
      </c>
      <c r="C7" s="531"/>
      <c r="D7" s="531"/>
      <c r="E7" s="531"/>
      <c r="F7" s="531"/>
      <c r="G7" s="531"/>
      <c r="H7" s="531"/>
      <c r="I7" s="531"/>
      <c r="J7" s="532"/>
      <c r="L7" s="211"/>
    </row>
    <row r="8" spans="1:13" s="119" customFormat="1" ht="49.2" customHeight="1" thickBot="1" x14ac:dyDescent="0.35">
      <c r="A8" s="335"/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1:13" s="202" customFormat="1" ht="13.9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1:13" x14ac:dyDescent="0.3">
      <c r="B10" s="203">
        <v>1.1000000000000001</v>
      </c>
      <c r="C10" s="226" t="s">
        <v>231</v>
      </c>
      <c r="D10" s="205" t="s">
        <v>40</v>
      </c>
      <c r="E10" s="206">
        <v>200.1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</row>
    <row r="11" spans="1:13" ht="31.2" x14ac:dyDescent="0.3">
      <c r="B11" s="203">
        <v>1.2</v>
      </c>
      <c r="C11" s="204" t="s">
        <v>234</v>
      </c>
      <c r="D11" s="205" t="s">
        <v>39</v>
      </c>
      <c r="E11" s="206">
        <f>8+8+8+8+6+6</f>
        <v>44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1:13" ht="15.75" customHeight="1" x14ac:dyDescent="0.3">
      <c r="B12" s="203">
        <v>1.3</v>
      </c>
      <c r="C12" s="204" t="s">
        <v>232</v>
      </c>
      <c r="D12" s="205" t="s">
        <v>40</v>
      </c>
      <c r="E12" s="206">
        <f>+E10</f>
        <v>200.1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1:13" ht="15.75" customHeight="1" x14ac:dyDescent="0.3">
      <c r="B13" s="203">
        <v>1.4</v>
      </c>
      <c r="C13" s="204" t="s">
        <v>233</v>
      </c>
      <c r="D13" s="205" t="s">
        <v>370</v>
      </c>
      <c r="E13" s="206">
        <f>(9+8+8+10)*2</f>
        <v>70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1:13" s="202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22"/>
      <c r="L14" s="222"/>
      <c r="M14" s="222"/>
    </row>
    <row r="15" spans="1:13" ht="62.4" x14ac:dyDescent="0.3">
      <c r="B15" s="225">
        <v>2.1</v>
      </c>
      <c r="C15" s="226" t="s">
        <v>235</v>
      </c>
      <c r="D15" s="205" t="s">
        <v>40</v>
      </c>
      <c r="E15" s="206">
        <v>200.1</v>
      </c>
      <c r="F15" s="207"/>
      <c r="G15" s="207">
        <f t="shared" ref="G15:G29" si="3">+ROUND(E15*F15,0)</f>
        <v>0</v>
      </c>
      <c r="H15" s="208">
        <v>0.33</v>
      </c>
      <c r="I15" s="209">
        <f t="shared" ref="I15:I29" si="4">(F15*(1+H15))</f>
        <v>0</v>
      </c>
      <c r="J15" s="210">
        <f t="shared" ref="J15:J29" si="5">ROUND(I15*E15,0)</f>
        <v>0</v>
      </c>
      <c r="K15" s="121"/>
      <c r="L15" s="121"/>
      <c r="M15" s="121"/>
    </row>
    <row r="16" spans="1:13" ht="46.8" x14ac:dyDescent="0.3">
      <c r="B16" s="225">
        <v>2.2000000000000002</v>
      </c>
      <c r="C16" s="226" t="s">
        <v>246</v>
      </c>
      <c r="D16" s="228" t="s">
        <v>39</v>
      </c>
      <c r="E16" s="206">
        <v>150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121"/>
      <c r="M16" s="121"/>
    </row>
    <row r="17" spans="2:16" ht="46.8" x14ac:dyDescent="0.3">
      <c r="B17" s="225">
        <v>2.2999999999999998</v>
      </c>
      <c r="C17" s="226" t="s">
        <v>236</v>
      </c>
      <c r="D17" s="205" t="s">
        <v>371</v>
      </c>
      <c r="E17" s="206">
        <v>25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121"/>
      <c r="M17" s="121"/>
    </row>
    <row r="18" spans="2:16" ht="46.8" x14ac:dyDescent="0.3">
      <c r="B18" s="225">
        <v>2.4</v>
      </c>
      <c r="C18" s="227" t="s">
        <v>247</v>
      </c>
      <c r="D18" s="228" t="s">
        <v>39</v>
      </c>
      <c r="E18" s="206">
        <f>10.5*2</f>
        <v>21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121"/>
      <c r="M18" s="121"/>
    </row>
    <row r="19" spans="2:16" s="249" customFormat="1" x14ac:dyDescent="0.3">
      <c r="B19" s="213">
        <v>3</v>
      </c>
      <c r="C19" s="462" t="s">
        <v>23</v>
      </c>
      <c r="D19" s="215"/>
      <c r="E19" s="216"/>
      <c r="F19" s="217"/>
      <c r="G19" s="218"/>
      <c r="H19" s="219"/>
      <c r="I19" s="220"/>
      <c r="J19" s="221"/>
      <c r="K19" s="250"/>
      <c r="L19" s="250"/>
      <c r="M19" s="250"/>
    </row>
    <row r="20" spans="2:16" x14ac:dyDescent="0.3">
      <c r="B20" s="225">
        <v>3.1</v>
      </c>
      <c r="C20" s="226" t="s">
        <v>240</v>
      </c>
      <c r="D20" s="205" t="s">
        <v>40</v>
      </c>
      <c r="E20" s="206">
        <v>126.3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121"/>
      <c r="M20" s="121"/>
    </row>
    <row r="21" spans="2:16" ht="31.2" x14ac:dyDescent="0.3">
      <c r="B21" s="225">
        <v>3.2</v>
      </c>
      <c r="C21" s="226" t="s">
        <v>239</v>
      </c>
      <c r="D21" s="205" t="s">
        <v>40</v>
      </c>
      <c r="E21" s="206">
        <f>+E20*2</f>
        <v>252.6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121"/>
      <c r="M21" s="121"/>
    </row>
    <row r="22" spans="2:16" s="202" customFormat="1" x14ac:dyDescent="0.3">
      <c r="B22" s="213">
        <v>4</v>
      </c>
      <c r="C22" s="214" t="s">
        <v>43</v>
      </c>
      <c r="D22" s="215"/>
      <c r="E22" s="216"/>
      <c r="F22" s="217"/>
      <c r="G22" s="218"/>
      <c r="H22" s="219"/>
      <c r="I22" s="220"/>
      <c r="J22" s="221"/>
      <c r="K22" s="222"/>
      <c r="L22" s="223"/>
      <c r="M22" s="249"/>
    </row>
    <row r="23" spans="2:16" ht="31.2" x14ac:dyDescent="0.3">
      <c r="B23" s="225">
        <v>4.0999999999999996</v>
      </c>
      <c r="C23" s="227" t="s">
        <v>242</v>
      </c>
      <c r="D23" s="228" t="s">
        <v>19</v>
      </c>
      <c r="E23" s="206">
        <v>2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211"/>
    </row>
    <row r="24" spans="2:16" ht="15.75" customHeight="1" x14ac:dyDescent="0.3">
      <c r="B24" s="225">
        <v>4.2</v>
      </c>
      <c r="C24" s="227" t="s">
        <v>243</v>
      </c>
      <c r="D24" s="228" t="s">
        <v>19</v>
      </c>
      <c r="E24" s="206">
        <v>8</v>
      </c>
      <c r="F24" s="207"/>
      <c r="G24" s="207">
        <f t="shared" si="3"/>
        <v>0</v>
      </c>
      <c r="H24" s="208">
        <v>0.33</v>
      </c>
      <c r="I24" s="209">
        <f t="shared" si="4"/>
        <v>0</v>
      </c>
      <c r="J24" s="210">
        <f t="shared" si="5"/>
        <v>0</v>
      </c>
      <c r="K24" s="121"/>
      <c r="L24" s="211"/>
    </row>
    <row r="25" spans="2:16" ht="31.2" x14ac:dyDescent="0.3">
      <c r="B25" s="225">
        <v>4.3</v>
      </c>
      <c r="C25" s="227" t="s">
        <v>244</v>
      </c>
      <c r="D25" s="228" t="s">
        <v>39</v>
      </c>
      <c r="E25" s="206">
        <f>15.5*2</f>
        <v>31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2:16" s="202" customFormat="1" x14ac:dyDescent="0.3">
      <c r="B26" s="213">
        <v>5</v>
      </c>
      <c r="C26" s="214" t="s">
        <v>17</v>
      </c>
      <c r="D26" s="215"/>
      <c r="E26" s="216"/>
      <c r="F26" s="217"/>
      <c r="G26" s="218"/>
      <c r="H26" s="219"/>
      <c r="I26" s="220"/>
      <c r="J26" s="221"/>
      <c r="K26" s="222"/>
      <c r="L26" s="222"/>
      <c r="M26" s="222"/>
    </row>
    <row r="27" spans="2:16" x14ac:dyDescent="0.3">
      <c r="B27" s="225">
        <v>5.0999999999999996</v>
      </c>
      <c r="C27" s="226" t="s">
        <v>18</v>
      </c>
      <c r="D27" s="228" t="s">
        <v>19</v>
      </c>
      <c r="E27" s="206">
        <v>1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121"/>
      <c r="M27" s="121"/>
    </row>
    <row r="28" spans="2:16" x14ac:dyDescent="0.3">
      <c r="B28" s="225">
        <v>5.2</v>
      </c>
      <c r="C28" s="226" t="s">
        <v>20</v>
      </c>
      <c r="D28" s="228" t="s">
        <v>19</v>
      </c>
      <c r="E28" s="206">
        <v>1</v>
      </c>
      <c r="F28" s="207"/>
      <c r="G28" s="207">
        <f t="shared" si="3"/>
        <v>0</v>
      </c>
      <c r="H28" s="208">
        <v>0.33</v>
      </c>
      <c r="I28" s="209">
        <f t="shared" si="4"/>
        <v>0</v>
      </c>
      <c r="J28" s="210">
        <f t="shared" si="5"/>
        <v>0</v>
      </c>
      <c r="K28" s="121"/>
      <c r="L28" s="121"/>
      <c r="M28" s="121"/>
    </row>
    <row r="29" spans="2:16" ht="63" thickBot="1" x14ac:dyDescent="0.35">
      <c r="B29" s="229">
        <v>5.3</v>
      </c>
      <c r="C29" s="251" t="s">
        <v>245</v>
      </c>
      <c r="D29" s="231" t="s">
        <v>65</v>
      </c>
      <c r="E29" s="232">
        <v>12</v>
      </c>
      <c r="F29" s="233"/>
      <c r="G29" s="233">
        <f t="shared" si="3"/>
        <v>0</v>
      </c>
      <c r="H29" s="234">
        <v>0.33</v>
      </c>
      <c r="I29" s="235">
        <f t="shared" si="4"/>
        <v>0</v>
      </c>
      <c r="J29" s="236">
        <f t="shared" si="5"/>
        <v>0</v>
      </c>
      <c r="K29" s="121"/>
      <c r="L29" s="121"/>
      <c r="M29" s="121"/>
    </row>
    <row r="30" spans="2:16" x14ac:dyDescent="0.3">
      <c r="B30" s="121"/>
      <c r="C30" s="122"/>
      <c r="D30" s="123"/>
      <c r="E30" s="238"/>
      <c r="F30" s="239"/>
      <c r="G30" s="239"/>
      <c r="H30" s="252"/>
      <c r="I30" s="133"/>
      <c r="J30" s="133"/>
      <c r="K30" s="121"/>
      <c r="L30" s="211"/>
      <c r="M30" s="121"/>
    </row>
    <row r="31" spans="2:16" s="119" customFormat="1" ht="18" customHeight="1" x14ac:dyDescent="0.3">
      <c r="B31" s="289"/>
      <c r="C31" s="118"/>
      <c r="D31" s="121"/>
      <c r="E31" s="124"/>
      <c r="F31" s="125"/>
      <c r="G31" s="125"/>
      <c r="H31" s="125"/>
      <c r="I31" s="125"/>
      <c r="J31" s="125"/>
      <c r="L31" s="211"/>
      <c r="N31" s="126"/>
      <c r="O31" s="126"/>
      <c r="P31" s="126"/>
    </row>
    <row r="32" spans="2:16" x14ac:dyDescent="0.3">
      <c r="B32" s="139"/>
      <c r="C32" s="243"/>
      <c r="D32" s="635" t="s">
        <v>121</v>
      </c>
      <c r="E32" s="636"/>
      <c r="F32" s="637"/>
      <c r="G32" s="290">
        <f>SUM(G9:G30)</f>
        <v>0</v>
      </c>
      <c r="H32" s="245"/>
      <c r="I32" s="141"/>
      <c r="J32" s="290">
        <f>+SUM(J9:J29)</f>
        <v>0</v>
      </c>
      <c r="L32" s="211"/>
      <c r="M32" s="141"/>
    </row>
    <row r="33" spans="12:13" x14ac:dyDescent="0.3">
      <c r="L33" s="119"/>
    </row>
    <row r="34" spans="12:13" x14ac:dyDescent="0.3">
      <c r="L34" s="469"/>
      <c r="M34" s="142"/>
    </row>
  </sheetData>
  <mergeCells count="10">
    <mergeCell ref="B7:J7"/>
    <mergeCell ref="D32:F32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128AD-050C-4782-83FA-C0B6B8797CF1}">
  <sheetPr>
    <tabColor rgb="FF92D050"/>
  </sheetPr>
  <dimension ref="A1:P35"/>
  <sheetViews>
    <sheetView view="pageBreakPreview" topLeftCell="A20" zoomScale="60" zoomScaleNormal="70" workbookViewId="0">
      <selection activeCell="A34" sqref="A34:XFD44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1:13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1:13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1:13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1:13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1:13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1:13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1:13" ht="30" customHeight="1" thickBot="1" x14ac:dyDescent="0.35">
      <c r="A7" s="334"/>
      <c r="B7" s="530" t="s">
        <v>225</v>
      </c>
      <c r="C7" s="531"/>
      <c r="D7" s="531"/>
      <c r="E7" s="531"/>
      <c r="F7" s="531"/>
      <c r="G7" s="531"/>
      <c r="H7" s="531"/>
      <c r="I7" s="531"/>
      <c r="J7" s="532"/>
      <c r="L7" s="211"/>
    </row>
    <row r="8" spans="1:13" s="119" customFormat="1" ht="49.2" customHeight="1" thickBot="1" x14ac:dyDescent="0.35">
      <c r="A8" s="335"/>
      <c r="B8" s="187" t="s">
        <v>6</v>
      </c>
      <c r="C8" s="188" t="s">
        <v>7</v>
      </c>
      <c r="D8" s="189" t="s">
        <v>8</v>
      </c>
      <c r="E8" s="190" t="s">
        <v>9</v>
      </c>
      <c r="F8" s="191" t="s">
        <v>10</v>
      </c>
      <c r="G8" s="192" t="s">
        <v>11</v>
      </c>
      <c r="H8" s="192" t="s">
        <v>12</v>
      </c>
      <c r="I8" s="192" t="s">
        <v>13</v>
      </c>
      <c r="J8" s="193" t="s">
        <v>14</v>
      </c>
      <c r="L8" s="211"/>
      <c r="M8" s="117"/>
    </row>
    <row r="9" spans="1:13" s="202" customFormat="1" ht="13.95" customHeight="1" x14ac:dyDescent="0.3">
      <c r="B9" s="195">
        <v>1</v>
      </c>
      <c r="C9" s="248" t="s">
        <v>15</v>
      </c>
      <c r="D9" s="197"/>
      <c r="E9" s="198"/>
      <c r="F9" s="199"/>
      <c r="G9" s="199"/>
      <c r="H9" s="200"/>
      <c r="I9" s="196"/>
      <c r="J9" s="201"/>
      <c r="L9" s="223"/>
      <c r="M9" s="249"/>
    </row>
    <row r="10" spans="1:13" x14ac:dyDescent="0.3">
      <c r="B10" s="203">
        <v>1.1000000000000001</v>
      </c>
      <c r="C10" s="226" t="s">
        <v>231</v>
      </c>
      <c r="D10" s="205" t="s">
        <v>40</v>
      </c>
      <c r="E10" s="206">
        <v>270</v>
      </c>
      <c r="F10" s="207"/>
      <c r="G10" s="207">
        <f>+ROUND(E10*F10,0)</f>
        <v>0</v>
      </c>
      <c r="H10" s="208">
        <v>0.33</v>
      </c>
      <c r="I10" s="209">
        <f>(F10*(1+H10))</f>
        <v>0</v>
      </c>
      <c r="J10" s="210">
        <f t="shared" ref="J10:J13" si="0">ROUND(I10*E10,0)</f>
        <v>0</v>
      </c>
    </row>
    <row r="11" spans="1:13" ht="31.2" x14ac:dyDescent="0.3">
      <c r="B11" s="203">
        <v>1.2</v>
      </c>
      <c r="C11" s="204" t="s">
        <v>234</v>
      </c>
      <c r="D11" s="205" t="s">
        <v>39</v>
      </c>
      <c r="E11" s="206">
        <f>8+8+6+6</f>
        <v>28</v>
      </c>
      <c r="F11" s="207"/>
      <c r="G11" s="207">
        <f t="shared" ref="G11:G13" si="1">+ROUND(E11*F11,0)</f>
        <v>0</v>
      </c>
      <c r="H11" s="208">
        <v>0.33</v>
      </c>
      <c r="I11" s="209">
        <f t="shared" ref="I11:I13" si="2">(F11*(1+H11))</f>
        <v>0</v>
      </c>
      <c r="J11" s="210">
        <f t="shared" si="0"/>
        <v>0</v>
      </c>
      <c r="L11" s="211"/>
    </row>
    <row r="12" spans="1:13" ht="15.75" customHeight="1" x14ac:dyDescent="0.3">
      <c r="B12" s="203">
        <v>1.3</v>
      </c>
      <c r="C12" s="204" t="s">
        <v>232</v>
      </c>
      <c r="D12" s="205" t="s">
        <v>40</v>
      </c>
      <c r="E12" s="206">
        <f>+E10</f>
        <v>270</v>
      </c>
      <c r="F12" s="207"/>
      <c r="G12" s="207">
        <f t="shared" si="1"/>
        <v>0</v>
      </c>
      <c r="H12" s="208">
        <v>0.33</v>
      </c>
      <c r="I12" s="209">
        <f t="shared" si="2"/>
        <v>0</v>
      </c>
      <c r="J12" s="210">
        <f t="shared" si="0"/>
        <v>0</v>
      </c>
      <c r="L12" s="211"/>
    </row>
    <row r="13" spans="1:13" ht="15.75" customHeight="1" x14ac:dyDescent="0.3">
      <c r="B13" s="203">
        <v>1.4</v>
      </c>
      <c r="C13" s="204" t="s">
        <v>233</v>
      </c>
      <c r="D13" s="205" t="s">
        <v>370</v>
      </c>
      <c r="E13" s="206">
        <f>(9+8+8+10)*1</f>
        <v>35</v>
      </c>
      <c r="F13" s="207"/>
      <c r="G13" s="207">
        <f t="shared" si="1"/>
        <v>0</v>
      </c>
      <c r="H13" s="208">
        <v>0.33</v>
      </c>
      <c r="I13" s="209">
        <f t="shared" si="2"/>
        <v>0</v>
      </c>
      <c r="J13" s="210">
        <f t="shared" si="0"/>
        <v>0</v>
      </c>
      <c r="L13" s="211"/>
    </row>
    <row r="14" spans="1:13" s="249" customFormat="1" x14ac:dyDescent="0.3">
      <c r="B14" s="213">
        <v>2</v>
      </c>
      <c r="C14" s="214" t="s">
        <v>16</v>
      </c>
      <c r="D14" s="215"/>
      <c r="E14" s="216"/>
      <c r="F14" s="217"/>
      <c r="G14" s="218"/>
      <c r="H14" s="219"/>
      <c r="I14" s="220"/>
      <c r="J14" s="221"/>
      <c r="K14" s="250"/>
      <c r="L14" s="250"/>
      <c r="M14" s="250"/>
    </row>
    <row r="15" spans="1:13" ht="62.4" x14ac:dyDescent="0.3">
      <c r="B15" s="225">
        <v>2.1</v>
      </c>
      <c r="C15" s="226" t="s">
        <v>235</v>
      </c>
      <c r="D15" s="205" t="s">
        <v>40</v>
      </c>
      <c r="E15" s="206">
        <v>270</v>
      </c>
      <c r="F15" s="207"/>
      <c r="G15" s="207">
        <f t="shared" ref="G15:G30" si="3">+ROUND(E15*F15,0)</f>
        <v>0</v>
      </c>
      <c r="H15" s="208">
        <v>0.33</v>
      </c>
      <c r="I15" s="209">
        <f t="shared" ref="I15:I30" si="4">(F15*(1+H15))</f>
        <v>0</v>
      </c>
      <c r="J15" s="210">
        <f t="shared" ref="J15:J30" si="5">ROUND(I15*E15,0)</f>
        <v>0</v>
      </c>
      <c r="K15" s="121"/>
      <c r="L15" s="121"/>
      <c r="M15" s="121"/>
    </row>
    <row r="16" spans="1:13" ht="46.8" x14ac:dyDescent="0.3">
      <c r="B16" s="225">
        <v>2.2000000000000002</v>
      </c>
      <c r="C16" s="226" t="s">
        <v>246</v>
      </c>
      <c r="D16" s="228" t="s">
        <v>39</v>
      </c>
      <c r="E16" s="206">
        <v>200</v>
      </c>
      <c r="F16" s="207"/>
      <c r="G16" s="207">
        <f t="shared" si="3"/>
        <v>0</v>
      </c>
      <c r="H16" s="208">
        <v>0.33</v>
      </c>
      <c r="I16" s="209">
        <f t="shared" si="4"/>
        <v>0</v>
      </c>
      <c r="J16" s="210">
        <f t="shared" si="5"/>
        <v>0</v>
      </c>
      <c r="K16" s="121"/>
      <c r="L16" s="121"/>
      <c r="M16" s="121"/>
    </row>
    <row r="17" spans="2:16" ht="46.8" x14ac:dyDescent="0.3">
      <c r="B17" s="225">
        <v>2.2999999999999998</v>
      </c>
      <c r="C17" s="226" t="s">
        <v>236</v>
      </c>
      <c r="D17" s="205" t="s">
        <v>371</v>
      </c>
      <c r="E17" s="206">
        <v>25</v>
      </c>
      <c r="F17" s="207"/>
      <c r="G17" s="207">
        <f t="shared" si="3"/>
        <v>0</v>
      </c>
      <c r="H17" s="208">
        <v>0.33</v>
      </c>
      <c r="I17" s="209">
        <f t="shared" si="4"/>
        <v>0</v>
      </c>
      <c r="J17" s="210">
        <f t="shared" si="5"/>
        <v>0</v>
      </c>
      <c r="K17" s="121"/>
      <c r="L17" s="121"/>
      <c r="M17" s="121"/>
    </row>
    <row r="18" spans="2:16" ht="46.8" x14ac:dyDescent="0.3">
      <c r="B18" s="225">
        <v>2.4</v>
      </c>
      <c r="C18" s="227" t="s">
        <v>247</v>
      </c>
      <c r="D18" s="228" t="s">
        <v>39</v>
      </c>
      <c r="E18" s="206">
        <f>10.5*1</f>
        <v>10.5</v>
      </c>
      <c r="F18" s="207"/>
      <c r="G18" s="207">
        <f t="shared" si="3"/>
        <v>0</v>
      </c>
      <c r="H18" s="208">
        <v>0.33</v>
      </c>
      <c r="I18" s="209">
        <f t="shared" si="4"/>
        <v>0</v>
      </c>
      <c r="J18" s="210">
        <f t="shared" si="5"/>
        <v>0</v>
      </c>
      <c r="K18" s="121"/>
      <c r="L18" s="121"/>
      <c r="M18" s="121"/>
    </row>
    <row r="19" spans="2:16" s="249" customFormat="1" x14ac:dyDescent="0.3">
      <c r="B19" s="213">
        <v>3</v>
      </c>
      <c r="C19" s="462" t="s">
        <v>28</v>
      </c>
      <c r="D19" s="215"/>
      <c r="E19" s="216"/>
      <c r="F19" s="217"/>
      <c r="G19" s="218"/>
      <c r="H19" s="219"/>
      <c r="I19" s="220"/>
      <c r="J19" s="221"/>
      <c r="K19" s="250"/>
      <c r="L19" s="250"/>
      <c r="M19" s="250"/>
    </row>
    <row r="20" spans="2:16" ht="31.2" x14ac:dyDescent="0.3">
      <c r="B20" s="225">
        <v>3.1</v>
      </c>
      <c r="C20" s="226" t="s">
        <v>239</v>
      </c>
      <c r="D20" s="205" t="s">
        <v>40</v>
      </c>
      <c r="E20" s="206">
        <f>+E21*2</f>
        <v>40</v>
      </c>
      <c r="F20" s="207"/>
      <c r="G20" s="207">
        <f t="shared" si="3"/>
        <v>0</v>
      </c>
      <c r="H20" s="208">
        <v>0.33</v>
      </c>
      <c r="I20" s="209">
        <f t="shared" si="4"/>
        <v>0</v>
      </c>
      <c r="J20" s="210">
        <f t="shared" si="5"/>
        <v>0</v>
      </c>
      <c r="K20" s="121"/>
      <c r="L20" s="121"/>
      <c r="M20" s="121"/>
    </row>
    <row r="21" spans="2:16" x14ac:dyDescent="0.3">
      <c r="B21" s="225">
        <v>3.2</v>
      </c>
      <c r="C21" s="226" t="s">
        <v>240</v>
      </c>
      <c r="D21" s="205" t="s">
        <v>40</v>
      </c>
      <c r="E21" s="206">
        <f>10*2</f>
        <v>20</v>
      </c>
      <c r="F21" s="207"/>
      <c r="G21" s="207">
        <f t="shared" si="3"/>
        <v>0</v>
      </c>
      <c r="H21" s="208">
        <v>0.33</v>
      </c>
      <c r="I21" s="209">
        <f t="shared" si="4"/>
        <v>0</v>
      </c>
      <c r="J21" s="210">
        <f t="shared" si="5"/>
        <v>0</v>
      </c>
      <c r="K21" s="121"/>
      <c r="L21" s="121"/>
      <c r="M21" s="121"/>
    </row>
    <row r="22" spans="2:16" s="249" customFormat="1" x14ac:dyDescent="0.3">
      <c r="B22" s="213">
        <v>4</v>
      </c>
      <c r="C22" s="462" t="s">
        <v>27</v>
      </c>
      <c r="D22" s="215"/>
      <c r="E22" s="216"/>
      <c r="F22" s="217"/>
      <c r="G22" s="218"/>
      <c r="H22" s="219"/>
      <c r="I22" s="220"/>
      <c r="J22" s="221"/>
      <c r="K22" s="250"/>
      <c r="L22" s="250"/>
      <c r="M22" s="250"/>
    </row>
    <row r="23" spans="2:16" ht="62.4" x14ac:dyDescent="0.3">
      <c r="B23" s="225">
        <v>4.0999999999999996</v>
      </c>
      <c r="C23" s="226" t="s">
        <v>369</v>
      </c>
      <c r="D23" s="205" t="s">
        <v>40</v>
      </c>
      <c r="E23" s="206">
        <v>50</v>
      </c>
      <c r="F23" s="207"/>
      <c r="G23" s="207">
        <f t="shared" si="3"/>
        <v>0</v>
      </c>
      <c r="H23" s="208">
        <v>0.33</v>
      </c>
      <c r="I23" s="209">
        <f t="shared" si="4"/>
        <v>0</v>
      </c>
      <c r="J23" s="210">
        <f t="shared" si="5"/>
        <v>0</v>
      </c>
      <c r="K23" s="121"/>
      <c r="L23" s="121"/>
      <c r="M23" s="121"/>
    </row>
    <row r="24" spans="2:16" s="202" customFormat="1" x14ac:dyDescent="0.3">
      <c r="B24" s="213">
        <v>5</v>
      </c>
      <c r="C24" s="214" t="s">
        <v>43</v>
      </c>
      <c r="D24" s="215"/>
      <c r="E24" s="216"/>
      <c r="F24" s="217"/>
      <c r="G24" s="218"/>
      <c r="H24" s="219"/>
      <c r="I24" s="220"/>
      <c r="J24" s="221"/>
      <c r="K24" s="222"/>
      <c r="L24" s="223"/>
      <c r="M24" s="249"/>
    </row>
    <row r="25" spans="2:16" ht="31.2" x14ac:dyDescent="0.3">
      <c r="B25" s="225">
        <v>5.0999999999999996</v>
      </c>
      <c r="C25" s="227" t="s">
        <v>242</v>
      </c>
      <c r="D25" s="228" t="s">
        <v>19</v>
      </c>
      <c r="E25" s="206">
        <v>1</v>
      </c>
      <c r="F25" s="207"/>
      <c r="G25" s="207">
        <f t="shared" si="3"/>
        <v>0</v>
      </c>
      <c r="H25" s="208">
        <v>0.33</v>
      </c>
      <c r="I25" s="209">
        <f t="shared" si="4"/>
        <v>0</v>
      </c>
      <c r="J25" s="210">
        <f t="shared" si="5"/>
        <v>0</v>
      </c>
      <c r="K25" s="121"/>
      <c r="L25" s="211"/>
    </row>
    <row r="26" spans="2:16" ht="15.75" customHeight="1" x14ac:dyDescent="0.3">
      <c r="B26" s="225">
        <v>5.2</v>
      </c>
      <c r="C26" s="227" t="s">
        <v>243</v>
      </c>
      <c r="D26" s="228" t="s">
        <v>19</v>
      </c>
      <c r="E26" s="206">
        <v>4</v>
      </c>
      <c r="F26" s="207"/>
      <c r="G26" s="207">
        <f t="shared" si="3"/>
        <v>0</v>
      </c>
      <c r="H26" s="208">
        <v>0.33</v>
      </c>
      <c r="I26" s="209">
        <f t="shared" si="4"/>
        <v>0</v>
      </c>
      <c r="J26" s="210">
        <f t="shared" si="5"/>
        <v>0</v>
      </c>
      <c r="K26" s="121"/>
      <c r="L26" s="211"/>
    </row>
    <row r="27" spans="2:16" ht="31.2" x14ac:dyDescent="0.3">
      <c r="B27" s="225">
        <v>5.3</v>
      </c>
      <c r="C27" s="227" t="s">
        <v>244</v>
      </c>
      <c r="D27" s="228" t="s">
        <v>39</v>
      </c>
      <c r="E27" s="206">
        <f>15.5*1</f>
        <v>15.5</v>
      </c>
      <c r="F27" s="207"/>
      <c r="G27" s="207">
        <f t="shared" si="3"/>
        <v>0</v>
      </c>
      <c r="H27" s="208">
        <v>0.33</v>
      </c>
      <c r="I27" s="209">
        <f t="shared" si="4"/>
        <v>0</v>
      </c>
      <c r="J27" s="210">
        <f t="shared" si="5"/>
        <v>0</v>
      </c>
      <c r="K27" s="121"/>
      <c r="L27" s="211"/>
    </row>
    <row r="28" spans="2:16" s="202" customFormat="1" x14ac:dyDescent="0.3">
      <c r="B28" s="213">
        <v>6</v>
      </c>
      <c r="C28" s="214" t="s">
        <v>17</v>
      </c>
      <c r="D28" s="215"/>
      <c r="E28" s="216"/>
      <c r="F28" s="217"/>
      <c r="G28" s="218"/>
      <c r="H28" s="219"/>
      <c r="I28" s="220"/>
      <c r="J28" s="221"/>
      <c r="K28" s="222"/>
      <c r="L28" s="222"/>
      <c r="M28" s="222"/>
    </row>
    <row r="29" spans="2:16" x14ac:dyDescent="0.3">
      <c r="B29" s="225">
        <v>6.1</v>
      </c>
      <c r="C29" s="226" t="s">
        <v>18</v>
      </c>
      <c r="D29" s="228" t="s">
        <v>19</v>
      </c>
      <c r="E29" s="206">
        <v>1</v>
      </c>
      <c r="F29" s="207"/>
      <c r="G29" s="207">
        <f t="shared" si="3"/>
        <v>0</v>
      </c>
      <c r="H29" s="208">
        <v>0.33</v>
      </c>
      <c r="I29" s="209">
        <f t="shared" si="4"/>
        <v>0</v>
      </c>
      <c r="J29" s="210">
        <f t="shared" si="5"/>
        <v>0</v>
      </c>
      <c r="K29" s="121"/>
      <c r="L29" s="121"/>
      <c r="M29" s="121"/>
    </row>
    <row r="30" spans="2:16" ht="63" thickBot="1" x14ac:dyDescent="0.35">
      <c r="B30" s="229">
        <v>6.2</v>
      </c>
      <c r="C30" s="251" t="s">
        <v>245</v>
      </c>
      <c r="D30" s="231" t="s">
        <v>65</v>
      </c>
      <c r="E30" s="232">
        <v>12</v>
      </c>
      <c r="F30" s="233"/>
      <c r="G30" s="233">
        <f t="shared" si="3"/>
        <v>0</v>
      </c>
      <c r="H30" s="234">
        <v>0.33</v>
      </c>
      <c r="I30" s="235">
        <f t="shared" si="4"/>
        <v>0</v>
      </c>
      <c r="J30" s="236">
        <f t="shared" si="5"/>
        <v>0</v>
      </c>
      <c r="K30" s="121"/>
      <c r="L30" s="121"/>
      <c r="M30" s="121"/>
    </row>
    <row r="31" spans="2:16" x14ac:dyDescent="0.3">
      <c r="B31" s="121"/>
      <c r="C31" s="122"/>
      <c r="D31" s="123"/>
      <c r="E31" s="238"/>
      <c r="F31" s="239"/>
      <c r="G31" s="239"/>
      <c r="H31" s="252"/>
      <c r="I31" s="133"/>
      <c r="J31" s="133"/>
      <c r="K31" s="121"/>
      <c r="L31" s="211"/>
      <c r="M31" s="121"/>
    </row>
    <row r="32" spans="2:16" s="119" customFormat="1" ht="18" customHeight="1" x14ac:dyDescent="0.3">
      <c r="B32" s="289"/>
      <c r="C32" s="118"/>
      <c r="D32" s="121"/>
      <c r="E32" s="124"/>
      <c r="F32" s="125"/>
      <c r="G32" s="125"/>
      <c r="H32" s="125"/>
      <c r="I32" s="125"/>
      <c r="J32" s="125"/>
      <c r="L32" s="211"/>
      <c r="N32" s="126"/>
      <c r="O32" s="126"/>
      <c r="P32" s="126"/>
    </row>
    <row r="33" spans="2:13" x14ac:dyDescent="0.3">
      <c r="B33" s="139"/>
      <c r="C33" s="243"/>
      <c r="D33" s="635" t="s">
        <v>226</v>
      </c>
      <c r="E33" s="636"/>
      <c r="F33" s="637"/>
      <c r="G33" s="290">
        <f>SUM(G10:G31)</f>
        <v>0</v>
      </c>
      <c r="H33" s="245"/>
      <c r="I33" s="141"/>
      <c r="J33" s="290">
        <f>+SUM(J10:J30)</f>
        <v>0</v>
      </c>
      <c r="L33" s="211"/>
      <c r="M33" s="141"/>
    </row>
    <row r="34" spans="2:13" x14ac:dyDescent="0.3">
      <c r="L34" s="119"/>
    </row>
    <row r="35" spans="2:13" x14ac:dyDescent="0.3">
      <c r="L35" s="469"/>
      <c r="M35" s="142"/>
    </row>
  </sheetData>
  <mergeCells count="10">
    <mergeCell ref="B7:J7"/>
    <mergeCell ref="D33:F33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B03B-A218-4872-AFCE-8BBBF6DAF5AC}">
  <sheetPr>
    <tabColor rgb="FF92D050"/>
  </sheetPr>
  <dimension ref="B1:O17"/>
  <sheetViews>
    <sheetView tabSelected="1" view="pageBreakPreview" zoomScale="60" zoomScaleNormal="70" workbookViewId="0">
      <selection activeCell="J8" sqref="J8"/>
    </sheetView>
  </sheetViews>
  <sheetFormatPr baseColWidth="10" defaultColWidth="11.44140625" defaultRowHeight="15.6" x14ac:dyDescent="0.3"/>
  <cols>
    <col min="1" max="1" width="11.44140625" style="117"/>
    <col min="2" max="2" width="13.5546875" style="155" customWidth="1"/>
    <col min="3" max="3" width="45.44140625" style="118" customWidth="1"/>
    <col min="4" max="4" width="10" style="143" bestFit="1" customWidth="1"/>
    <col min="5" max="5" width="14.6640625" style="121" bestFit="1" customWidth="1"/>
    <col min="6" max="6" width="15.88671875" style="150" customWidth="1"/>
    <col min="7" max="7" width="22.88671875" style="265" bestFit="1" customWidth="1"/>
    <col min="8" max="8" width="7.88671875" style="463" bestFit="1" customWidth="1"/>
    <col min="9" max="9" width="16.88671875" style="265" customWidth="1"/>
    <col min="10" max="10" width="25.109375" style="265" bestFit="1" customWidth="1"/>
    <col min="11" max="11" width="15.33203125" style="117" hidden="1" customWidth="1"/>
    <col min="12" max="12" width="20" style="117" customWidth="1"/>
    <col min="13" max="13" width="22.33203125" style="117" bestFit="1" customWidth="1"/>
    <col min="14" max="14" width="18.33203125" style="117" bestFit="1" customWidth="1"/>
    <col min="15" max="15" width="19.44140625" style="117" bestFit="1" customWidth="1"/>
    <col min="16" max="16" width="21.88671875" style="117" customWidth="1"/>
    <col min="17" max="17" width="11.44140625" style="117"/>
    <col min="18" max="18" width="16.33203125" style="117" bestFit="1" customWidth="1"/>
    <col min="19" max="16384" width="11.44140625" style="117"/>
  </cols>
  <sheetData>
    <row r="1" spans="2:15" x14ac:dyDescent="0.3">
      <c r="B1" s="487"/>
      <c r="C1" s="490" t="s">
        <v>0</v>
      </c>
      <c r="D1" s="491"/>
      <c r="E1" s="491"/>
      <c r="F1" s="491"/>
      <c r="G1" s="491"/>
      <c r="H1" s="491"/>
      <c r="I1" s="492"/>
      <c r="J1" s="493"/>
    </row>
    <row r="2" spans="2:15" x14ac:dyDescent="0.3">
      <c r="B2" s="488"/>
      <c r="C2" s="496" t="s">
        <v>1</v>
      </c>
      <c r="D2" s="497"/>
      <c r="E2" s="497"/>
      <c r="F2" s="497"/>
      <c r="G2" s="497"/>
      <c r="H2" s="497"/>
      <c r="I2" s="498"/>
      <c r="J2" s="494"/>
    </row>
    <row r="3" spans="2:15" x14ac:dyDescent="0.3">
      <c r="B3" s="488"/>
      <c r="C3" s="496" t="s">
        <v>2</v>
      </c>
      <c r="D3" s="497"/>
      <c r="E3" s="497"/>
      <c r="F3" s="497"/>
      <c r="G3" s="497"/>
      <c r="H3" s="497"/>
      <c r="I3" s="498"/>
      <c r="J3" s="494"/>
    </row>
    <row r="4" spans="2:15" ht="16.2" thickBot="1" x14ac:dyDescent="0.35">
      <c r="B4" s="489"/>
      <c r="C4" s="499" t="s">
        <v>3</v>
      </c>
      <c r="D4" s="500"/>
      <c r="E4" s="500"/>
      <c r="F4" s="500"/>
      <c r="G4" s="500"/>
      <c r="H4" s="500"/>
      <c r="I4" s="501"/>
      <c r="J4" s="495"/>
    </row>
    <row r="5" spans="2:15" ht="39" customHeight="1" thickBot="1" x14ac:dyDescent="0.35">
      <c r="B5" s="480" t="s">
        <v>186</v>
      </c>
      <c r="C5" s="481"/>
      <c r="D5" s="481"/>
      <c r="E5" s="481"/>
      <c r="F5" s="481"/>
      <c r="G5" s="481"/>
      <c r="H5" s="481"/>
      <c r="I5" s="481"/>
      <c r="J5" s="482"/>
    </row>
    <row r="6" spans="2:15" ht="52.95" customHeight="1" thickBot="1" x14ac:dyDescent="0.35">
      <c r="B6" s="484" t="s">
        <v>4</v>
      </c>
      <c r="C6" s="485"/>
      <c r="D6" s="485"/>
      <c r="E6" s="485"/>
      <c r="F6" s="485"/>
      <c r="G6" s="485"/>
      <c r="H6" s="485"/>
      <c r="I6" s="485"/>
      <c r="J6" s="486"/>
    </row>
    <row r="7" spans="2:15" ht="16.2" thickBot="1" x14ac:dyDescent="0.35">
      <c r="B7" s="521" t="s">
        <v>123</v>
      </c>
      <c r="C7" s="522"/>
      <c r="D7" s="522"/>
      <c r="E7" s="522"/>
      <c r="F7" s="522"/>
      <c r="G7" s="522"/>
      <c r="H7" s="522"/>
      <c r="I7" s="523"/>
      <c r="J7" s="465">
        <f>'O.C. 1'!$J$32+'O.C. 2'!$J$32+'O.C. 3'!$J$24+'O.C. 4'!$J$21+'O.C. 5'!$J$18+'O.C. 6'!$J$32+'O.C. 7'!$J$85+'O.C. 8'!$J$32+'O.C. 9'!$J$24+'O.C. 10'!$J$38+'O.C. 11'!$J$19+'O.C. 11'!$J$39+'O.C. 12'!$J$32+'O.C. 13'!$J$25+'O.C. 14'!$J$45+'O.C. 15'!$J$32+'O.C. 16'!$J$98+'O.C. 17'!$J$32+'O.C. 18'!$J$30+'O.C. 19'!$J$42+'O.C. 20'!$J$32+'O.C. 21'!$J$25+'O.C. 22'!$J$33+'O.C. 23'!$J$35+'O.C. 24'!$J$32+'O.C. 25'!$J$33</f>
        <v>0</v>
      </c>
      <c r="L7" s="466"/>
      <c r="M7" s="467"/>
    </row>
    <row r="8" spans="2:15" ht="16.2" thickBot="1" x14ac:dyDescent="0.35">
      <c r="B8" s="508" t="s">
        <v>124</v>
      </c>
      <c r="C8" s="509"/>
      <c r="D8" s="509"/>
      <c r="E8" s="509"/>
      <c r="F8" s="509"/>
      <c r="G8" s="509"/>
      <c r="H8" s="509"/>
      <c r="I8" s="510"/>
      <c r="J8" s="468">
        <v>0</v>
      </c>
      <c r="L8" s="211"/>
      <c r="M8" s="142"/>
      <c r="O8" s="194"/>
    </row>
    <row r="9" spans="2:15" ht="16.2" thickBot="1" x14ac:dyDescent="0.35">
      <c r="B9" s="508" t="s">
        <v>14</v>
      </c>
      <c r="C9" s="509"/>
      <c r="D9" s="509"/>
      <c r="E9" s="509"/>
      <c r="F9" s="509"/>
      <c r="G9" s="509"/>
      <c r="H9" s="509"/>
      <c r="I9" s="510"/>
      <c r="J9" s="468">
        <f>SUM(J7:J8)</f>
        <v>0</v>
      </c>
      <c r="L9" s="133"/>
      <c r="M9" s="469"/>
      <c r="O9" s="265"/>
    </row>
    <row r="10" spans="2:15" x14ac:dyDescent="0.3">
      <c r="B10" s="470"/>
      <c r="J10" s="471"/>
      <c r="L10" s="142"/>
      <c r="M10" s="142"/>
    </row>
    <row r="11" spans="2:15" x14ac:dyDescent="0.3">
      <c r="B11" s="632" t="s">
        <v>227</v>
      </c>
      <c r="C11" s="633"/>
      <c r="D11" s="633"/>
      <c r="E11" s="633"/>
      <c r="F11" s="634"/>
      <c r="G11" s="627" t="s">
        <v>125</v>
      </c>
      <c r="H11" s="628"/>
      <c r="I11" s="623" t="s">
        <v>126</v>
      </c>
      <c r="J11" s="624"/>
      <c r="M11" s="142"/>
    </row>
    <row r="12" spans="2:15" ht="46.95" customHeight="1" x14ac:dyDescent="0.3">
      <c r="B12" s="629" t="s">
        <v>228</v>
      </c>
      <c r="C12" s="630"/>
      <c r="D12" s="630"/>
      <c r="E12" s="630"/>
      <c r="F12" s="631"/>
      <c r="G12" s="472" t="s">
        <v>127</v>
      </c>
      <c r="H12" s="472" t="s">
        <v>128</v>
      </c>
      <c r="I12" s="621">
        <v>0.27</v>
      </c>
      <c r="J12" s="622"/>
      <c r="L12" s="133"/>
      <c r="M12" s="194"/>
    </row>
    <row r="13" spans="2:15" x14ac:dyDescent="0.3">
      <c r="B13" s="632" t="s">
        <v>229</v>
      </c>
      <c r="C13" s="633"/>
      <c r="D13" s="633"/>
      <c r="E13" s="633"/>
      <c r="F13" s="634"/>
      <c r="G13" s="472" t="s">
        <v>129</v>
      </c>
      <c r="H13" s="472" t="s">
        <v>130</v>
      </c>
      <c r="I13" s="621">
        <v>0.01</v>
      </c>
      <c r="J13" s="622"/>
      <c r="L13" s="133"/>
      <c r="M13" s="142"/>
    </row>
    <row r="14" spans="2:15" x14ac:dyDescent="0.3">
      <c r="B14" s="470"/>
      <c r="G14" s="472" t="s">
        <v>131</v>
      </c>
      <c r="H14" s="472" t="s">
        <v>132</v>
      </c>
      <c r="I14" s="621">
        <v>0.05</v>
      </c>
      <c r="J14" s="622"/>
      <c r="L14" s="133"/>
    </row>
    <row r="15" spans="2:15" ht="16.2" thickBot="1" x14ac:dyDescent="0.35">
      <c r="B15" s="473"/>
      <c r="C15" s="474"/>
      <c r="D15" s="475"/>
      <c r="E15" s="476"/>
      <c r="F15" s="475"/>
      <c r="G15" s="477" t="s">
        <v>133</v>
      </c>
      <c r="H15" s="477" t="s">
        <v>134</v>
      </c>
      <c r="I15" s="625">
        <f>SUM(I12:I14)</f>
        <v>0.33</v>
      </c>
      <c r="J15" s="626"/>
      <c r="L15" s="478"/>
    </row>
    <row r="16" spans="2:15" x14ac:dyDescent="0.3">
      <c r="L16" s="119"/>
    </row>
    <row r="17" spans="12:13" x14ac:dyDescent="0.3">
      <c r="L17" s="469"/>
      <c r="M17" s="142"/>
    </row>
  </sheetData>
  <mergeCells count="20">
    <mergeCell ref="B13:F13"/>
    <mergeCell ref="I13:J13"/>
    <mergeCell ref="I14:J14"/>
    <mergeCell ref="I15:J15"/>
    <mergeCell ref="B9:I9"/>
    <mergeCell ref="B11:F11"/>
    <mergeCell ref="G11:H11"/>
    <mergeCell ref="I11:J11"/>
    <mergeCell ref="B12:F12"/>
    <mergeCell ref="I12:J12"/>
    <mergeCell ref="B7:I7"/>
    <mergeCell ref="B8:I8"/>
    <mergeCell ref="B5:J5"/>
    <mergeCell ref="B6:J6"/>
    <mergeCell ref="B1:B4"/>
    <mergeCell ref="C1:I1"/>
    <mergeCell ref="J1:J4"/>
    <mergeCell ref="C2:I2"/>
    <mergeCell ref="C3:I3"/>
    <mergeCell ref="C4:I4"/>
  </mergeCells>
  <pageMargins left="0.7" right="0.7" top="0.75" bottom="0.75" header="0.3" footer="0.3"/>
  <pageSetup scale="52" orientation="portrait" r:id="rId1"/>
  <colBreaks count="1" manualBreakCount="1">
    <brk id="11" max="856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8EADD-0A68-482F-8A52-6534D956BC5D}">
  <sheetPr>
    <tabColor theme="4" tint="0.59999389629810485"/>
  </sheetPr>
  <dimension ref="B1:M57"/>
  <sheetViews>
    <sheetView view="pageBreakPreview" zoomScale="85" zoomScaleNormal="100" zoomScaleSheetLayoutView="85" workbookViewId="0">
      <selection activeCell="M11" sqref="M11"/>
    </sheetView>
  </sheetViews>
  <sheetFormatPr baseColWidth="10" defaultColWidth="11.44140625" defaultRowHeight="15.6" x14ac:dyDescent="0.3"/>
  <cols>
    <col min="1" max="1" width="11.44140625" style="117"/>
    <col min="2" max="2" width="12.6640625" style="155" customWidth="1"/>
    <col min="3" max="3" width="45.44140625" style="117" customWidth="1"/>
    <col min="4" max="4" width="5.6640625" style="143" customWidth="1"/>
    <col min="5" max="5" width="5.6640625" style="117" customWidth="1"/>
    <col min="6" max="8" width="5.6640625" style="154" customWidth="1"/>
    <col min="9" max="11" width="5.6640625" style="117" customWidth="1"/>
    <col min="12" max="12" width="19" style="117" bestFit="1" customWidth="1"/>
    <col min="13" max="16384" width="11.44140625" style="117"/>
  </cols>
  <sheetData>
    <row r="1" spans="2:11" ht="16.2" thickBot="1" x14ac:dyDescent="0.35">
      <c r="B1" s="589"/>
      <c r="C1" s="595" t="s">
        <v>0</v>
      </c>
      <c r="D1" s="596"/>
      <c r="E1" s="596"/>
      <c r="F1" s="596"/>
      <c r="G1" s="596"/>
      <c r="H1" s="596"/>
      <c r="I1" s="589"/>
      <c r="J1" s="591"/>
      <c r="K1" s="592"/>
    </row>
    <row r="2" spans="2:11" ht="16.2" thickBot="1" x14ac:dyDescent="0.35">
      <c r="B2" s="590"/>
      <c r="C2" s="595" t="s">
        <v>1</v>
      </c>
      <c r="D2" s="596"/>
      <c r="E2" s="596"/>
      <c r="F2" s="596"/>
      <c r="G2" s="596"/>
      <c r="H2" s="596"/>
      <c r="I2" s="590"/>
      <c r="J2" s="593"/>
      <c r="K2" s="594"/>
    </row>
    <row r="3" spans="2:11" ht="16.2" thickBot="1" x14ac:dyDescent="0.35">
      <c r="B3" s="590"/>
      <c r="C3" s="595" t="s">
        <v>2</v>
      </c>
      <c r="D3" s="596"/>
      <c r="E3" s="596"/>
      <c r="F3" s="596"/>
      <c r="G3" s="596"/>
      <c r="H3" s="596"/>
      <c r="I3" s="590"/>
      <c r="J3" s="593"/>
      <c r="K3" s="594"/>
    </row>
    <row r="4" spans="2:11" ht="16.2" thickBot="1" x14ac:dyDescent="0.35">
      <c r="B4" s="590"/>
      <c r="C4" s="597" t="s">
        <v>182</v>
      </c>
      <c r="D4" s="598"/>
      <c r="E4" s="598"/>
      <c r="F4" s="598"/>
      <c r="G4" s="598"/>
      <c r="H4" s="598"/>
      <c r="I4" s="590"/>
      <c r="J4" s="593"/>
      <c r="K4" s="594"/>
    </row>
    <row r="5" spans="2:11" s="118" customFormat="1" ht="31.8" customHeight="1" thickBot="1" x14ac:dyDescent="0.35">
      <c r="B5" s="530" t="s">
        <v>186</v>
      </c>
      <c r="C5" s="531"/>
      <c r="D5" s="531"/>
      <c r="E5" s="531"/>
      <c r="F5" s="531"/>
      <c r="G5" s="531"/>
      <c r="H5" s="531"/>
      <c r="I5" s="531"/>
      <c r="J5" s="531"/>
      <c r="K5" s="532"/>
    </row>
    <row r="6" spans="2:11" ht="16.2" thickBot="1" x14ac:dyDescent="0.35">
      <c r="B6" s="581" t="s">
        <v>183</v>
      </c>
      <c r="C6" s="582"/>
      <c r="D6" s="599" t="s">
        <v>184</v>
      </c>
      <c r="E6" s="600"/>
      <c r="F6" s="600"/>
      <c r="G6" s="600"/>
      <c r="H6" s="600"/>
      <c r="I6" s="600"/>
      <c r="J6" s="600"/>
      <c r="K6" s="601"/>
    </row>
    <row r="7" spans="2:11" ht="14.25" customHeight="1" thickBot="1" x14ac:dyDescent="0.35">
      <c r="B7" s="583"/>
      <c r="C7" s="584"/>
      <c r="D7" s="171">
        <v>1</v>
      </c>
      <c r="E7" s="171">
        <v>2</v>
      </c>
      <c r="F7" s="171">
        <v>3</v>
      </c>
      <c r="G7" s="171">
        <v>4</v>
      </c>
      <c r="H7" s="171">
        <v>5</v>
      </c>
      <c r="I7" s="171">
        <v>6</v>
      </c>
      <c r="J7" s="171">
        <v>7</v>
      </c>
      <c r="K7" s="171">
        <v>8</v>
      </c>
    </row>
    <row r="8" spans="2:11" s="119" customFormat="1" ht="19.95" customHeight="1" x14ac:dyDescent="0.3">
      <c r="B8" s="585" t="s">
        <v>187</v>
      </c>
      <c r="C8" s="586"/>
      <c r="D8" s="178"/>
      <c r="E8" s="166"/>
      <c r="F8" s="167"/>
      <c r="G8" s="167"/>
      <c r="H8" s="167"/>
      <c r="I8" s="168"/>
      <c r="J8" s="169"/>
      <c r="K8" s="170"/>
    </row>
    <row r="9" spans="2:11" s="119" customFormat="1" ht="19.95" customHeight="1" x14ac:dyDescent="0.3">
      <c r="B9" s="587" t="s">
        <v>209</v>
      </c>
      <c r="C9" s="588"/>
      <c r="D9" s="179"/>
      <c r="E9" s="157"/>
      <c r="F9" s="158"/>
      <c r="G9" s="158"/>
      <c r="H9" s="158"/>
      <c r="I9" s="159"/>
      <c r="J9" s="160"/>
      <c r="K9" s="161"/>
    </row>
    <row r="10" spans="2:11" s="119" customFormat="1" ht="19.95" customHeight="1" x14ac:dyDescent="0.3">
      <c r="B10" s="587" t="s">
        <v>210</v>
      </c>
      <c r="C10" s="588"/>
      <c r="D10" s="179"/>
      <c r="E10" s="157"/>
      <c r="F10" s="158"/>
      <c r="G10" s="158"/>
      <c r="H10" s="158"/>
      <c r="I10" s="159"/>
      <c r="J10" s="160"/>
      <c r="K10" s="161"/>
    </row>
    <row r="11" spans="2:11" s="119" customFormat="1" ht="19.95" customHeight="1" x14ac:dyDescent="0.3">
      <c r="B11" s="587" t="s">
        <v>188</v>
      </c>
      <c r="C11" s="588"/>
      <c r="D11" s="179"/>
      <c r="E11" s="157"/>
      <c r="F11" s="158"/>
      <c r="G11" s="158"/>
      <c r="H11" s="158"/>
      <c r="I11" s="159"/>
      <c r="J11" s="160"/>
      <c r="K11" s="161"/>
    </row>
    <row r="12" spans="2:11" ht="19.95" customHeight="1" x14ac:dyDescent="0.3">
      <c r="B12" s="587" t="s">
        <v>189</v>
      </c>
      <c r="C12" s="588"/>
      <c r="D12" s="156"/>
      <c r="E12" s="180"/>
      <c r="F12" s="158"/>
      <c r="G12" s="158"/>
      <c r="H12" s="158"/>
      <c r="I12" s="159"/>
      <c r="J12" s="160"/>
      <c r="K12" s="161"/>
    </row>
    <row r="13" spans="2:11" ht="19.95" customHeight="1" x14ac:dyDescent="0.3">
      <c r="B13" s="587" t="s">
        <v>190</v>
      </c>
      <c r="C13" s="588"/>
      <c r="D13" s="156"/>
      <c r="E13" s="180"/>
      <c r="F13" s="158"/>
      <c r="G13" s="158"/>
      <c r="H13" s="158"/>
      <c r="I13" s="159"/>
      <c r="J13" s="160"/>
      <c r="K13" s="161"/>
    </row>
    <row r="14" spans="2:11" ht="19.95" customHeight="1" x14ac:dyDescent="0.3">
      <c r="B14" s="587" t="s">
        <v>191</v>
      </c>
      <c r="C14" s="588"/>
      <c r="D14" s="156"/>
      <c r="E14" s="180"/>
      <c r="F14" s="158"/>
      <c r="G14" s="158"/>
      <c r="H14" s="158"/>
      <c r="I14" s="159"/>
      <c r="J14" s="160"/>
      <c r="K14" s="161"/>
    </row>
    <row r="15" spans="2:11" ht="19.95" customHeight="1" x14ac:dyDescent="0.3">
      <c r="B15" s="587" t="s">
        <v>192</v>
      </c>
      <c r="C15" s="588"/>
      <c r="D15" s="156"/>
      <c r="E15" s="180"/>
      <c r="F15" s="158"/>
      <c r="G15" s="158"/>
      <c r="H15" s="158"/>
      <c r="I15" s="159"/>
      <c r="J15" s="160"/>
      <c r="K15" s="161"/>
    </row>
    <row r="16" spans="2:11" ht="19.95" customHeight="1" x14ac:dyDescent="0.3">
      <c r="B16" s="587" t="s">
        <v>193</v>
      </c>
      <c r="C16" s="588"/>
      <c r="D16" s="156"/>
      <c r="E16" s="157"/>
      <c r="F16" s="181"/>
      <c r="G16" s="158"/>
      <c r="H16" s="158"/>
      <c r="I16" s="159"/>
      <c r="J16" s="160"/>
      <c r="K16" s="161"/>
    </row>
    <row r="17" spans="2:11" s="119" customFormat="1" ht="19.95" customHeight="1" x14ac:dyDescent="0.3">
      <c r="B17" s="587" t="s">
        <v>194</v>
      </c>
      <c r="C17" s="588"/>
      <c r="D17" s="156"/>
      <c r="E17" s="157"/>
      <c r="F17" s="181"/>
      <c r="G17" s="158"/>
      <c r="H17" s="158"/>
      <c r="I17" s="159"/>
      <c r="J17" s="160"/>
      <c r="K17" s="161"/>
    </row>
    <row r="18" spans="2:11" s="119" customFormat="1" ht="19.95" customHeight="1" x14ac:dyDescent="0.3">
      <c r="B18" s="587" t="s">
        <v>195</v>
      </c>
      <c r="C18" s="588"/>
      <c r="D18" s="156"/>
      <c r="E18" s="157"/>
      <c r="F18" s="181"/>
      <c r="G18" s="158"/>
      <c r="H18" s="158"/>
      <c r="I18" s="159"/>
      <c r="J18" s="160"/>
      <c r="K18" s="161"/>
    </row>
    <row r="19" spans="2:11" s="119" customFormat="1" ht="19.95" customHeight="1" x14ac:dyDescent="0.3">
      <c r="B19" s="587" t="s">
        <v>196</v>
      </c>
      <c r="C19" s="588"/>
      <c r="D19" s="156"/>
      <c r="E19" s="157"/>
      <c r="F19" s="181"/>
      <c r="G19" s="158"/>
      <c r="H19" s="158"/>
      <c r="I19" s="159"/>
      <c r="J19" s="160"/>
      <c r="K19" s="161"/>
    </row>
    <row r="20" spans="2:11" s="119" customFormat="1" ht="19.95" customHeight="1" x14ac:dyDescent="0.3">
      <c r="B20" s="587" t="s">
        <v>197</v>
      </c>
      <c r="C20" s="588"/>
      <c r="D20" s="156"/>
      <c r="E20" s="157"/>
      <c r="F20" s="158"/>
      <c r="G20" s="181"/>
      <c r="H20" s="181"/>
      <c r="I20" s="182"/>
      <c r="J20" s="160"/>
      <c r="K20" s="161"/>
    </row>
    <row r="21" spans="2:11" s="119" customFormat="1" ht="19.95" customHeight="1" x14ac:dyDescent="0.3">
      <c r="B21" s="587" t="s">
        <v>198</v>
      </c>
      <c r="C21" s="588"/>
      <c r="D21" s="156"/>
      <c r="E21" s="157"/>
      <c r="F21" s="158"/>
      <c r="G21" s="158"/>
      <c r="H21" s="158"/>
      <c r="I21" s="159"/>
      <c r="J21" s="160"/>
      <c r="K21" s="184"/>
    </row>
    <row r="22" spans="2:11" s="119" customFormat="1" ht="19.95" customHeight="1" x14ac:dyDescent="0.3">
      <c r="B22" s="587" t="s">
        <v>199</v>
      </c>
      <c r="C22" s="588"/>
      <c r="D22" s="156"/>
      <c r="E22" s="157"/>
      <c r="F22" s="158"/>
      <c r="G22" s="158"/>
      <c r="H22" s="158"/>
      <c r="I22" s="159"/>
      <c r="J22" s="160"/>
      <c r="K22" s="184"/>
    </row>
    <row r="23" spans="2:11" s="119" customFormat="1" ht="19.95" customHeight="1" x14ac:dyDescent="0.3">
      <c r="B23" s="587" t="s">
        <v>200</v>
      </c>
      <c r="C23" s="588"/>
      <c r="D23" s="156"/>
      <c r="E23" s="157"/>
      <c r="F23" s="158"/>
      <c r="G23" s="181"/>
      <c r="H23" s="181"/>
      <c r="I23" s="159"/>
      <c r="J23" s="160"/>
      <c r="K23" s="161"/>
    </row>
    <row r="24" spans="2:11" s="119" customFormat="1" ht="19.95" customHeight="1" x14ac:dyDescent="0.3">
      <c r="B24" s="587" t="s">
        <v>201</v>
      </c>
      <c r="C24" s="588"/>
      <c r="D24" s="156"/>
      <c r="E24" s="157"/>
      <c r="F24" s="158"/>
      <c r="G24" s="181"/>
      <c r="H24" s="158"/>
      <c r="I24" s="159"/>
      <c r="J24" s="160"/>
      <c r="K24" s="161"/>
    </row>
    <row r="25" spans="2:11" ht="19.95" customHeight="1" x14ac:dyDescent="0.3">
      <c r="B25" s="587" t="s">
        <v>202</v>
      </c>
      <c r="C25" s="588"/>
      <c r="D25" s="156"/>
      <c r="E25" s="157"/>
      <c r="F25" s="158"/>
      <c r="G25" s="181"/>
      <c r="H25" s="181"/>
      <c r="I25" s="159"/>
      <c r="J25" s="160"/>
      <c r="K25" s="161"/>
    </row>
    <row r="26" spans="2:11" ht="19.95" customHeight="1" x14ac:dyDescent="0.3">
      <c r="B26" s="587" t="s">
        <v>203</v>
      </c>
      <c r="C26" s="588"/>
      <c r="D26" s="156"/>
      <c r="E26" s="157"/>
      <c r="F26" s="158"/>
      <c r="G26" s="181"/>
      <c r="H26" s="181"/>
      <c r="I26" s="182"/>
      <c r="J26" s="160"/>
      <c r="K26" s="161"/>
    </row>
    <row r="27" spans="2:11" ht="19.95" customHeight="1" x14ac:dyDescent="0.3">
      <c r="B27" s="587" t="s">
        <v>204</v>
      </c>
      <c r="C27" s="588"/>
      <c r="D27" s="156"/>
      <c r="E27" s="157"/>
      <c r="F27" s="158"/>
      <c r="G27" s="158"/>
      <c r="H27" s="181"/>
      <c r="I27" s="159"/>
      <c r="J27" s="160"/>
      <c r="K27" s="161"/>
    </row>
    <row r="28" spans="2:11" ht="19.95" customHeight="1" x14ac:dyDescent="0.3">
      <c r="B28" s="587" t="s">
        <v>211</v>
      </c>
      <c r="C28" s="588"/>
      <c r="D28" s="156"/>
      <c r="E28" s="157"/>
      <c r="F28" s="158"/>
      <c r="G28" s="158"/>
      <c r="H28" s="181"/>
      <c r="I28" s="182"/>
      <c r="J28" s="160"/>
      <c r="K28" s="161"/>
    </row>
    <row r="29" spans="2:11" ht="19.95" customHeight="1" x14ac:dyDescent="0.3">
      <c r="B29" s="587" t="s">
        <v>205</v>
      </c>
      <c r="C29" s="588"/>
      <c r="D29" s="156"/>
      <c r="E29" s="157"/>
      <c r="F29" s="158"/>
      <c r="G29" s="158"/>
      <c r="H29" s="158"/>
      <c r="I29" s="182"/>
      <c r="J29" s="183"/>
      <c r="K29" s="161"/>
    </row>
    <row r="30" spans="2:11" ht="19.95" customHeight="1" x14ac:dyDescent="0.3">
      <c r="B30" s="587" t="s">
        <v>206</v>
      </c>
      <c r="C30" s="588"/>
      <c r="D30" s="156"/>
      <c r="E30" s="157"/>
      <c r="F30" s="158"/>
      <c r="G30" s="158"/>
      <c r="H30" s="158"/>
      <c r="I30" s="182"/>
      <c r="J30" s="183"/>
      <c r="K30" s="161"/>
    </row>
    <row r="31" spans="2:11" ht="19.95" customHeight="1" x14ac:dyDescent="0.3">
      <c r="B31" s="587" t="s">
        <v>207</v>
      </c>
      <c r="C31" s="588"/>
      <c r="D31" s="156"/>
      <c r="E31" s="157"/>
      <c r="F31" s="158"/>
      <c r="G31" s="158"/>
      <c r="H31" s="158"/>
      <c r="I31" s="182"/>
      <c r="J31" s="183"/>
      <c r="K31" s="184"/>
    </row>
    <row r="32" spans="2:11" ht="19.95" customHeight="1" thickBot="1" x14ac:dyDescent="0.35">
      <c r="B32" s="603" t="s">
        <v>208</v>
      </c>
      <c r="C32" s="604"/>
      <c r="D32" s="162"/>
      <c r="E32" s="163"/>
      <c r="F32" s="164"/>
      <c r="G32" s="164"/>
      <c r="H32" s="164"/>
      <c r="I32" s="165"/>
      <c r="J32" s="185"/>
      <c r="K32" s="186"/>
    </row>
    <row r="33" spans="2:13" s="119" customFormat="1" ht="24" customHeight="1" thickBot="1" x14ac:dyDescent="0.35">
      <c r="B33" s="605" t="s">
        <v>185</v>
      </c>
      <c r="C33" s="606"/>
      <c r="D33" s="172"/>
      <c r="E33" s="173"/>
      <c r="F33" s="174"/>
      <c r="G33" s="174"/>
      <c r="H33" s="174"/>
      <c r="I33" s="175"/>
      <c r="J33" s="176"/>
      <c r="K33" s="177"/>
      <c r="L33" s="120"/>
    </row>
    <row r="34" spans="2:13" ht="33" customHeight="1" x14ac:dyDescent="0.3">
      <c r="B34" s="121"/>
      <c r="C34" s="122"/>
      <c r="D34" s="123"/>
      <c r="E34" s="124"/>
      <c r="F34" s="125"/>
      <c r="G34" s="125"/>
      <c r="H34" s="125"/>
      <c r="I34" s="125"/>
      <c r="J34" s="121"/>
      <c r="K34" s="121"/>
      <c r="L34" s="121"/>
      <c r="M34" s="121"/>
    </row>
    <row r="35" spans="2:13" x14ac:dyDescent="0.3">
      <c r="B35" s="126"/>
      <c r="C35" s="119"/>
      <c r="D35" s="123"/>
      <c r="E35" s="124"/>
      <c r="F35" s="125"/>
      <c r="G35" s="125"/>
      <c r="H35" s="125"/>
      <c r="I35" s="125"/>
      <c r="J35" s="121"/>
      <c r="K35" s="127"/>
      <c r="L35" s="128"/>
      <c r="M35" s="129"/>
    </row>
    <row r="36" spans="2:13" ht="36" customHeight="1" x14ac:dyDescent="0.3">
      <c r="B36" s="121"/>
      <c r="C36" s="130"/>
      <c r="D36" s="123"/>
      <c r="E36" s="124"/>
      <c r="F36" s="125"/>
      <c r="G36" s="125"/>
      <c r="H36" s="125"/>
      <c r="I36" s="125"/>
    </row>
    <row r="37" spans="2:13" s="119" customFormat="1" x14ac:dyDescent="0.3">
      <c r="B37" s="121"/>
      <c r="C37" s="130"/>
      <c r="D37" s="126"/>
      <c r="E37" s="131"/>
      <c r="F37" s="132"/>
      <c r="G37" s="132"/>
      <c r="H37" s="132"/>
      <c r="I37" s="132"/>
    </row>
    <row r="38" spans="2:13" x14ac:dyDescent="0.3">
      <c r="B38" s="121"/>
      <c r="C38" s="130"/>
      <c r="D38" s="121"/>
      <c r="E38" s="124"/>
      <c r="F38" s="125"/>
      <c r="G38" s="125"/>
      <c r="H38" s="125"/>
      <c r="I38" s="125"/>
      <c r="J38" s="133"/>
    </row>
    <row r="39" spans="2:13" x14ac:dyDescent="0.3">
      <c r="B39" s="126"/>
      <c r="C39" s="119"/>
      <c r="D39" s="121"/>
      <c r="E39" s="124"/>
      <c r="F39" s="125"/>
      <c r="G39" s="125"/>
      <c r="H39" s="125"/>
      <c r="I39" s="125"/>
      <c r="J39" s="133"/>
    </row>
    <row r="40" spans="2:13" ht="38.25" customHeight="1" x14ac:dyDescent="0.3">
      <c r="B40" s="121"/>
      <c r="C40" s="122"/>
      <c r="D40" s="121"/>
      <c r="E40" s="124"/>
      <c r="F40" s="125"/>
      <c r="G40" s="125"/>
      <c r="H40" s="125"/>
      <c r="I40" s="125"/>
      <c r="J40" s="133"/>
    </row>
    <row r="41" spans="2:13" s="119" customFormat="1" x14ac:dyDescent="0.3">
      <c r="B41" s="121"/>
      <c r="C41" s="122"/>
      <c r="D41" s="126"/>
      <c r="E41" s="131"/>
      <c r="F41" s="132"/>
      <c r="G41" s="132"/>
      <c r="H41" s="132"/>
      <c r="I41" s="132"/>
    </row>
    <row r="42" spans="2:13" x14ac:dyDescent="0.3">
      <c r="B42" s="121"/>
      <c r="C42" s="122"/>
      <c r="D42" s="121"/>
      <c r="E42" s="124"/>
      <c r="F42" s="125"/>
      <c r="G42" s="125"/>
      <c r="H42" s="125"/>
      <c r="I42" s="125"/>
      <c r="J42" s="133"/>
    </row>
    <row r="43" spans="2:13" x14ac:dyDescent="0.3">
      <c r="B43" s="126"/>
      <c r="C43" s="119"/>
      <c r="D43" s="121"/>
      <c r="E43" s="124"/>
      <c r="F43" s="125"/>
      <c r="G43" s="125"/>
      <c r="H43" s="125"/>
      <c r="I43" s="125"/>
      <c r="J43" s="133"/>
    </row>
    <row r="44" spans="2:13" x14ac:dyDescent="0.3">
      <c r="B44" s="121"/>
      <c r="C44" s="122"/>
      <c r="D44" s="134"/>
      <c r="E44" s="134"/>
      <c r="F44" s="125"/>
      <c r="G44" s="125"/>
      <c r="H44" s="125"/>
      <c r="I44" s="125"/>
    </row>
    <row r="45" spans="2:13" s="119" customFormat="1" x14ac:dyDescent="0.3">
      <c r="B45" s="121"/>
      <c r="C45" s="122"/>
      <c r="D45" s="602"/>
      <c r="E45" s="602"/>
      <c r="F45" s="602"/>
      <c r="G45" s="135"/>
      <c r="H45" s="135"/>
      <c r="I45" s="136"/>
      <c r="J45" s="136"/>
    </row>
    <row r="46" spans="2:13" ht="15" customHeight="1" x14ac:dyDescent="0.3">
      <c r="B46" s="121"/>
      <c r="C46" s="137"/>
      <c r="D46" s="602"/>
      <c r="E46" s="602"/>
      <c r="F46" s="602"/>
      <c r="G46" s="135"/>
      <c r="H46" s="135"/>
      <c r="I46" s="138"/>
    </row>
    <row r="47" spans="2:13" x14ac:dyDescent="0.3">
      <c r="B47" s="139"/>
      <c r="C47" s="119"/>
      <c r="D47" s="602"/>
      <c r="E47" s="602"/>
      <c r="F47" s="602"/>
      <c r="G47" s="135"/>
      <c r="H47" s="135"/>
      <c r="I47" s="138"/>
    </row>
    <row r="48" spans="2:13" x14ac:dyDescent="0.3">
      <c r="B48" s="140"/>
      <c r="D48" s="602"/>
      <c r="E48" s="602"/>
      <c r="F48" s="602"/>
      <c r="G48" s="135"/>
      <c r="H48" s="135"/>
      <c r="I48" s="138"/>
    </row>
    <row r="49" spans="2:10" x14ac:dyDescent="0.3">
      <c r="B49" s="140"/>
      <c r="D49" s="602"/>
      <c r="E49" s="602"/>
      <c r="F49" s="602"/>
      <c r="G49" s="135"/>
      <c r="H49" s="135"/>
      <c r="I49" s="138"/>
    </row>
    <row r="50" spans="2:10" x14ac:dyDescent="0.3">
      <c r="B50" s="140"/>
      <c r="D50" s="602"/>
      <c r="E50" s="602"/>
      <c r="F50" s="602"/>
      <c r="G50" s="135"/>
      <c r="H50" s="135"/>
      <c r="I50" s="141"/>
      <c r="J50" s="142"/>
    </row>
    <row r="51" spans="2:10" x14ac:dyDescent="0.3">
      <c r="B51" s="140"/>
      <c r="E51" s="144"/>
      <c r="F51" s="145"/>
      <c r="G51" s="145"/>
      <c r="H51" s="145"/>
      <c r="I51" s="146"/>
    </row>
    <row r="52" spans="2:10" ht="63" customHeight="1" x14ac:dyDescent="0.3">
      <c r="B52" s="140"/>
      <c r="D52" s="147"/>
      <c r="E52" s="143"/>
      <c r="F52" s="143"/>
      <c r="G52" s="143"/>
      <c r="H52" s="143"/>
      <c r="I52" s="148"/>
    </row>
    <row r="53" spans="2:10" ht="18" x14ac:dyDescent="0.35">
      <c r="B53" s="140"/>
      <c r="D53" s="149"/>
      <c r="F53" s="150"/>
      <c r="G53" s="150"/>
      <c r="H53" s="150"/>
    </row>
    <row r="54" spans="2:10" x14ac:dyDescent="0.3">
      <c r="B54" s="151"/>
      <c r="D54" s="152"/>
      <c r="F54" s="150"/>
      <c r="G54" s="150"/>
      <c r="H54" s="150"/>
    </row>
    <row r="55" spans="2:10" x14ac:dyDescent="0.3">
      <c r="B55" s="153"/>
      <c r="E55" s="143"/>
      <c r="F55" s="143"/>
      <c r="G55" s="143"/>
      <c r="H55" s="143"/>
      <c r="I55" s="143"/>
    </row>
    <row r="56" spans="2:10" x14ac:dyDescent="0.3">
      <c r="B56" s="153"/>
    </row>
    <row r="57" spans="2:10" x14ac:dyDescent="0.3">
      <c r="B57" s="140"/>
    </row>
  </sheetData>
  <mergeCells count="41">
    <mergeCell ref="B25:C25"/>
    <mergeCell ref="B33:C33"/>
    <mergeCell ref="D45:F45"/>
    <mergeCell ref="D46:F46"/>
    <mergeCell ref="D47:F47"/>
    <mergeCell ref="D48:F48"/>
    <mergeCell ref="D49:F49"/>
    <mergeCell ref="D50:F50"/>
    <mergeCell ref="B26:C26"/>
    <mergeCell ref="B27:C27"/>
    <mergeCell ref="B29:C29"/>
    <mergeCell ref="B30:C30"/>
    <mergeCell ref="B31:C31"/>
    <mergeCell ref="B32:C32"/>
    <mergeCell ref="B28:C28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6:C7"/>
    <mergeCell ref="B8:C8"/>
    <mergeCell ref="B11:C11"/>
    <mergeCell ref="B12:C12"/>
    <mergeCell ref="B1:B4"/>
    <mergeCell ref="B5:K5"/>
    <mergeCell ref="I1:K4"/>
    <mergeCell ref="C1:H1"/>
    <mergeCell ref="C2:H2"/>
    <mergeCell ref="C3:H3"/>
    <mergeCell ref="C4:H4"/>
    <mergeCell ref="D6:K6"/>
    <mergeCell ref="B9:C9"/>
    <mergeCell ref="B10:C10"/>
  </mergeCells>
  <pageMargins left="0.7" right="0.7" top="0.75" bottom="0.75" header="0.3" footer="0.3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29</vt:i4>
      </vt:variant>
      <vt:variant>
        <vt:lpstr>Rangos con nombre</vt:lpstr>
      </vt:variant>
      <vt:variant>
        <vt:i4>29</vt:i4>
      </vt:variant>
    </vt:vector>
  </HeadingPairs>
  <TitlesOfParts>
    <vt:vector size="58" baseType="lpstr">
      <vt:lpstr>PRESUPUESTO OFICIAL</vt:lpstr>
      <vt:lpstr>A.I.U  OBRA LIC</vt:lpstr>
      <vt:lpstr>O.C. 1</vt:lpstr>
      <vt:lpstr>O.C. 2</vt:lpstr>
      <vt:lpstr>O.C. 3</vt:lpstr>
      <vt:lpstr>O.C. 4</vt:lpstr>
      <vt:lpstr>O.C. 5</vt:lpstr>
      <vt:lpstr>O.C. 6</vt:lpstr>
      <vt:lpstr>O.C. 7</vt:lpstr>
      <vt:lpstr>O.C. 8</vt:lpstr>
      <vt:lpstr>O.C. 9</vt:lpstr>
      <vt:lpstr>O.C. 10</vt:lpstr>
      <vt:lpstr>O.C. 11</vt:lpstr>
      <vt:lpstr>O.C. 12</vt:lpstr>
      <vt:lpstr>O.C. 13</vt:lpstr>
      <vt:lpstr>O.C. 14</vt:lpstr>
      <vt:lpstr>O.C. 15</vt:lpstr>
      <vt:lpstr>O.C. 16</vt:lpstr>
      <vt:lpstr>O.C. 17</vt:lpstr>
      <vt:lpstr>O.C. 18</vt:lpstr>
      <vt:lpstr>O.C. 19</vt:lpstr>
      <vt:lpstr>O.C. 20</vt:lpstr>
      <vt:lpstr>O.C. 21</vt:lpstr>
      <vt:lpstr>O.C. 22</vt:lpstr>
      <vt:lpstr>O.C. 23</vt:lpstr>
      <vt:lpstr>O.C. 24</vt:lpstr>
      <vt:lpstr>O.C. 25</vt:lpstr>
      <vt:lpstr>O.C. 26</vt:lpstr>
      <vt:lpstr>CRONOGRAMA GENERAL</vt:lpstr>
      <vt:lpstr>'A.I.U  OBRA LIC'!Área_de_impresión</vt:lpstr>
      <vt:lpstr>'CRONOGRAMA GENERAL'!Área_de_impresión</vt:lpstr>
      <vt:lpstr>'O.C. 1'!Área_de_impresión</vt:lpstr>
      <vt:lpstr>'O.C. 10'!Área_de_impresión</vt:lpstr>
      <vt:lpstr>'O.C. 11'!Área_de_impresión</vt:lpstr>
      <vt:lpstr>'O.C. 12'!Área_de_impresión</vt:lpstr>
      <vt:lpstr>'O.C. 13'!Área_de_impresión</vt:lpstr>
      <vt:lpstr>'O.C. 14'!Área_de_impresión</vt:lpstr>
      <vt:lpstr>'O.C. 15'!Área_de_impresión</vt:lpstr>
      <vt:lpstr>'O.C. 16'!Área_de_impresión</vt:lpstr>
      <vt:lpstr>'O.C. 17'!Área_de_impresión</vt:lpstr>
      <vt:lpstr>'O.C. 18'!Área_de_impresión</vt:lpstr>
      <vt:lpstr>'O.C. 19'!Área_de_impresión</vt:lpstr>
      <vt:lpstr>'O.C. 2'!Área_de_impresión</vt:lpstr>
      <vt:lpstr>'O.C. 20'!Área_de_impresión</vt:lpstr>
      <vt:lpstr>'O.C. 21'!Área_de_impresión</vt:lpstr>
      <vt:lpstr>'O.C. 22'!Área_de_impresión</vt:lpstr>
      <vt:lpstr>'O.C. 23'!Área_de_impresión</vt:lpstr>
      <vt:lpstr>'O.C. 24'!Área_de_impresión</vt:lpstr>
      <vt:lpstr>'O.C. 25'!Área_de_impresión</vt:lpstr>
      <vt:lpstr>'O.C. 26'!Área_de_impresión</vt:lpstr>
      <vt:lpstr>'O.C. 3'!Área_de_impresión</vt:lpstr>
      <vt:lpstr>'O.C. 4'!Área_de_impresión</vt:lpstr>
      <vt:lpstr>'O.C. 5'!Área_de_impresión</vt:lpstr>
      <vt:lpstr>'O.C. 6'!Área_de_impresión</vt:lpstr>
      <vt:lpstr>'O.C. 7'!Área_de_impresión</vt:lpstr>
      <vt:lpstr>'O.C. 8'!Área_de_impresión</vt:lpstr>
      <vt:lpstr>'O.C. 9'!Área_de_impresión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ARTUNDUAGA TRIVIÑO</dc:creator>
  <cp:lastModifiedBy>ALEJANDRO ARTUNDUAGA TRIVIÑO</cp:lastModifiedBy>
  <dcterms:created xsi:type="dcterms:W3CDTF">2026-07-01T16:51:17Z</dcterms:created>
  <dcterms:modified xsi:type="dcterms:W3CDTF">2026-10-07T16:56:55Z</dcterms:modified>
</cp:coreProperties>
</file>