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KOLLECT\Desktop\MESA DE SERVICIO\"/>
    </mc:Choice>
  </mc:AlternateContent>
  <xr:revisionPtr revIDLastSave="0" documentId="8_{80D46A68-6A0D-4A2B-834E-DA9B5964706A}" xr6:coauthVersionLast="47" xr6:coauthVersionMax="47" xr10:uidLastSave="{00000000-0000-0000-0000-000000000000}"/>
  <bookViews>
    <workbookView xWindow="-120" yWindow="-120" windowWidth="20730" windowHeight="11160" firstSheet="1" activeTab="2" xr2:uid="{00000000-000D-0000-FFFF-FFFF00000000}"/>
  </bookViews>
  <sheets>
    <sheet name="ANEXO 1 ANÁLISIS DE COTIZACIÓN" sheetId="1" r:id="rId1"/>
    <sheet name="ANEXO 2 RESULTADO COTIZACIONES" sheetId="5" r:id="rId2"/>
    <sheet name="ANEXO 3 - ESTUDIO DEL SECTOR " sheetId="6" r:id="rId3"/>
  </sheets>
  <definedNames>
    <definedName name="_xlnm.Print_Area" localSheetId="2">'ANEXO 3 - ESTUDIO DEL SECTOR '!$B$2:$J$36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6" i="6" l="1"/>
  <c r="O27" i="6" s="1"/>
  <c r="M26" i="6"/>
  <c r="M27" i="6" s="1"/>
  <c r="Q25" i="6" s="1"/>
  <c r="V20" i="1" l="1"/>
  <c r="X20" i="1"/>
  <c r="W20" i="1" l="1"/>
  <c r="Z20" i="1" s="1"/>
  <c r="X7" i="1"/>
  <c r="W7" i="1"/>
  <c r="V7" i="1"/>
  <c r="X10" i="1"/>
  <c r="W10" i="1"/>
  <c r="V10" i="1"/>
  <c r="X11" i="1"/>
  <c r="W11" i="1"/>
  <c r="V11" i="1"/>
  <c r="X12" i="1"/>
  <c r="W12" i="1"/>
  <c r="V12" i="1"/>
  <c r="X13" i="1"/>
  <c r="W13" i="1"/>
  <c r="V13" i="1"/>
  <c r="X14" i="1"/>
  <c r="W14" i="1"/>
  <c r="V14" i="1"/>
  <c r="X15" i="1"/>
  <c r="V15" i="1"/>
  <c r="X16" i="1"/>
  <c r="W16" i="1"/>
  <c r="V16" i="1"/>
  <c r="V17" i="1"/>
  <c r="W17" i="1"/>
  <c r="X17" i="1"/>
  <c r="V18" i="1"/>
  <c r="W18" i="1"/>
  <c r="X18" i="1"/>
  <c r="X19" i="1"/>
  <c r="W19" i="1"/>
  <c r="V19" i="1"/>
  <c r="V8" i="1"/>
  <c r="W8" i="1"/>
  <c r="X8" i="1"/>
  <c r="V9" i="1"/>
  <c r="W9" i="1"/>
  <c r="X9" i="1"/>
  <c r="W15" i="1"/>
  <c r="Y19" i="1" l="1"/>
  <c r="AB19" i="1"/>
  <c r="Y17" i="1"/>
  <c r="G19" i="5"/>
  <c r="I19" i="5" s="1"/>
  <c r="Z19" i="1"/>
  <c r="Y9" i="1"/>
  <c r="Y8" i="1"/>
  <c r="Z15" i="1"/>
  <c r="AB15" i="1" s="1"/>
  <c r="G15" i="5" s="1"/>
  <c r="I15" i="5" s="1"/>
  <c r="Z9" i="1"/>
  <c r="AB9" i="1" s="1"/>
  <c r="G9" i="5" s="1"/>
  <c r="I9" i="5" s="1"/>
  <c r="Y7" i="1"/>
  <c r="Z8" i="1"/>
  <c r="AB8" i="1" s="1"/>
  <c r="G8" i="5" s="1"/>
  <c r="I8" i="5" s="1"/>
  <c r="Z17" i="1"/>
  <c r="AB17" i="1" s="1"/>
  <c r="G17" i="5" s="1"/>
  <c r="I17" i="5" s="1"/>
  <c r="Y20" i="1"/>
  <c r="Y16" i="1"/>
  <c r="Z13" i="1"/>
  <c r="AB13" i="1" s="1"/>
  <c r="G13" i="5" s="1"/>
  <c r="I13" i="5" s="1"/>
  <c r="AB20" i="1"/>
  <c r="G20" i="5" s="1"/>
  <c r="I20" i="5" s="1"/>
  <c r="G20" i="6" s="1"/>
  <c r="Y10" i="1"/>
  <c r="Z11" i="1"/>
  <c r="AB11" i="1" s="1"/>
  <c r="G11" i="5" s="1"/>
  <c r="I11" i="5" s="1"/>
  <c r="Z12" i="1"/>
  <c r="AB12" i="1" s="1"/>
  <c r="G12" i="5" s="1"/>
  <c r="I12" i="5" s="1"/>
  <c r="Y13" i="1"/>
  <c r="Y12" i="1"/>
  <c r="Y11" i="1"/>
  <c r="Y14" i="1"/>
  <c r="Y15" i="1"/>
  <c r="Z16" i="1"/>
  <c r="AB16" i="1" s="1"/>
  <c r="G16" i="5" s="1"/>
  <c r="I16" i="5" s="1"/>
  <c r="Y18" i="1"/>
  <c r="AC19" i="1"/>
  <c r="Z18" i="1"/>
  <c r="AB18" i="1" s="1"/>
  <c r="G18" i="5" s="1"/>
  <c r="I18" i="5" s="1"/>
  <c r="Z14" i="1"/>
  <c r="AB14" i="1" s="1"/>
  <c r="G14" i="5" s="1"/>
  <c r="I14" i="5" s="1"/>
  <c r="Z10" i="1"/>
  <c r="AB10" i="1" s="1"/>
  <c r="G10" i="5" s="1"/>
  <c r="I10" i="5" s="1"/>
  <c r="J12" i="5" l="1"/>
  <c r="K12" i="5" s="1"/>
  <c r="L12" i="5" s="1"/>
  <c r="G12" i="6"/>
  <c r="J10" i="5"/>
  <c r="K10" i="5" s="1"/>
  <c r="G10" i="6"/>
  <c r="J11" i="5"/>
  <c r="K11" i="5" s="1"/>
  <c r="L11" i="5" s="1"/>
  <c r="G11" i="6"/>
  <c r="J14" i="5"/>
  <c r="K14" i="5" s="1"/>
  <c r="G14" i="6"/>
  <c r="J16" i="5"/>
  <c r="G16" i="6"/>
  <c r="K16" i="5"/>
  <c r="J9" i="5"/>
  <c r="K9" i="5" s="1"/>
  <c r="G9" i="6"/>
  <c r="J18" i="5"/>
  <c r="K18" i="5" s="1"/>
  <c r="G18" i="6"/>
  <c r="J20" i="5"/>
  <c r="K20" i="5" s="1"/>
  <c r="L20" i="5" s="1"/>
  <c r="J17" i="5"/>
  <c r="G17" i="6"/>
  <c r="K17" i="5"/>
  <c r="J15" i="5"/>
  <c r="K15" i="5" s="1"/>
  <c r="G15" i="6"/>
  <c r="J13" i="5"/>
  <c r="G13" i="6"/>
  <c r="J8" i="5"/>
  <c r="K8" i="5" s="1"/>
  <c r="L8" i="5" s="1"/>
  <c r="G8" i="6"/>
  <c r="J19" i="5"/>
  <c r="K19" i="5" s="1"/>
  <c r="L19" i="5" s="1"/>
  <c r="G19" i="6"/>
  <c r="AC15" i="1"/>
  <c r="AC12" i="1"/>
  <c r="AC11" i="1"/>
  <c r="AC8" i="1"/>
  <c r="AC13" i="1"/>
  <c r="AD19" i="1"/>
  <c r="AE19" i="1" s="1"/>
  <c r="AC9" i="1"/>
  <c r="AC16" i="1"/>
  <c r="AC20" i="1"/>
  <c r="AC17" i="1"/>
  <c r="AC10" i="1"/>
  <c r="AC14" i="1"/>
  <c r="AC18" i="1"/>
  <c r="Q13" i="6" l="1"/>
  <c r="R13" i="6" s="1"/>
  <c r="S13" i="6" s="1"/>
  <c r="T13" i="6" s="1"/>
  <c r="U13" i="6" s="1"/>
  <c r="L13" i="6"/>
  <c r="M13" i="6" s="1"/>
  <c r="N13" i="6" s="1"/>
  <c r="W13" i="6"/>
  <c r="X13" i="6" s="1"/>
  <c r="Y13" i="6" s="1"/>
  <c r="Z13" i="6" s="1"/>
  <c r="H13" i="6"/>
  <c r="I13" i="6" s="1"/>
  <c r="J13" i="6" s="1"/>
  <c r="L15" i="5"/>
  <c r="L9" i="5"/>
  <c r="H14" i="6"/>
  <c r="I14" i="6" s="1"/>
  <c r="J14" i="6" s="1"/>
  <c r="W14" i="6"/>
  <c r="X14" i="6" s="1"/>
  <c r="Y14" i="6" s="1"/>
  <c r="Z14" i="6" s="1"/>
  <c r="Q14" i="6"/>
  <c r="R14" i="6" s="1"/>
  <c r="S14" i="6" s="1"/>
  <c r="T14" i="6" s="1"/>
  <c r="U14" i="6" s="1"/>
  <c r="L14" i="6"/>
  <c r="L10" i="5"/>
  <c r="H19" i="6"/>
  <c r="I19" i="6" s="1"/>
  <c r="J19" i="6" s="1"/>
  <c r="L19" i="6"/>
  <c r="W19" i="6"/>
  <c r="Q19" i="6"/>
  <c r="R19" i="6" s="1"/>
  <c r="S19" i="6" s="1"/>
  <c r="T19" i="6" s="1"/>
  <c r="U19" i="6" s="1"/>
  <c r="H20" i="6"/>
  <c r="I20" i="6" s="1"/>
  <c r="J20" i="6" s="1"/>
  <c r="L20" i="6"/>
  <c r="M20" i="6" s="1"/>
  <c r="N20" i="6" s="1"/>
  <c r="W20" i="6"/>
  <c r="X20" i="6" s="1"/>
  <c r="Y20" i="6" s="1"/>
  <c r="Z20" i="6" s="1"/>
  <c r="Q20" i="6"/>
  <c r="R20" i="6" s="1"/>
  <c r="S20" i="6" s="1"/>
  <c r="T20" i="6" s="1"/>
  <c r="U20" i="6" s="1"/>
  <c r="L18" i="5"/>
  <c r="Q8" i="6"/>
  <c r="R8" i="6" s="1"/>
  <c r="S8" i="6" s="1"/>
  <c r="T8" i="6" s="1"/>
  <c r="U8" i="6" s="1"/>
  <c r="H8" i="6"/>
  <c r="I8" i="6" s="1"/>
  <c r="J8" i="6" s="1"/>
  <c r="L8" i="6"/>
  <c r="W8" i="6"/>
  <c r="X8" i="6" s="1"/>
  <c r="Y8" i="6" s="1"/>
  <c r="Z8" i="6" s="1"/>
  <c r="H15" i="6"/>
  <c r="I15" i="6" s="1"/>
  <c r="J15" i="6" s="1"/>
  <c r="L15" i="6"/>
  <c r="M15" i="6" s="1"/>
  <c r="N15" i="6" s="1"/>
  <c r="W15" i="6"/>
  <c r="Q15" i="6"/>
  <c r="R15" i="6" s="1"/>
  <c r="S15" i="6" s="1"/>
  <c r="T15" i="6" s="1"/>
  <c r="U15" i="6" s="1"/>
  <c r="H17" i="6"/>
  <c r="I17" i="6"/>
  <c r="J17" i="6" s="1"/>
  <c r="Q17" i="6"/>
  <c r="R17" i="6" s="1"/>
  <c r="S17" i="6" s="1"/>
  <c r="T17" i="6" s="1"/>
  <c r="U17" i="6" s="1"/>
  <c r="L17" i="6"/>
  <c r="W17" i="6"/>
  <c r="X17" i="6" s="1"/>
  <c r="Y17" i="6" s="1"/>
  <c r="Z17" i="6" s="1"/>
  <c r="Q16" i="6"/>
  <c r="R16" i="6" s="1"/>
  <c r="S16" i="6" s="1"/>
  <c r="T16" i="6" s="1"/>
  <c r="U16" i="6" s="1"/>
  <c r="W16" i="6"/>
  <c r="X16" i="6" s="1"/>
  <c r="Y16" i="6" s="1"/>
  <c r="Z16" i="6" s="1"/>
  <c r="H16" i="6"/>
  <c r="I16" i="6" s="1"/>
  <c r="J16" i="6" s="1"/>
  <c r="L16" i="6"/>
  <c r="L14" i="5"/>
  <c r="H10" i="6"/>
  <c r="I10" i="6" s="1"/>
  <c r="J10" i="6" s="1"/>
  <c r="W10" i="6"/>
  <c r="X10" i="6" s="1"/>
  <c r="Y10" i="6" s="1"/>
  <c r="Z10" i="6" s="1"/>
  <c r="L10" i="6"/>
  <c r="M10" i="6" s="1"/>
  <c r="N10" i="6" s="1"/>
  <c r="Q10" i="6"/>
  <c r="R10" i="6" s="1"/>
  <c r="S10" i="6" s="1"/>
  <c r="T10" i="6" s="1"/>
  <c r="U10" i="6" s="1"/>
  <c r="Q12" i="6"/>
  <c r="R12" i="6" s="1"/>
  <c r="S12" i="6" s="1"/>
  <c r="T12" i="6" s="1"/>
  <c r="U12" i="6" s="1"/>
  <c r="L12" i="6"/>
  <c r="M12" i="6" s="1"/>
  <c r="N12" i="6" s="1"/>
  <c r="W12" i="6"/>
  <c r="X12" i="6" s="1"/>
  <c r="Y12" i="6" s="1"/>
  <c r="Z12" i="6" s="1"/>
  <c r="H12" i="6"/>
  <c r="I12" i="6" s="1"/>
  <c r="J12" i="6" s="1"/>
  <c r="K13" i="5"/>
  <c r="L13" i="5" s="1"/>
  <c r="L17" i="5"/>
  <c r="H18" i="6"/>
  <c r="I18" i="6" s="1"/>
  <c r="J18" i="6" s="1"/>
  <c r="Q18" i="6"/>
  <c r="R18" i="6" s="1"/>
  <c r="S18" i="6" s="1"/>
  <c r="T18" i="6" s="1"/>
  <c r="U18" i="6" s="1"/>
  <c r="L18" i="6"/>
  <c r="M18" i="6" s="1"/>
  <c r="N18" i="6" s="1"/>
  <c r="W18" i="6"/>
  <c r="X18" i="6" s="1"/>
  <c r="Y18" i="6" s="1"/>
  <c r="Z18" i="6" s="1"/>
  <c r="L9" i="6"/>
  <c r="H9" i="6"/>
  <c r="I9" i="6" s="1"/>
  <c r="J9" i="6" s="1"/>
  <c r="Q9" i="6"/>
  <c r="R9" i="6" s="1"/>
  <c r="S9" i="6" s="1"/>
  <c r="T9" i="6" s="1"/>
  <c r="U9" i="6" s="1"/>
  <c r="W9" i="6"/>
  <c r="X9" i="6" s="1"/>
  <c r="Y9" i="6" s="1"/>
  <c r="Z9" i="6" s="1"/>
  <c r="L16" i="5"/>
  <c r="L11" i="6"/>
  <c r="M11" i="6" s="1"/>
  <c r="N11" i="6" s="1"/>
  <c r="H11" i="6"/>
  <c r="I11" i="6" s="1"/>
  <c r="J11" i="6" s="1"/>
  <c r="W11" i="6"/>
  <c r="X11" i="6" s="1"/>
  <c r="Y11" i="6" s="1"/>
  <c r="Z11" i="6" s="1"/>
  <c r="Q11" i="6"/>
  <c r="R11" i="6" s="1"/>
  <c r="S11" i="6" s="1"/>
  <c r="T11" i="6" s="1"/>
  <c r="U11" i="6" s="1"/>
  <c r="AD15" i="1"/>
  <c r="AD10" i="1"/>
  <c r="AE10" i="1" s="1"/>
  <c r="AD17" i="1"/>
  <c r="AD16" i="1"/>
  <c r="AD8" i="1"/>
  <c r="AD11" i="1"/>
  <c r="AD18" i="1"/>
  <c r="AD20" i="1"/>
  <c r="AD9" i="1"/>
  <c r="AD13" i="1"/>
  <c r="AD14" i="1"/>
  <c r="AD12" i="1"/>
  <c r="M9" i="6" l="1"/>
  <c r="N9" i="6" s="1"/>
  <c r="M16" i="6"/>
  <c r="N16" i="6" s="1"/>
  <c r="M8" i="6"/>
  <c r="N8" i="6" s="1"/>
  <c r="X19" i="6"/>
  <c r="Y19" i="6" s="1"/>
  <c r="Z19" i="6" s="1"/>
  <c r="M14" i="6"/>
  <c r="N14" i="6"/>
  <c r="M17" i="6"/>
  <c r="N17" i="6" s="1"/>
  <c r="M19" i="6"/>
  <c r="N19" i="6"/>
  <c r="AA11" i="6"/>
  <c r="AB11" i="6" s="1"/>
  <c r="AD11" i="6" s="1"/>
  <c r="O11" i="6"/>
  <c r="X15" i="6"/>
  <c r="Y15" i="6" s="1"/>
  <c r="Z15" i="6" s="1"/>
  <c r="AB15" i="6" s="1"/>
  <c r="AA20" i="6"/>
  <c r="AB20" i="6" s="1"/>
  <c r="O20" i="6"/>
  <c r="AA13" i="6"/>
  <c r="AB13" i="6" s="1"/>
  <c r="O13" i="6"/>
  <c r="AD13" i="6" s="1"/>
  <c r="AA18" i="6"/>
  <c r="AB18" i="6" s="1"/>
  <c r="AD18" i="6" s="1"/>
  <c r="O18" i="6"/>
  <c r="AA12" i="6"/>
  <c r="AB12" i="6" s="1"/>
  <c r="O12" i="6"/>
  <c r="AA10" i="6"/>
  <c r="AB10" i="6" s="1"/>
  <c r="AD10" i="6" s="1"/>
  <c r="O10" i="6"/>
  <c r="AA15" i="6"/>
  <c r="O15" i="6"/>
  <c r="AE15" i="1"/>
  <c r="AE14" i="1"/>
  <c r="AE18" i="1"/>
  <c r="AE9" i="1"/>
  <c r="AE8" i="1"/>
  <c r="AE17" i="1"/>
  <c r="AE12" i="1"/>
  <c r="AE13" i="1"/>
  <c r="AE20" i="1"/>
  <c r="AE11" i="1"/>
  <c r="AE16" i="1"/>
  <c r="AD20" i="6" l="1"/>
  <c r="O16" i="6"/>
  <c r="AA16" i="6"/>
  <c r="AB16" i="6" s="1"/>
  <c r="O17" i="6"/>
  <c r="AA17" i="6"/>
  <c r="AB17" i="6" s="1"/>
  <c r="AD15" i="6"/>
  <c r="AA19" i="6"/>
  <c r="AB19" i="6" s="1"/>
  <c r="O19" i="6"/>
  <c r="O14" i="6"/>
  <c r="AA14" i="6"/>
  <c r="AB14" i="6" s="1"/>
  <c r="O8" i="6"/>
  <c r="AA8" i="6"/>
  <c r="AB8" i="6" s="1"/>
  <c r="O9" i="6"/>
  <c r="AA9" i="6"/>
  <c r="AB9" i="6" s="1"/>
  <c r="AD12" i="6"/>
  <c r="Z7" i="1"/>
  <c r="AB7" i="1" s="1"/>
  <c r="G7" i="5" s="1"/>
  <c r="I7" i="5" s="1"/>
  <c r="AD8" i="6" l="1"/>
  <c r="AD16" i="6"/>
  <c r="AD17" i="6"/>
  <c r="J7" i="5"/>
  <c r="K7" i="5" s="1"/>
  <c r="L7" i="5" s="1"/>
  <c r="L21" i="5" s="1"/>
  <c r="G7" i="6"/>
  <c r="AD19" i="6"/>
  <c r="AD9" i="6"/>
  <c r="AD14" i="6"/>
  <c r="AC7" i="1"/>
  <c r="H20" i="1"/>
  <c r="L7" i="6" l="1"/>
  <c r="W7" i="6"/>
  <c r="Q7" i="6"/>
  <c r="R7" i="6" s="1"/>
  <c r="S7" i="6" s="1"/>
  <c r="T7" i="6" s="1"/>
  <c r="U7" i="6" s="1"/>
  <c r="H7" i="6"/>
  <c r="I7" i="6" s="1"/>
  <c r="J7" i="6" s="1"/>
  <c r="J21" i="6" s="1"/>
  <c r="AD7" i="1"/>
  <c r="AE7" i="1" s="1"/>
  <c r="H9" i="1"/>
  <c r="J9" i="1" s="1"/>
  <c r="H12" i="1"/>
  <c r="J12" i="1" s="1"/>
  <c r="H15" i="1"/>
  <c r="J15" i="1" s="1"/>
  <c r="J20" i="1"/>
  <c r="X7" i="6" l="1"/>
  <c r="Y7" i="6" s="1"/>
  <c r="Z7" i="6" s="1"/>
  <c r="M7" i="6"/>
  <c r="N7" i="6" s="1"/>
  <c r="AA7" i="6" s="1"/>
  <c r="U21" i="6"/>
  <c r="T21" i="6"/>
  <c r="AE21" i="1"/>
  <c r="D3" i="5"/>
  <c r="AB7" i="6" l="1"/>
  <c r="Z21" i="6"/>
  <c r="O7" i="6"/>
  <c r="O21" i="6" s="1"/>
  <c r="H6" i="1"/>
  <c r="J6" i="1" s="1"/>
  <c r="AD7" i="6" l="1"/>
  <c r="AD21" i="6" s="1"/>
  <c r="F30" i="6" s="1"/>
  <c r="AB21" i="6"/>
  <c r="AA21" i="6"/>
</calcChain>
</file>

<file path=xl/sharedStrings.xml><?xml version="1.0" encoding="utf-8"?>
<sst xmlns="http://schemas.openxmlformats.org/spreadsheetml/2006/main" count="259" uniqueCount="102">
  <si>
    <t>ANEXO 1 - ANÁLISIS DE COTIZACIONES</t>
  </si>
  <si>
    <t>DESCRIPCIÓN DE LA NECESIDAD</t>
  </si>
  <si>
    <t xml:space="preserve">PROMEDIO                                                                                </t>
  </si>
  <si>
    <t>MEDIA ARITMÉTICA BAJA</t>
  </si>
  <si>
    <t>ANÁLISIS DE COTIZACIONES</t>
  </si>
  <si>
    <t>Ítem</t>
  </si>
  <si>
    <t>Descripción del Bien o Servicio</t>
  </si>
  <si>
    <t>Unidad de Medida</t>
  </si>
  <si>
    <t>Cantidad</t>
  </si>
  <si>
    <t>Valor Unitario
Mensual sin IVA</t>
  </si>
  <si>
    <t>25 % &lt; / &gt;</t>
  </si>
  <si>
    <t>Valor Unitario Mensual 
sin IVA</t>
  </si>
  <si>
    <t>Valor Unitario Mensual IVA</t>
  </si>
  <si>
    <t>Valor Unitario Mensual Incluido IVA</t>
  </si>
  <si>
    <t>Valor Total Mensual
Incluido IVA</t>
  </si>
  <si>
    <t>TOTAL</t>
  </si>
  <si>
    <t>NOTAS:</t>
  </si>
  <si>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</si>
  <si>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Elaboró</t>
  </si>
  <si>
    <t>Aprobó</t>
  </si>
  <si>
    <t>Valor Mensual IVA</t>
  </si>
  <si>
    <t>Valor Unitario Mesual Incluido IVA</t>
  </si>
  <si>
    <t>Valor Total Mensual 
Incluido IVA</t>
  </si>
  <si>
    <t xml:space="preserve">ANEXO 3 - PROYECCIÓN DE COSTOS </t>
  </si>
  <si>
    <t xml:space="preserve">ANÁLISIS DE COTIZACIONES </t>
  </si>
  <si>
    <t xml:space="preserve">PROYECCIÓN DE COSTOS </t>
  </si>
  <si>
    <t>VALOR UNITARIO MENSUAL
SIN IVA</t>
  </si>
  <si>
    <t xml:space="preserve">TOTAL  </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</si>
  <si>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</si>
  <si>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</si>
  <si>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Catherine Herrera Muñoz
Profesional Equipo Estudio del Sector
Subdirección Nacional de Gestión Contractual</t>
  </si>
  <si>
    <t>Servicio integral de Mesa de servicios</t>
  </si>
  <si>
    <t>Valor Global</t>
  </si>
  <si>
    <t>1.1</t>
  </si>
  <si>
    <t>Gerente de Proyecto</t>
  </si>
  <si>
    <t xml:space="preserve">Persona </t>
  </si>
  <si>
    <t>1.2</t>
  </si>
  <si>
    <t>Coordinador de Agentes de Mesa</t>
  </si>
  <si>
    <t>1.3</t>
  </si>
  <si>
    <t>Coordinador Técnicos de Soporte en Sitio Nacional</t>
  </si>
  <si>
    <t>1.4</t>
  </si>
  <si>
    <t>Agente de mesa</t>
  </si>
  <si>
    <t>1.5</t>
  </si>
  <si>
    <t>Personal técnico y operación en sitio</t>
  </si>
  <si>
    <t>1.6</t>
  </si>
  <si>
    <t xml:space="preserve">Administrador de Actualización de Equipos TI </t>
  </si>
  <si>
    <t>1.7</t>
  </si>
  <si>
    <t xml:space="preserve">Gestor de Incidentes y Solicitudes de Servicio </t>
  </si>
  <si>
    <t>1.8</t>
  </si>
  <si>
    <t xml:space="preserve">Gestor de Problemas </t>
  </si>
  <si>
    <t>1.9</t>
  </si>
  <si>
    <t xml:space="preserve">Gestor de Cambios y Liberaciones </t>
  </si>
  <si>
    <t>1.10</t>
  </si>
  <si>
    <t xml:space="preserve">Gestor de Activos y Configuración (CMDB) </t>
  </si>
  <si>
    <t>1.11</t>
  </si>
  <si>
    <t xml:space="preserve">Gestor de Conocimiento y Mejora Continua </t>
  </si>
  <si>
    <t>1.12</t>
  </si>
  <si>
    <t xml:space="preserve">Gestor de Calidad del Servicio </t>
  </si>
  <si>
    <t>1.13</t>
  </si>
  <si>
    <t>Implementación, Licenciamiento, Soporte y Administración De Una Herramienta De Gestión ITSM.</t>
  </si>
  <si>
    <t>COTIZACIÓN 2 - COINSA S.A.S.</t>
  </si>
  <si>
    <t>COTIZACIÓN 3 - S3 - SIMPLE SMART SPEEDY</t>
  </si>
  <si>
    <t>COTIZACIÓN 4 - PC LOGIN.COM S.A.S.</t>
  </si>
  <si>
    <t>COTIZACIÓN 5 - TSG THE IT EXPERTS S.A.S.</t>
  </si>
  <si>
    <t>COTIZACIÓN 7 -  GROW DATA S.A.S.</t>
  </si>
  <si>
    <t>1) Se realizó el estudio con SIETE (7) cotizaciones, las cuales cumplen con lo solicitado por la Fiscalía General de la Nación.</t>
  </si>
  <si>
    <t>3) A fin de establecer precios de referencia representativos, la elección del método de cálculo se fundamentó en la dispersión de las ofertas. De este modo, para los ítems 1.1 al 1.12 y el ítem 2, se utilizó la fórmula de media aritmética baja, debido a que el diferencial entre la oferta menor y el promedio supera el 25%, denotando una distancia considerable entre los precios. En contraste, para el ítem 1.13 se optó por la fórmula de promedio, ya que la diferencia entre la oferta más baja y la media refleja un margen estrecho y un comportamiento comercial uniforme.</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</si>
  <si>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</si>
  <si>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</si>
  <si>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2) De las cotizaciones 4, 5, 6 y 7, se determinó excluir del análisis los ítems que se relacionan a continuación, por identificarse como valores atípicos frente al comportamiento del mercado: de la cotización 2 (COINSA S.A.S.) el ítem 2, de la 4 (PC LOGIN.COM S.A.S.), los ítems 1.5, 1.6, 1.9, 1.11, 1.12 y 2; de la 5 (TSG THE IT EXPERTS S.A.S.), el ítem 1.13; de la 6 (B2B TIC GLOBAL S.A.S.), los ítems 1.1, 1.4, 1.5, 1.6, 1.7, 1.8, 1.9, 1.10, 1.11, 1.12, 1.13 y 2; y de la 7 (GROW DATA S.A.S.), el ítem 1.13. Esta decisión se fundamenta en que dichos valores exceden los límites inferior y superior establecidos mediante el método del rango intercuartílico (Q1 - 25%), evidenciando una desviación significativa respecto de las referencias. Lo anterior, en cumplimiento de lo previsto en el numeral 8.3.4 de la Guía para la Elaboración de Estudios de Sector.</t>
  </si>
  <si>
    <t>Notas:</t>
  </si>
  <si>
    <t xml:space="preserve">VALOR MENSUAL VIGENCIAS
 2026, 2027 y 2028 </t>
  </si>
  <si>
    <t>PRESUPUESTO 2027 (12 MESES)</t>
  </si>
  <si>
    <t>VALOR TOTAL MENSUAL DE LA MESA DE SERVICIOS INCLUIDO IVA POR VEINTICUATRO (24) MESES</t>
  </si>
  <si>
    <t>Valor Unitario Diario
sin IVA</t>
  </si>
  <si>
    <t>Valor IVA Unitario Diario</t>
  </si>
  <si>
    <t>Valor Unitario Diario Incluido IVA</t>
  </si>
  <si>
    <t>Valor Total por 12 Meses
Incluido IVA</t>
  </si>
  <si>
    <t>Valor Total
Incluido IVA</t>
  </si>
  <si>
    <t>Bolsa de Repuestos</t>
  </si>
  <si>
    <t xml:space="preserve">EL PRESUPUESTO TOTAL ASIGNADO, INCLUIDO LA BOLSA DE REPUESTOS FIJA ES POR </t>
  </si>
  <si>
    <t>2) El valor asignado a la bolsa de repuestos se establece como un monto fijo, previamente determinado por la Entidad con base en las cotizaciones recibidas y las especificaciones técnicas requeridas, por lo tanto, no será objeto de subasta ni de modificación durante el desarrollo del proceso, debiendo los oferentes acogerlo en los términos establecidos.</t>
  </si>
  <si>
    <t>PRESTAR EL SERVICIO INTEGRAL DE MESA DE SERVICIOS Y SOPORTE TÉCNICO.</t>
  </si>
  <si>
    <t>ANEXO 3 - ESTUDIO DEL SECTOR</t>
  </si>
  <si>
    <t>Valor Total por 8 Días
Incluido IVA</t>
  </si>
  <si>
    <t xml:space="preserve">Componentes de la Mesa integral de Servicios </t>
  </si>
  <si>
    <t>PRESUPUESTO 2028 (11 MESES Y 23 DÍAS)</t>
  </si>
  <si>
    <t>Valor Total por 11 Meses y 23 Días
Incluido IVA</t>
  </si>
  <si>
    <t xml:space="preserve">VALOR MENSUAL VIGENCIA
2027  </t>
  </si>
  <si>
    <t>VALOR MENSUAL VIGENCIA
2028</t>
  </si>
  <si>
    <t>Valor Unitario Mensual
sin IVA</t>
  </si>
  <si>
    <t>Valor IVA Unitario Mensual</t>
  </si>
  <si>
    <t>Valor Unitario Mesual Incluido IVA 23 días</t>
  </si>
  <si>
    <t>8 DÍAS DE DICIEMBRE DE 2026 (24 AL31)</t>
  </si>
  <si>
    <t>COTIZACIÓN 6 - B2B TIC GLOBAL S.A.S.</t>
  </si>
  <si>
    <t>COTIZACIÓN 1 - SONDA DE COLOMBIA S.A.</t>
  </si>
  <si>
    <t>VALOR MENSUAL BOLSA</t>
  </si>
  <si>
    <t xml:space="preserve">Valor Mensual Incluido IVA
</t>
  </si>
  <si>
    <t>VALOR TOTAL BOLSA DE REPUESTOS POR VEINTICUATRO MESES VIGENCIA 2027 Y 2028</t>
  </si>
  <si>
    <t>Vanessa González Villalba
Profesional Equipo Estudio del Sector
Subdirección Nacional de Gestión Contractual</t>
  </si>
  <si>
    <t>Fecha de elaboración:06/10/2026</t>
  </si>
  <si>
    <t>Fecha de elaboración: 06/10/2026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</si>
</sst>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_-&quot;$&quot;* #,##0.00_-;\-&quot;$&quot;* #,##0.00_-;_-&quot;$&quot;* &quot;-&quot;??_-;_-@_-"/>
    <numFmt numFmtId="166" formatCode="&quot;$&quot;#,##0.00"/>
    <numFmt numFmtId="167" formatCode="&quot;$&quot;\ #,##0.00"/>
    <numFmt numFmtId="168" formatCode="&quot;$&quot;\ #,##0.000"/>
  </numFmts>
  <fonts count="19" x14ac:knownFonts="1">
    <font>
      <sz val="11"/>
      <color theme="1"/>
      <name val="Aptos Narrow"/>
      <charset val="134"/>
      <scheme val="minor"/>
    </font>
    <font>
      <sz val="11"/>
      <color theme="1"/>
      <name val="Aptos Narrow"/>
      <family val="2"/>
      <scheme val="minor"/>
    </font>
    <font>
      <sz val="10"/>
      <color theme="1"/>
      <name val="Arial Narrow"/>
      <family val="2"/>
    </font>
    <font>
      <b/>
      <sz val="10"/>
      <color theme="1"/>
      <name val="Arial Narrow"/>
      <family val="2"/>
    </font>
    <font>
      <b/>
      <sz val="10"/>
      <color rgb="FF000000"/>
      <name val="Arial Narrow"/>
      <family val="2"/>
    </font>
    <font>
      <b/>
      <sz val="10"/>
      <name val="Arial Narrow"/>
      <family val="2"/>
    </font>
    <font>
      <sz val="10"/>
      <name val="Arial Narrow"/>
      <family val="2"/>
    </font>
    <font>
      <sz val="8"/>
      <name val="Arial Narrow"/>
      <family val="2"/>
    </font>
    <font>
      <sz val="10"/>
      <color rgb="FFFF0000"/>
      <name val="Arial Narrow"/>
      <family val="2"/>
    </font>
    <font>
      <sz val="8"/>
      <color theme="1"/>
      <name val="Arial Narrow"/>
      <family val="2"/>
    </font>
    <font>
      <b/>
      <sz val="10"/>
      <color rgb="FFFF0000"/>
      <name val="Arial Narrow"/>
      <family val="2"/>
    </font>
    <font>
      <b/>
      <sz val="10"/>
      <color indexed="10"/>
      <name val="Arial Narrow"/>
      <family val="2"/>
    </font>
    <font>
      <sz val="11"/>
      <color theme="1"/>
      <name val="Aptos Narrow"/>
      <family val="2"/>
      <scheme val="minor"/>
    </font>
    <font>
      <b/>
      <sz val="11"/>
      <color theme="1"/>
      <name val="Aptos Narrow"/>
      <family val="2"/>
      <scheme val="minor"/>
    </font>
    <font>
      <sz val="10"/>
      <color rgb="FF000000"/>
      <name val="Times New Roman"/>
      <family val="1"/>
    </font>
    <font>
      <sz val="10"/>
      <name val="Arial"/>
      <family val="2"/>
    </font>
    <font>
      <sz val="12"/>
      <color theme="1"/>
      <name val="Aptos Narrow"/>
      <family val="2"/>
      <scheme val="minor"/>
    </font>
    <font>
      <sz val="8"/>
      <name val="Aptos Narrow"/>
      <family val="2"/>
      <scheme val="minor"/>
    </font>
    <font>
      <b/>
      <sz val="13"/>
      <color theme="1"/>
      <name val="Arial Narrow"/>
      <family val="2"/>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3" tint="0.749992370372631"/>
        <bgColor indexed="64"/>
      </patternFill>
    </fill>
    <fill>
      <patternFill patternType="solid">
        <fgColor theme="0" tint="-0.14996795556505021"/>
        <bgColor indexed="64"/>
      </patternFill>
    </fill>
    <fill>
      <patternFill patternType="solid">
        <fgColor rgb="FFD9D9D9"/>
        <bgColor indexed="64"/>
      </patternFill>
    </fill>
    <fill>
      <patternFill patternType="solid">
        <fgColor indexed="22"/>
        <bgColor indexed="64"/>
      </patternFill>
    </fill>
    <fill>
      <patternFill patternType="solid">
        <fgColor theme="3" tint="0.89996032593768116"/>
        <bgColor indexed="64"/>
      </patternFill>
    </fill>
    <fill>
      <patternFill patternType="solid">
        <fgColor theme="3" tint="0.89999084444715716"/>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0.249977111117893"/>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rgb="FF000000"/>
      </bottom>
      <diagonal/>
    </border>
    <border>
      <left style="thin">
        <color auto="1"/>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s>
  <cellStyleXfs count="13">
    <xf numFmtId="0" fontId="0" fillId="0" borderId="0"/>
    <xf numFmtId="164" fontId="12"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13" fillId="0" borderId="0" applyNumberFormat="0" applyFill="0" applyBorder="0" applyAlignment="0" applyProtection="0"/>
    <xf numFmtId="0" fontId="14" fillId="0" borderId="0"/>
    <xf numFmtId="0" fontId="15" fillId="0" borderId="0"/>
    <xf numFmtId="0" fontId="12" fillId="0" borderId="0"/>
    <xf numFmtId="0" fontId="16" fillId="0" borderId="0"/>
    <xf numFmtId="0" fontId="15" fillId="0" borderId="0"/>
    <xf numFmtId="0" fontId="1" fillId="0" borderId="0"/>
    <xf numFmtId="0" fontId="1" fillId="0" borderId="0"/>
  </cellStyleXfs>
  <cellXfs count="184">
    <xf numFmtId="0" fontId="0" fillId="0" borderId="0" xfId="0"/>
    <xf numFmtId="0" fontId="2" fillId="2" borderId="0" xfId="0" applyFont="1" applyFill="1"/>
    <xf numFmtId="0" fontId="2" fillId="0" borderId="0" xfId="0" applyFont="1"/>
    <xf numFmtId="0" fontId="4" fillId="4" borderId="7"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horizontal="justify" vertical="center" wrapText="1"/>
    </xf>
    <xf numFmtId="166" fontId="2" fillId="0" borderId="1" xfId="0" applyNumberFormat="1" applyFont="1" applyBorder="1" applyAlignment="1">
      <alignment horizontal="center" vertical="center"/>
    </xf>
    <xf numFmtId="0" fontId="5" fillId="2" borderId="0" xfId="0" applyFont="1" applyFill="1" applyAlignment="1">
      <alignment vertical="center" wrapText="1"/>
    </xf>
    <xf numFmtId="0" fontId="7" fillId="2" borderId="1" xfId="0" applyFont="1" applyFill="1" applyBorder="1" applyAlignment="1">
      <alignment horizontal="center" vertical="center" wrapText="1"/>
    </xf>
    <xf numFmtId="167" fontId="3" fillId="5" borderId="1" xfId="0" applyNumberFormat="1" applyFont="1" applyFill="1" applyBorder="1" applyAlignment="1">
      <alignment horizontal="center" vertical="center"/>
    </xf>
    <xf numFmtId="0" fontId="3" fillId="6" borderId="1" xfId="0" applyFont="1" applyFill="1" applyBorder="1" applyAlignment="1">
      <alignment horizontal="center" vertical="center" wrapText="1"/>
    </xf>
    <xf numFmtId="0" fontId="3" fillId="0" borderId="0" xfId="0" applyFont="1"/>
    <xf numFmtId="0" fontId="3" fillId="7" borderId="1" xfId="0" applyFont="1" applyFill="1" applyBorder="1" applyAlignment="1">
      <alignment horizontal="center" vertical="center" wrapText="1"/>
    </xf>
    <xf numFmtId="167" fontId="2" fillId="0" borderId="1" xfId="0" applyNumberFormat="1" applyFont="1" applyBorder="1" applyAlignment="1">
      <alignment horizontal="center" vertical="center"/>
    </xf>
    <xf numFmtId="0" fontId="2" fillId="2" borderId="0" xfId="0" applyFont="1" applyFill="1" applyAlignment="1">
      <alignment horizontal="justify" vertical="center" wrapText="1"/>
    </xf>
    <xf numFmtId="0" fontId="5" fillId="0" borderId="0" xfId="0" applyFont="1" applyAlignment="1">
      <alignment vertical="center"/>
    </xf>
    <xf numFmtId="0" fontId="6" fillId="0" borderId="0" xfId="0" applyFont="1" applyAlignment="1">
      <alignment vertical="center"/>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8" fillId="2" borderId="0" xfId="0" applyFont="1" applyFill="1"/>
    <xf numFmtId="0" fontId="5" fillId="2" borderId="3" xfId="8" applyFont="1" applyFill="1" applyBorder="1" applyAlignment="1">
      <alignment horizontal="left" vertical="center" wrapText="1"/>
    </xf>
    <xf numFmtId="10" fontId="5" fillId="2" borderId="0" xfId="2" applyNumberFormat="1" applyFont="1" applyFill="1" applyBorder="1" applyAlignment="1">
      <alignment horizontal="center" vertical="center" wrapText="1"/>
    </xf>
    <xf numFmtId="164" fontId="2" fillId="0" borderId="0" xfId="1" applyFont="1"/>
    <xf numFmtId="167" fontId="2" fillId="0" borderId="0" xfId="0" applyNumberFormat="1" applyFont="1"/>
    <xf numFmtId="167" fontId="6" fillId="2" borderId="0" xfId="0" applyNumberFormat="1" applyFont="1" applyFill="1" applyAlignment="1">
      <alignment vertical="center" wrapText="1"/>
    </xf>
    <xf numFmtId="0" fontId="2" fillId="0" borderId="0" xfId="0" applyFont="1" applyAlignment="1">
      <alignment vertical="center" wrapText="1"/>
    </xf>
    <xf numFmtId="10" fontId="2" fillId="0" borderId="0" xfId="2" applyNumberFormat="1" applyFont="1" applyAlignment="1">
      <alignment vertical="center"/>
    </xf>
    <xf numFmtId="10" fontId="2" fillId="2" borderId="0" xfId="2" applyNumberFormat="1" applyFont="1" applyFill="1" applyBorder="1" applyAlignment="1">
      <alignment vertical="center"/>
    </xf>
    <xf numFmtId="167" fontId="2" fillId="2" borderId="0" xfId="0" applyNumberFormat="1" applyFont="1" applyFill="1"/>
    <xf numFmtId="0" fontId="4" fillId="4" borderId="11" xfId="0" applyFont="1" applyFill="1" applyBorder="1" applyAlignment="1">
      <alignment horizontal="center" vertical="center" wrapText="1"/>
    </xf>
    <xf numFmtId="0" fontId="4" fillId="4" borderId="0" xfId="0" applyFont="1" applyFill="1" applyAlignment="1">
      <alignment horizontal="center" vertical="center" wrapText="1"/>
    </xf>
    <xf numFmtId="0" fontId="4" fillId="2" borderId="0" xfId="0" applyFont="1" applyFill="1" applyAlignment="1">
      <alignment horizontal="center" vertical="center" wrapText="1"/>
    </xf>
    <xf numFmtId="0" fontId="6" fillId="0" borderId="0" xfId="0" applyFont="1" applyAlignment="1">
      <alignment horizontal="justify" vertical="center" wrapText="1"/>
    </xf>
    <xf numFmtId="0" fontId="6" fillId="2" borderId="0" xfId="0" applyFont="1" applyFill="1" applyAlignment="1">
      <alignment horizontal="justify" vertical="center" wrapText="1"/>
    </xf>
    <xf numFmtId="166" fontId="2" fillId="2" borderId="1" xfId="0" applyNumberFormat="1" applyFont="1" applyFill="1" applyBorder="1" applyAlignment="1">
      <alignment horizontal="center" vertical="center"/>
    </xf>
    <xf numFmtId="164" fontId="6" fillId="0" borderId="0" xfId="1" applyFont="1" applyAlignment="1">
      <alignment horizontal="justify" vertical="center" wrapText="1"/>
    </xf>
    <xf numFmtId="164" fontId="6" fillId="2" borderId="0" xfId="0" applyNumberFormat="1" applyFont="1" applyFill="1" applyAlignment="1">
      <alignment horizontal="justify" vertical="center" wrapText="1"/>
    </xf>
    <xf numFmtId="0" fontId="10" fillId="8" borderId="7" xfId="10" applyFont="1" applyFill="1" applyBorder="1" applyAlignment="1">
      <alignment horizontal="center" vertical="center" wrapText="1"/>
    </xf>
    <xf numFmtId="0" fontId="6" fillId="2" borderId="0" xfId="0" applyFont="1" applyFill="1" applyAlignment="1">
      <alignment horizontal="left" vertical="center" wrapText="1"/>
    </xf>
    <xf numFmtId="0" fontId="10" fillId="8" borderId="1" xfId="1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1" xfId="0" applyFont="1" applyFill="1" applyBorder="1" applyAlignment="1">
      <alignment horizontal="center" vertical="center" wrapText="1"/>
    </xf>
    <xf numFmtId="166" fontId="5" fillId="10" borderId="9" xfId="10" applyNumberFormat="1"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 xfId="0" applyFont="1" applyBorder="1"/>
    <xf numFmtId="0" fontId="3" fillId="11" borderId="14" xfId="0" applyFont="1" applyFill="1" applyBorder="1" applyAlignment="1">
      <alignment horizontal="center" vertical="center" wrapText="1"/>
    </xf>
    <xf numFmtId="0" fontId="3" fillId="11" borderId="8" xfId="0" applyFont="1" applyFill="1" applyBorder="1" applyAlignment="1">
      <alignment horizontal="justify" vertical="center" wrapText="1"/>
    </xf>
    <xf numFmtId="0" fontId="3" fillId="11" borderId="8" xfId="0" applyFont="1" applyFill="1" applyBorder="1" applyAlignment="1">
      <alignment horizontal="center" vertical="center" wrapText="1"/>
    </xf>
    <xf numFmtId="0" fontId="3" fillId="11" borderId="13" xfId="0" applyFont="1" applyFill="1" applyBorder="1" applyAlignment="1">
      <alignment horizontal="justify" vertical="center" wrapText="1"/>
    </xf>
    <xf numFmtId="0" fontId="3" fillId="11" borderId="1" xfId="0" applyFont="1" applyFill="1" applyBorder="1" applyAlignment="1">
      <alignment horizontal="center" vertical="center" wrapText="1"/>
    </xf>
    <xf numFmtId="166" fontId="2" fillId="12" borderId="1" xfId="0" applyNumberFormat="1" applyFont="1" applyFill="1" applyBorder="1" applyAlignment="1">
      <alignment horizontal="center" vertical="center"/>
    </xf>
    <xf numFmtId="10" fontId="2" fillId="0" borderId="1" xfId="2" applyNumberFormat="1" applyFont="1" applyBorder="1" applyAlignment="1">
      <alignment horizontal="center" vertical="center"/>
    </xf>
    <xf numFmtId="166" fontId="2" fillId="0" borderId="1" xfId="0" applyNumberFormat="1" applyFont="1" applyBorder="1" applyAlignment="1">
      <alignment vertical="center"/>
    </xf>
    <xf numFmtId="164" fontId="2" fillId="0" borderId="1" xfId="1" applyFont="1" applyBorder="1"/>
    <xf numFmtId="166" fontId="2" fillId="0" borderId="1" xfId="1" applyNumberFormat="1" applyFont="1" applyBorder="1"/>
    <xf numFmtId="164" fontId="2" fillId="0" borderId="1" xfId="1" applyFont="1" applyBorder="1" applyAlignment="1">
      <alignment vertical="center"/>
    </xf>
    <xf numFmtId="166" fontId="2" fillId="0" borderId="1" xfId="1" applyNumberFormat="1" applyFont="1" applyBorder="1" applyAlignment="1">
      <alignment vertical="center"/>
    </xf>
    <xf numFmtId="0" fontId="6" fillId="2" borderId="1" xfId="0" applyFont="1" applyFill="1" applyBorder="1" applyAlignment="1">
      <alignment horizontal="center" vertical="center" wrapText="1"/>
    </xf>
    <xf numFmtId="166" fontId="2" fillId="2" borderId="2" xfId="0" applyNumberFormat="1" applyFont="1" applyFill="1" applyBorder="1" applyAlignment="1">
      <alignment vertical="center"/>
    </xf>
    <xf numFmtId="166" fontId="2" fillId="2" borderId="3" xfId="0" applyNumberFormat="1" applyFont="1" applyFill="1" applyBorder="1" applyAlignment="1">
      <alignment vertical="center"/>
    </xf>
    <xf numFmtId="166" fontId="2" fillId="2" borderId="9" xfId="0" applyNumberFormat="1" applyFont="1" applyFill="1" applyBorder="1" applyAlignment="1">
      <alignment vertical="center"/>
    </xf>
    <xf numFmtId="0" fontId="2" fillId="0" borderId="0" xfId="11" applyFont="1"/>
    <xf numFmtId="0" fontId="4" fillId="5" borderId="1" xfId="11" applyFont="1" applyFill="1" applyBorder="1" applyAlignment="1">
      <alignment horizontal="center" vertical="center" wrapText="1"/>
    </xf>
    <xf numFmtId="0" fontId="4" fillId="4" borderId="7" xfId="11" applyFont="1" applyFill="1" applyBorder="1" applyAlignment="1">
      <alignment horizontal="center" vertical="center" wrapText="1"/>
    </xf>
    <xf numFmtId="0" fontId="4" fillId="4" borderId="1" xfId="11" applyFont="1" applyFill="1" applyBorder="1" applyAlignment="1">
      <alignment horizontal="center" vertical="center" wrapText="1"/>
    </xf>
    <xf numFmtId="166" fontId="2" fillId="0" borderId="1" xfId="11" applyNumberFormat="1" applyFont="1" applyBorder="1" applyAlignment="1">
      <alignment horizontal="center" vertical="center"/>
    </xf>
    <xf numFmtId="166" fontId="2" fillId="0" borderId="0" xfId="11" applyNumberFormat="1" applyFont="1"/>
    <xf numFmtId="0" fontId="3" fillId="5" borderId="2" xfId="11" applyFont="1" applyFill="1" applyBorder="1" applyAlignment="1">
      <alignment horizontal="center" vertical="center"/>
    </xf>
    <xf numFmtId="0" fontId="2" fillId="0" borderId="0" xfId="11" applyFont="1" applyAlignment="1">
      <alignment horizontal="center"/>
    </xf>
    <xf numFmtId="167" fontId="3" fillId="5" borderId="1" xfId="11" applyNumberFormat="1" applyFont="1" applyFill="1" applyBorder="1" applyAlignment="1">
      <alignment horizontal="center" vertical="center"/>
    </xf>
    <xf numFmtId="0" fontId="2" fillId="0" borderId="0" xfId="11" applyFont="1" applyAlignment="1">
      <alignment horizontal="center" vertical="center" wrapText="1"/>
    </xf>
    <xf numFmtId="0" fontId="2" fillId="0" borderId="0" xfId="11" applyFont="1" applyAlignment="1">
      <alignment horizontal="justify" vertical="center" wrapText="1"/>
    </xf>
    <xf numFmtId="0" fontId="4" fillId="4" borderId="15" xfId="11" applyFont="1" applyFill="1" applyBorder="1" applyAlignment="1">
      <alignment horizontal="center" vertical="center" wrapText="1"/>
    </xf>
    <xf numFmtId="0" fontId="3" fillId="2" borderId="0" xfId="11" applyFont="1" applyFill="1" applyAlignment="1">
      <alignment horizontal="center"/>
    </xf>
    <xf numFmtId="0" fontId="2" fillId="2" borderId="0" xfId="11" applyFont="1" applyFill="1"/>
    <xf numFmtId="167" fontId="3" fillId="2" borderId="0" xfId="11" applyNumberFormat="1" applyFont="1" applyFill="1" applyAlignment="1">
      <alignment horizontal="center" vertical="center"/>
    </xf>
    <xf numFmtId="0" fontId="5" fillId="2" borderId="0" xfId="11" applyFont="1" applyFill="1" applyAlignment="1">
      <alignment vertical="center"/>
    </xf>
    <xf numFmtId="0" fontId="6" fillId="2" borderId="0" xfId="11" applyFont="1" applyFill="1" applyAlignment="1">
      <alignment vertical="center"/>
    </xf>
    <xf numFmtId="0" fontId="2" fillId="2" borderId="0" xfId="11" applyFont="1" applyFill="1" applyAlignment="1">
      <alignment horizontal="center" vertical="center" wrapText="1"/>
    </xf>
    <xf numFmtId="0" fontId="5" fillId="2" borderId="0" xfId="11" applyFont="1" applyFill="1" applyAlignment="1">
      <alignment vertical="center" wrapText="1"/>
    </xf>
    <xf numFmtId="0" fontId="6" fillId="2" borderId="0" xfId="11" applyFont="1" applyFill="1"/>
    <xf numFmtId="0" fontId="7" fillId="2" borderId="1" xfId="11" applyFont="1" applyFill="1" applyBorder="1" applyAlignment="1">
      <alignment horizontal="center" vertical="center" wrapText="1"/>
    </xf>
    <xf numFmtId="14" fontId="7" fillId="2" borderId="2" xfId="11" applyNumberFormat="1" applyFont="1" applyFill="1" applyBorder="1" applyAlignment="1">
      <alignment horizontal="center" vertical="center"/>
    </xf>
    <xf numFmtId="0" fontId="4" fillId="5" borderId="1" xfId="11"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justify" vertical="center" wrapText="1"/>
    </xf>
    <xf numFmtId="0" fontId="2" fillId="13" borderId="8" xfId="0" applyFont="1" applyFill="1" applyBorder="1" applyAlignment="1">
      <alignment horizontal="center" vertical="center" wrapText="1"/>
    </xf>
    <xf numFmtId="0" fontId="2" fillId="2" borderId="8" xfId="11" applyFont="1" applyFill="1" applyBorder="1" applyAlignment="1">
      <alignment horizontal="center" vertical="center" wrapText="1"/>
    </xf>
    <xf numFmtId="0" fontId="2" fillId="2" borderId="8" xfId="11" applyFont="1" applyFill="1" applyBorder="1" applyAlignment="1">
      <alignment horizontal="justify" vertical="center" wrapText="1"/>
    </xf>
    <xf numFmtId="166" fontId="2" fillId="2" borderId="1" xfId="11" applyNumberFormat="1" applyFont="1" applyFill="1" applyBorder="1" applyAlignment="1">
      <alignment horizontal="center" vertical="center"/>
    </xf>
    <xf numFmtId="0" fontId="2" fillId="0" borderId="0" xfId="11" applyFont="1" applyAlignment="1"/>
    <xf numFmtId="167" fontId="2" fillId="0" borderId="0" xfId="11" applyNumberFormat="1" applyFont="1"/>
    <xf numFmtId="0" fontId="2" fillId="2" borderId="14" xfId="0" applyFont="1" applyFill="1" applyBorder="1" applyAlignment="1">
      <alignment horizontal="center" vertical="center" wrapText="1"/>
    </xf>
    <xf numFmtId="0" fontId="2" fillId="2" borderId="8" xfId="0" applyFont="1" applyFill="1" applyBorder="1" applyAlignment="1">
      <alignment horizontal="justify" vertical="center" wrapText="1"/>
    </xf>
    <xf numFmtId="0" fontId="2" fillId="2" borderId="8" xfId="0" applyFont="1" applyFill="1" applyBorder="1" applyAlignment="1">
      <alignment horizontal="center" vertical="center" wrapText="1"/>
    </xf>
    <xf numFmtId="166" fontId="2" fillId="2" borderId="0" xfId="11" applyNumberFormat="1" applyFont="1" applyFill="1"/>
    <xf numFmtId="164" fontId="2" fillId="2" borderId="0" xfId="1" applyFont="1" applyFill="1"/>
    <xf numFmtId="0" fontId="3" fillId="2" borderId="4" xfId="11" applyFont="1" applyFill="1" applyBorder="1" applyAlignment="1">
      <alignment horizontal="center" vertical="center"/>
    </xf>
    <xf numFmtId="167" fontId="3" fillId="2" borderId="4" xfId="11" applyNumberFormat="1" applyFont="1" applyFill="1" applyBorder="1" applyAlignment="1">
      <alignment horizontal="center" vertical="center"/>
    </xf>
    <xf numFmtId="0" fontId="4" fillId="4" borderId="1" xfId="11" applyFont="1" applyFill="1" applyBorder="1" applyAlignment="1">
      <alignment horizontal="center" wrapText="1"/>
    </xf>
    <xf numFmtId="168" fontId="2" fillId="0" borderId="0" xfId="11" applyNumberFormat="1" applyFont="1"/>
    <xf numFmtId="0" fontId="2" fillId="2" borderId="10" xfId="0" applyFont="1" applyFill="1" applyBorder="1" applyAlignment="1">
      <alignment horizontal="center"/>
    </xf>
    <xf numFmtId="0" fontId="2" fillId="2" borderId="0" xfId="0" applyFont="1" applyFill="1" applyAlignment="1">
      <alignment horizontal="center"/>
    </xf>
    <xf numFmtId="0" fontId="10" fillId="8" borderId="12" xfId="10" applyFont="1" applyFill="1" applyBorder="1" applyAlignment="1">
      <alignment horizontal="center" vertical="center" wrapText="1"/>
    </xf>
    <xf numFmtId="0" fontId="10" fillId="8" borderId="7" xfId="10" applyFont="1" applyFill="1" applyBorder="1" applyAlignment="1">
      <alignment horizontal="center" vertical="center" wrapText="1"/>
    </xf>
    <xf numFmtId="0" fontId="6" fillId="2" borderId="2" xfId="0" applyFont="1" applyFill="1" applyBorder="1" applyAlignment="1">
      <alignment horizontal="justify" vertical="justify" wrapText="1"/>
    </xf>
    <xf numFmtId="0" fontId="6" fillId="2" borderId="3" xfId="0" applyFont="1" applyFill="1" applyBorder="1" applyAlignment="1">
      <alignment horizontal="justify" vertical="justify" wrapText="1"/>
    </xf>
    <xf numFmtId="0" fontId="6" fillId="2" borderId="9" xfId="0" applyFont="1" applyFill="1" applyBorder="1" applyAlignment="1">
      <alignment horizontal="justify" vertical="justify"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9" xfId="0" applyFont="1" applyFill="1" applyBorder="1" applyAlignment="1">
      <alignment horizontal="justify" vertical="center" wrapText="1"/>
    </xf>
    <xf numFmtId="0" fontId="5" fillId="2" borderId="2" xfId="8" applyFont="1" applyFill="1" applyBorder="1" applyAlignment="1">
      <alignment horizontal="left" vertical="center" wrapText="1"/>
    </xf>
    <xf numFmtId="0" fontId="5" fillId="2" borderId="9" xfId="8" applyFont="1" applyFill="1" applyBorder="1" applyAlignment="1">
      <alignment horizontal="left" vertical="center" wrapText="1"/>
    </xf>
    <xf numFmtId="0" fontId="6" fillId="2" borderId="0" xfId="0" applyFont="1" applyFill="1" applyAlignment="1">
      <alignment horizontal="left" vertical="center" wrapText="1"/>
    </xf>
    <xf numFmtId="0" fontId="6" fillId="2" borderId="2"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6" fillId="2" borderId="9" xfId="0" applyFont="1" applyFill="1" applyBorder="1" applyAlignment="1">
      <alignment horizontal="justify" vertical="center" wrapText="1"/>
    </xf>
    <xf numFmtId="0" fontId="3" fillId="10" borderId="2" xfId="0" applyFont="1" applyFill="1" applyBorder="1" applyAlignment="1">
      <alignment horizontal="center"/>
    </xf>
    <xf numFmtId="0" fontId="3" fillId="10" borderId="3" xfId="0" applyFont="1" applyFill="1" applyBorder="1" applyAlignment="1">
      <alignment horizontal="center"/>
    </xf>
    <xf numFmtId="0" fontId="3" fillId="10" borderId="9" xfId="0" applyFont="1" applyFill="1" applyBorder="1" applyAlignment="1">
      <alignment horizontal="center"/>
    </xf>
    <xf numFmtId="0" fontId="3" fillId="3"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9" borderId="9" xfId="0" applyFont="1" applyFill="1" applyBorder="1" applyAlignment="1">
      <alignment horizontal="center" vertical="center" wrapText="1"/>
    </xf>
    <xf numFmtId="0" fontId="11" fillId="8" borderId="12" xfId="10" applyFont="1" applyFill="1" applyBorder="1" applyAlignment="1">
      <alignment horizontal="center" vertical="center" wrapText="1"/>
    </xf>
    <xf numFmtId="0" fontId="11" fillId="8" borderId="7" xfId="10" applyFont="1" applyFill="1" applyBorder="1" applyAlignment="1">
      <alignment horizontal="center" vertical="center" wrapText="1"/>
    </xf>
    <xf numFmtId="0" fontId="2" fillId="0" borderId="1" xfId="0" applyFont="1" applyBorder="1" applyAlignment="1">
      <alignment horizontal="center"/>
    </xf>
    <xf numFmtId="0" fontId="9" fillId="2" borderId="10" xfId="0" applyFont="1" applyFill="1" applyBorder="1" applyAlignment="1">
      <alignment horizontal="center"/>
    </xf>
    <xf numFmtId="0" fontId="9" fillId="2" borderId="0" xfId="0" applyFont="1" applyFill="1" applyAlignment="1">
      <alignment horizont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9"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 xfId="11" applyFont="1" applyFill="1" applyBorder="1" applyAlignment="1">
      <alignment horizontal="center" vertical="center"/>
    </xf>
    <xf numFmtId="0" fontId="4" fillId="5" borderId="2" xfId="11" applyFont="1" applyFill="1" applyBorder="1" applyAlignment="1">
      <alignment horizontal="center" vertical="center" wrapText="1"/>
    </xf>
    <xf numFmtId="0" fontId="4" fillId="5" borderId="3" xfId="11" applyFont="1" applyFill="1" applyBorder="1" applyAlignment="1">
      <alignment horizontal="center" vertical="center" wrapText="1"/>
    </xf>
    <xf numFmtId="0" fontId="4" fillId="5" borderId="9" xfId="11" applyFont="1" applyFill="1" applyBorder="1" applyAlignment="1">
      <alignment horizontal="center" vertical="center" wrapText="1"/>
    </xf>
    <xf numFmtId="0" fontId="2" fillId="0" borderId="1" xfId="11" applyFont="1" applyBorder="1" applyAlignment="1">
      <alignment horizontal="center"/>
    </xf>
    <xf numFmtId="0" fontId="3" fillId="3" borderId="2" xfId="11" applyFont="1" applyFill="1" applyBorder="1" applyAlignment="1">
      <alignment horizontal="center" vertical="center"/>
    </xf>
    <xf numFmtId="0" fontId="3" fillId="3" borderId="3" xfId="11" applyFont="1" applyFill="1" applyBorder="1" applyAlignment="1">
      <alignment horizontal="center" vertical="center"/>
    </xf>
    <xf numFmtId="0" fontId="3" fillId="3" borderId="9" xfId="11" applyFont="1" applyFill="1" applyBorder="1" applyAlignment="1">
      <alignment horizontal="center" vertical="center"/>
    </xf>
    <xf numFmtId="0" fontId="4" fillId="2" borderId="2" xfId="11" applyFont="1" applyFill="1" applyBorder="1" applyAlignment="1">
      <alignment horizontal="center" vertical="center" wrapText="1"/>
    </xf>
    <xf numFmtId="0" fontId="4" fillId="2" borderId="3" xfId="11" applyFont="1" applyFill="1" applyBorder="1" applyAlignment="1">
      <alignment horizontal="center" vertical="center" wrapText="1"/>
    </xf>
    <xf numFmtId="0" fontId="4" fillId="2" borderId="9" xfId="11" applyFont="1" applyFill="1" applyBorder="1" applyAlignment="1">
      <alignment horizontal="center" vertical="center" wrapText="1"/>
    </xf>
    <xf numFmtId="0" fontId="4" fillId="4" borderId="2" xfId="11" applyFont="1" applyFill="1" applyBorder="1" applyAlignment="1">
      <alignment horizontal="center" vertical="center" wrapText="1"/>
    </xf>
    <xf numFmtId="0" fontId="4" fillId="4" borderId="3" xfId="11" applyFont="1" applyFill="1" applyBorder="1" applyAlignment="1">
      <alignment horizontal="center" vertical="center" wrapText="1"/>
    </xf>
    <xf numFmtId="0" fontId="4" fillId="4" borderId="4" xfId="11" applyFont="1" applyFill="1" applyBorder="1" applyAlignment="1">
      <alignment horizontal="center" vertical="center" wrapText="1"/>
    </xf>
    <xf numFmtId="0" fontId="4" fillId="4" borderId="5" xfId="11" applyFont="1" applyFill="1" applyBorder="1" applyAlignment="1">
      <alignment horizontal="center" vertical="center" wrapText="1"/>
    </xf>
    <xf numFmtId="0" fontId="4" fillId="5" borderId="6" xfId="11" applyFont="1" applyFill="1" applyBorder="1" applyAlignment="1">
      <alignment horizontal="center" vertical="center" wrapText="1"/>
    </xf>
    <xf numFmtId="0" fontId="4" fillId="5" borderId="4" xfId="11" applyFont="1" applyFill="1" applyBorder="1" applyAlignment="1">
      <alignment horizontal="center" vertical="center" wrapText="1"/>
    </xf>
    <xf numFmtId="0" fontId="4" fillId="5" borderId="5" xfId="11" applyFont="1" applyFill="1" applyBorder="1" applyAlignment="1">
      <alignment horizontal="center" vertical="center" wrapText="1"/>
    </xf>
    <xf numFmtId="0" fontId="4" fillId="5" borderId="1" xfId="11" applyFont="1" applyFill="1" applyBorder="1" applyAlignment="1">
      <alignment horizontal="center" vertical="center" wrapText="1"/>
    </xf>
    <xf numFmtId="0" fontId="3" fillId="5" borderId="11" xfId="11" applyFont="1" applyFill="1" applyBorder="1" applyAlignment="1">
      <alignment horizontal="center" vertical="center" wrapText="1"/>
    </xf>
    <xf numFmtId="0" fontId="3" fillId="5" borderId="7" xfId="11" applyFont="1" applyFill="1" applyBorder="1" applyAlignment="1">
      <alignment horizontal="center" vertical="center" wrapText="1"/>
    </xf>
    <xf numFmtId="167" fontId="2" fillId="0" borderId="12" xfId="11" applyNumberFormat="1" applyFont="1" applyBorder="1" applyAlignment="1">
      <alignment horizontal="center" vertical="center"/>
    </xf>
    <xf numFmtId="167" fontId="2" fillId="0" borderId="11" xfId="11" applyNumberFormat="1" applyFont="1" applyBorder="1" applyAlignment="1">
      <alignment horizontal="center" vertical="center"/>
    </xf>
    <xf numFmtId="167" fontId="2" fillId="0" borderId="7" xfId="11" applyNumberFormat="1" applyFont="1" applyBorder="1" applyAlignment="1">
      <alignment horizontal="center" vertical="center"/>
    </xf>
    <xf numFmtId="166" fontId="2" fillId="2" borderId="12" xfId="11" applyNumberFormat="1" applyFont="1" applyFill="1" applyBorder="1" applyAlignment="1">
      <alignment horizontal="center" vertical="center"/>
    </xf>
    <xf numFmtId="166" fontId="2" fillId="2" borderId="7" xfId="11" applyNumberFormat="1" applyFont="1" applyFill="1" applyBorder="1" applyAlignment="1">
      <alignment horizontal="center" vertical="center"/>
    </xf>
    <xf numFmtId="0" fontId="3" fillId="5" borderId="2" xfId="11" applyFont="1" applyFill="1" applyBorder="1" applyAlignment="1">
      <alignment horizontal="center" vertical="center"/>
    </xf>
    <xf numFmtId="0" fontId="3" fillId="5" borderId="3" xfId="11" applyFont="1" applyFill="1" applyBorder="1" applyAlignment="1">
      <alignment horizontal="center" vertical="center"/>
    </xf>
    <xf numFmtId="0" fontId="3" fillId="5" borderId="9" xfId="11" applyFont="1" applyFill="1" applyBorder="1" applyAlignment="1">
      <alignment horizontal="center" vertical="center"/>
    </xf>
    <xf numFmtId="0" fontId="3" fillId="5" borderId="16" xfId="11" applyFont="1" applyFill="1" applyBorder="1" applyAlignment="1">
      <alignment horizontal="center"/>
    </xf>
    <xf numFmtId="0" fontId="3" fillId="5" borderId="17" xfId="11" applyFont="1" applyFill="1" applyBorder="1" applyAlignment="1">
      <alignment horizontal="center"/>
    </xf>
    <xf numFmtId="0" fontId="3" fillId="5" borderId="18" xfId="11" applyFont="1" applyFill="1" applyBorder="1" applyAlignment="1">
      <alignment horizontal="center"/>
    </xf>
    <xf numFmtId="0" fontId="7" fillId="2" borderId="10" xfId="11" applyFont="1" applyFill="1" applyBorder="1" applyAlignment="1">
      <alignment horizontal="center"/>
    </xf>
    <xf numFmtId="0" fontId="7" fillId="2" borderId="0" xfId="11" applyFont="1" applyFill="1" applyAlignment="1">
      <alignment horizontal="center"/>
    </xf>
    <xf numFmtId="0" fontId="18" fillId="2" borderId="1" xfId="11" applyFont="1" applyFill="1" applyBorder="1" applyAlignment="1">
      <alignment horizontal="center" vertical="center" wrapText="1"/>
    </xf>
    <xf numFmtId="167" fontId="18" fillId="2" borderId="2" xfId="11" applyNumberFormat="1" applyFont="1" applyFill="1" applyBorder="1" applyAlignment="1">
      <alignment horizontal="center" vertical="center"/>
    </xf>
    <xf numFmtId="167" fontId="18" fillId="2" borderId="3" xfId="11" applyNumberFormat="1" applyFont="1" applyFill="1" applyBorder="1" applyAlignment="1">
      <alignment horizontal="center" vertical="center"/>
    </xf>
    <xf numFmtId="167" fontId="18" fillId="2" borderId="9" xfId="11" applyNumberFormat="1" applyFont="1" applyFill="1" applyBorder="1" applyAlignment="1">
      <alignment horizontal="center" vertical="center"/>
    </xf>
    <xf numFmtId="0" fontId="6" fillId="2" borderId="2" xfId="11" applyFont="1" applyFill="1" applyBorder="1" applyAlignment="1">
      <alignment horizontal="justify" vertical="justify" wrapText="1"/>
    </xf>
    <xf numFmtId="0" fontId="6" fillId="2" borderId="3" xfId="11" applyFont="1" applyFill="1" applyBorder="1" applyAlignment="1">
      <alignment horizontal="justify" vertical="justify" wrapText="1"/>
    </xf>
    <xf numFmtId="0" fontId="6" fillId="2" borderId="9" xfId="11" applyFont="1" applyFill="1" applyBorder="1" applyAlignment="1">
      <alignment horizontal="justify" vertical="justify" wrapText="1"/>
    </xf>
    <xf numFmtId="0" fontId="5" fillId="2" borderId="2" xfId="12" applyFont="1" applyFill="1" applyBorder="1" applyAlignment="1">
      <alignment horizontal="left" vertical="center" wrapText="1"/>
    </xf>
    <xf numFmtId="0" fontId="5" fillId="2" borderId="9" xfId="12" applyFont="1" applyFill="1" applyBorder="1" applyAlignment="1">
      <alignment horizontal="left" vertical="center" wrapText="1"/>
    </xf>
  </cellXfs>
  <cellStyles count="13">
    <cellStyle name="Moneda" xfId="1" builtinId="4"/>
    <cellStyle name="Moneda 2" xfId="3" xr:uid="{00000000-0005-0000-0000-000001000000}"/>
    <cellStyle name="Moneda 3" xfId="4" xr:uid="{00000000-0005-0000-0000-000002000000}"/>
    <cellStyle name="NivelCol_1" xfId="5" xr:uid="{00000000-0005-0000-0000-000003000000}"/>
    <cellStyle name="Normal" xfId="0" builtinId="0"/>
    <cellStyle name="Normal 2" xfId="6" xr:uid="{00000000-0005-0000-0000-000005000000}"/>
    <cellStyle name="Normal 2 2" xfId="7" xr:uid="{00000000-0005-0000-0000-000006000000}"/>
    <cellStyle name="Normal 3" xfId="11" xr:uid="{00000000-0005-0000-0000-000007000000}"/>
    <cellStyle name="Normal 5" xfId="8" xr:uid="{00000000-0005-0000-0000-000008000000}"/>
    <cellStyle name="Normal 5 16" xfId="9" xr:uid="{00000000-0005-0000-0000-000009000000}"/>
    <cellStyle name="Normal 5 2" xfId="12" xr:uid="{00000000-0005-0000-0000-00000A000000}"/>
    <cellStyle name="Normal_HERRAMIENTAS PARA TRANSPORTE" xfId="10" xr:uid="{00000000-0005-0000-0000-00000B000000}"/>
    <cellStyle name="Porcentaje" xfId="2" builtinId="5"/>
  </cellStyles>
  <dxfs count="2">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xfrm>
          <a:off x="471170" y="428625"/>
          <a:ext cx="2066925" cy="485775"/>
        </a:xfrm>
        <a:prstGeom prst="rect">
          <a:avLst/>
        </a:prstGeom>
        <a:noFill/>
      </xdr:spPr>
    </xdr:pic>
    <xdr:clientData fLocksWithSheet="0"/>
  </xdr:oneCellAnchor>
  <xdr:twoCellAnchor editAs="oneCell">
    <xdr:from>
      <xdr:col>3</xdr:col>
      <xdr:colOff>226148</xdr:colOff>
      <xdr:row>29</xdr:row>
      <xdr:rowOff>59397</xdr:rowOff>
    </xdr:from>
    <xdr:to>
      <xdr:col>3</xdr:col>
      <xdr:colOff>522873</xdr:colOff>
      <xdr:row>29</xdr:row>
      <xdr:rowOff>451415</xdr:rowOff>
    </xdr:to>
    <xdr:pic>
      <xdr:nvPicPr>
        <xdr:cNvPr id="5" name="Imagen 4" descr="Dibujo en blanco y negroDescripción generada automáticamente con confianza baja">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514344" y="10039940"/>
          <a:ext cx="296725" cy="392018"/>
        </a:xfrm>
        <a:prstGeom prst="rect">
          <a:avLst/>
        </a:prstGeom>
        <a:noFill/>
        <a:ln>
          <a:noFill/>
        </a:ln>
      </xdr:spPr>
    </xdr:pic>
    <xdr:clientData/>
  </xdr:twoCellAnchor>
  <xdr:twoCellAnchor editAs="oneCell">
    <xdr:from>
      <xdr:col>3</xdr:col>
      <xdr:colOff>58831</xdr:colOff>
      <xdr:row>30</xdr:row>
      <xdr:rowOff>134471</xdr:rowOff>
    </xdr:from>
    <xdr:to>
      <xdr:col>3</xdr:col>
      <xdr:colOff>623507</xdr:colOff>
      <xdr:row>30</xdr:row>
      <xdr:rowOff>457143</xdr:rowOff>
    </xdr:to>
    <xdr:pic>
      <xdr:nvPicPr>
        <xdr:cNvPr id="2" name="Imagen 1">
          <a:extLst>
            <a:ext uri="{FF2B5EF4-FFF2-40B4-BE49-F238E27FC236}">
              <a16:creationId xmlns:a16="http://schemas.microsoft.com/office/drawing/2014/main" id="{43339EF0-3EAE-1937-2E25-D1F0E3957962}"/>
            </a:ext>
          </a:extLst>
        </xdr:cNvPr>
        <xdr:cNvPicPr>
          <a:picLocks noChangeAspect="1"/>
        </xdr:cNvPicPr>
      </xdr:nvPicPr>
      <xdr:blipFill>
        <a:blip xmlns:r="http://schemas.openxmlformats.org/officeDocument/2006/relationships" r:embed="rId3"/>
        <a:stretch>
          <a:fillRect/>
        </a:stretch>
      </xdr:blipFill>
      <xdr:spPr>
        <a:xfrm>
          <a:off x="2994772" y="9737912"/>
          <a:ext cx="564676" cy="3226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700405" y="504825"/>
          <a:ext cx="2066925" cy="485775"/>
        </a:xfrm>
        <a:prstGeom prst="rect">
          <a:avLst/>
        </a:prstGeom>
        <a:noFill/>
      </xdr:spPr>
    </xdr:pic>
    <xdr:clientData fLocksWithSheet="0"/>
  </xdr:oneCellAnchor>
  <xdr:twoCellAnchor editAs="oneCell">
    <xdr:from>
      <xdr:col>3</xdr:col>
      <xdr:colOff>304733</xdr:colOff>
      <xdr:row>26</xdr:row>
      <xdr:rowOff>44753</xdr:rowOff>
    </xdr:from>
    <xdr:to>
      <xdr:col>3</xdr:col>
      <xdr:colOff>509117</xdr:colOff>
      <xdr:row>26</xdr:row>
      <xdr:rowOff>421199</xdr:rowOff>
    </xdr:to>
    <xdr:pic>
      <xdr:nvPicPr>
        <xdr:cNvPr id="5" name="Imagen 4" descr="Dibujo en blanco y negroDescripción generada automáticamente con confianza baja">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961130" y="10531475"/>
          <a:ext cx="204470" cy="376555"/>
        </a:xfrm>
        <a:prstGeom prst="rect">
          <a:avLst/>
        </a:prstGeom>
        <a:noFill/>
        <a:ln>
          <a:noFill/>
        </a:ln>
      </xdr:spPr>
    </xdr:pic>
    <xdr:clientData/>
  </xdr:twoCellAnchor>
  <xdr:twoCellAnchor editAs="oneCell">
    <xdr:from>
      <xdr:col>3</xdr:col>
      <xdr:colOff>152400</xdr:colOff>
      <xdr:row>27</xdr:row>
      <xdr:rowOff>41384</xdr:rowOff>
    </xdr:from>
    <xdr:to>
      <xdr:col>3</xdr:col>
      <xdr:colOff>775907</xdr:colOff>
      <xdr:row>27</xdr:row>
      <xdr:rowOff>398003</xdr:rowOff>
    </xdr:to>
    <xdr:pic>
      <xdr:nvPicPr>
        <xdr:cNvPr id="4" name="Imagen 3">
          <a:extLst>
            <a:ext uri="{FF2B5EF4-FFF2-40B4-BE49-F238E27FC236}">
              <a16:creationId xmlns:a16="http://schemas.microsoft.com/office/drawing/2014/main" id="{6FFC91E5-7C30-4E65-92B6-E2FF6D6150F2}"/>
            </a:ext>
          </a:extLst>
        </xdr:cNvPr>
        <xdr:cNvPicPr>
          <a:picLocks noChangeAspect="1"/>
        </xdr:cNvPicPr>
      </xdr:nvPicPr>
      <xdr:blipFill>
        <a:blip xmlns:r="http://schemas.openxmlformats.org/officeDocument/2006/relationships" r:embed="rId3"/>
        <a:stretch>
          <a:fillRect/>
        </a:stretch>
      </xdr:blipFill>
      <xdr:spPr>
        <a:xfrm>
          <a:off x="3817883" y="7602263"/>
          <a:ext cx="623507" cy="3566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CA4A47B5-EE28-493A-B6DF-91740E7B6ED9}"/>
            </a:ext>
          </a:extLst>
        </xdr:cNvPr>
        <xdr:cNvPicPr preferRelativeResize="0"/>
      </xdr:nvPicPr>
      <xdr:blipFill>
        <a:blip xmlns:r="http://schemas.openxmlformats.org/officeDocument/2006/relationships" r:embed="rId1" cstate="print"/>
        <a:stretch>
          <a:fillRect/>
        </a:stretch>
      </xdr:blipFill>
      <xdr:spPr>
        <a:xfrm>
          <a:off x="552450" y="419100"/>
          <a:ext cx="2066925" cy="485775"/>
        </a:xfrm>
        <a:prstGeom prst="rect">
          <a:avLst/>
        </a:prstGeom>
        <a:noFill/>
      </xdr:spPr>
    </xdr:pic>
    <xdr:clientData fLocksWithSheet="0"/>
  </xdr:oneCellAnchor>
  <xdr:twoCellAnchor editAs="oneCell">
    <xdr:from>
      <xdr:col>3</xdr:col>
      <xdr:colOff>192916</xdr:colOff>
      <xdr:row>37</xdr:row>
      <xdr:rowOff>59919</xdr:rowOff>
    </xdr:from>
    <xdr:to>
      <xdr:col>3</xdr:col>
      <xdr:colOff>472598</xdr:colOff>
      <xdr:row>37</xdr:row>
      <xdr:rowOff>455055</xdr:rowOff>
    </xdr:to>
    <xdr:pic>
      <xdr:nvPicPr>
        <xdr:cNvPr id="3" name="Imagen 2" descr="Dibujo en blanco y negroDescripción generada automáticamente con confianza baja">
          <a:extLst>
            <a:ext uri="{FF2B5EF4-FFF2-40B4-BE49-F238E27FC236}">
              <a16:creationId xmlns:a16="http://schemas.microsoft.com/office/drawing/2014/main" id="{D474479D-550A-4669-AE7B-0B1866996C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688591" y="10223094"/>
          <a:ext cx="279682" cy="395136"/>
        </a:xfrm>
        <a:prstGeom prst="rect">
          <a:avLst/>
        </a:prstGeom>
        <a:noFill/>
        <a:ln>
          <a:noFill/>
        </a:ln>
      </xdr:spPr>
    </xdr:pic>
    <xdr:clientData/>
  </xdr:twoCellAnchor>
  <xdr:twoCellAnchor editAs="oneCell">
    <xdr:from>
      <xdr:col>3</xdr:col>
      <xdr:colOff>152400</xdr:colOff>
      <xdr:row>38</xdr:row>
      <xdr:rowOff>133350</xdr:rowOff>
    </xdr:from>
    <xdr:to>
      <xdr:col>3</xdr:col>
      <xdr:colOff>775907</xdr:colOff>
      <xdr:row>39</xdr:row>
      <xdr:rowOff>3865</xdr:rowOff>
    </xdr:to>
    <xdr:pic>
      <xdr:nvPicPr>
        <xdr:cNvPr id="5" name="Imagen 4">
          <a:extLst>
            <a:ext uri="{FF2B5EF4-FFF2-40B4-BE49-F238E27FC236}">
              <a16:creationId xmlns:a16="http://schemas.microsoft.com/office/drawing/2014/main" id="{0CF98282-1AF6-43B4-8A10-0A6C40514EC6}"/>
            </a:ext>
          </a:extLst>
        </xdr:cNvPr>
        <xdr:cNvPicPr>
          <a:picLocks noChangeAspect="1"/>
        </xdr:cNvPicPr>
      </xdr:nvPicPr>
      <xdr:blipFill>
        <a:blip xmlns:r="http://schemas.openxmlformats.org/officeDocument/2006/relationships" r:embed="rId3"/>
        <a:stretch>
          <a:fillRect/>
        </a:stretch>
      </xdr:blipFill>
      <xdr:spPr>
        <a:xfrm>
          <a:off x="3648075" y="14201775"/>
          <a:ext cx="623507" cy="35629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E35"/>
  <sheetViews>
    <sheetView showGridLines="0" topLeftCell="A25" zoomScale="85" zoomScaleNormal="85" workbookViewId="0">
      <selection activeCell="G34" sqref="G34"/>
    </sheetView>
  </sheetViews>
  <sheetFormatPr baseColWidth="10" defaultColWidth="11.375" defaultRowHeight="12.75" outlineLevelCol="1" x14ac:dyDescent="0.2"/>
  <cols>
    <col min="1" max="1" width="1.125" style="2" customWidth="1"/>
    <col min="2" max="2" width="5.25" style="2" customWidth="1"/>
    <col min="3" max="3" width="32" style="2" customWidth="1"/>
    <col min="4" max="4" width="8.25" style="2" customWidth="1"/>
    <col min="5" max="5" width="6.875" style="2" customWidth="1"/>
    <col min="6" max="6" width="0.5" style="2" customWidth="1"/>
    <col min="7" max="7" width="14.375" style="2" customWidth="1"/>
    <col min="8" max="8" width="0.75" style="2" customWidth="1"/>
    <col min="9" max="9" width="15.375" style="2" customWidth="1"/>
    <col min="10" max="10" width="0.75" style="2" customWidth="1"/>
    <col min="11" max="11" width="14.375" style="2" customWidth="1"/>
    <col min="12" max="12" width="0.75" style="2" customWidth="1"/>
    <col min="13" max="13" width="14.375" style="2" customWidth="1"/>
    <col min="14" max="14" width="0.75" style="1" customWidth="1"/>
    <col min="15" max="15" width="14.375" style="2" customWidth="1"/>
    <col min="16" max="16" width="0.75" style="1" customWidth="1"/>
    <col min="17" max="17" width="14.375" style="2" customWidth="1"/>
    <col min="18" max="18" width="0.75" style="1" customWidth="1"/>
    <col min="19" max="19" width="14.375" style="2" customWidth="1"/>
    <col min="20" max="21" width="0.75" style="2" customWidth="1"/>
    <col min="22" max="26" width="14" style="2" customWidth="1" outlineLevel="1"/>
    <col min="27" max="27" width="0.875" style="2" customWidth="1" outlineLevel="1"/>
    <col min="28" max="31" width="13.125" style="2" customWidth="1"/>
    <col min="32" max="32" width="1.625" style="2" customWidth="1"/>
    <col min="33" max="35" width="18.625" style="2" customWidth="1"/>
    <col min="36" max="16384" width="11.375" style="2"/>
  </cols>
  <sheetData>
    <row r="2" spans="2:31" ht="30.75" customHeight="1" x14ac:dyDescent="0.2">
      <c r="B2" s="132"/>
      <c r="C2" s="132"/>
      <c r="D2" s="120" t="s">
        <v>0</v>
      </c>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row>
    <row r="3" spans="2:31" ht="48.75" customHeight="1" x14ac:dyDescent="0.2">
      <c r="B3" s="132"/>
      <c r="C3" s="132"/>
      <c r="D3" s="121" t="s">
        <v>82</v>
      </c>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3"/>
    </row>
    <row r="4" spans="2:31" ht="65.25" customHeight="1" x14ac:dyDescent="0.2">
      <c r="B4" s="124" t="s">
        <v>1</v>
      </c>
      <c r="C4" s="125"/>
      <c r="D4" s="125"/>
      <c r="E4" s="126"/>
      <c r="G4" s="3" t="s">
        <v>95</v>
      </c>
      <c r="I4" s="3" t="s">
        <v>60</v>
      </c>
      <c r="J4" s="30"/>
      <c r="K4" s="3" t="s">
        <v>61</v>
      </c>
      <c r="L4" s="30"/>
      <c r="M4" s="3" t="s">
        <v>62</v>
      </c>
      <c r="N4" s="31"/>
      <c r="O4" s="40" t="s">
        <v>63</v>
      </c>
      <c r="P4" s="31"/>
      <c r="Q4" s="3" t="s">
        <v>94</v>
      </c>
      <c r="R4" s="31"/>
      <c r="S4" s="3" t="s">
        <v>64</v>
      </c>
      <c r="U4" s="29"/>
      <c r="V4" s="103" t="s">
        <v>67</v>
      </c>
      <c r="W4" s="103" t="s">
        <v>2</v>
      </c>
      <c r="X4" s="103" t="s">
        <v>68</v>
      </c>
      <c r="Y4" s="37" t="s">
        <v>29</v>
      </c>
      <c r="Z4" s="130" t="s">
        <v>3</v>
      </c>
      <c r="AB4" s="127" t="s">
        <v>4</v>
      </c>
      <c r="AC4" s="128"/>
      <c r="AD4" s="128"/>
      <c r="AE4" s="129"/>
    </row>
    <row r="5" spans="2:31" ht="38.25" customHeight="1" x14ac:dyDescent="0.2">
      <c r="B5" s="29" t="s">
        <v>5</v>
      </c>
      <c r="C5" s="29" t="s">
        <v>6</v>
      </c>
      <c r="D5" s="29" t="s">
        <v>7</v>
      </c>
      <c r="E5" s="29" t="s">
        <v>8</v>
      </c>
      <c r="G5" s="29" t="s">
        <v>9</v>
      </c>
      <c r="I5" s="29" t="s">
        <v>9</v>
      </c>
      <c r="J5" s="30"/>
      <c r="K5" s="29" t="s">
        <v>9</v>
      </c>
      <c r="L5" s="31"/>
      <c r="M5" s="29" t="s">
        <v>9</v>
      </c>
      <c r="N5" s="31"/>
      <c r="O5" s="41" t="s">
        <v>9</v>
      </c>
      <c r="P5" s="31"/>
      <c r="Q5" s="29" t="s">
        <v>9</v>
      </c>
      <c r="R5" s="31"/>
      <c r="S5" s="29" t="s">
        <v>9</v>
      </c>
      <c r="U5" s="29"/>
      <c r="V5" s="104"/>
      <c r="W5" s="104"/>
      <c r="X5" s="104"/>
      <c r="Y5" s="39" t="s">
        <v>10</v>
      </c>
      <c r="Z5" s="131"/>
      <c r="AB5" s="3" t="s">
        <v>11</v>
      </c>
      <c r="AC5" s="3" t="s">
        <v>12</v>
      </c>
      <c r="AD5" s="3" t="s">
        <v>13</v>
      </c>
      <c r="AE5" s="3" t="s">
        <v>14</v>
      </c>
    </row>
    <row r="6" spans="2:31" ht="25.5" x14ac:dyDescent="0.2">
      <c r="B6" s="45">
        <v>1</v>
      </c>
      <c r="C6" s="46" t="s">
        <v>31</v>
      </c>
      <c r="D6" s="47" t="s">
        <v>32</v>
      </c>
      <c r="E6" s="47">
        <v>24</v>
      </c>
      <c r="G6" s="6"/>
      <c r="H6" s="6">
        <f>+ROUND((G6*0.19),2)</f>
        <v>0</v>
      </c>
      <c r="I6" s="6"/>
      <c r="J6" s="6">
        <f>+I6*$E6</f>
        <v>0</v>
      </c>
      <c r="K6" s="6"/>
      <c r="M6" s="6"/>
      <c r="N6" s="2"/>
      <c r="O6" s="44"/>
      <c r="P6" s="2"/>
      <c r="Q6" s="44"/>
      <c r="R6" s="2"/>
      <c r="S6" s="44"/>
      <c r="V6" s="44"/>
      <c r="W6" s="44"/>
      <c r="X6" s="44"/>
      <c r="Y6" s="44"/>
      <c r="Z6" s="44"/>
      <c r="AB6" s="44"/>
      <c r="AC6" s="44"/>
      <c r="AD6" s="44"/>
      <c r="AE6" s="44"/>
    </row>
    <row r="7" spans="2:31" x14ac:dyDescent="0.2">
      <c r="B7" s="43" t="s">
        <v>33</v>
      </c>
      <c r="C7" s="5" t="s">
        <v>34</v>
      </c>
      <c r="D7" s="4" t="s">
        <v>35</v>
      </c>
      <c r="E7" s="4">
        <v>1</v>
      </c>
      <c r="G7" s="6">
        <v>28226853.07671795</v>
      </c>
      <c r="H7" s="6"/>
      <c r="I7" s="6">
        <v>32943033.864610255</v>
      </c>
      <c r="J7" s="6"/>
      <c r="K7" s="6">
        <v>31962734</v>
      </c>
      <c r="M7" s="6">
        <v>41779939</v>
      </c>
      <c r="N7" s="2"/>
      <c r="O7" s="6">
        <v>41318661.880000003</v>
      </c>
      <c r="P7" s="2"/>
      <c r="Q7" s="50">
        <v>53671153</v>
      </c>
      <c r="R7" s="2"/>
      <c r="S7" s="6">
        <v>30542758.100000001</v>
      </c>
      <c r="V7" s="6">
        <f>+MIN(G7,I7,K7,M7,O7,S7)</f>
        <v>28226853.07671795</v>
      </c>
      <c r="W7" s="6">
        <f>+AVERAGE(G7,I7,K7,M7,O7,S7)</f>
        <v>34462329.986888029</v>
      </c>
      <c r="X7" s="6">
        <f>+MAX(G7,I7,K7,M7,O7,S7)</f>
        <v>41779939</v>
      </c>
      <c r="Y7" s="51">
        <f>+(W7/V7)-1</f>
        <v>0.22090584781883527</v>
      </c>
      <c r="Z7" s="50">
        <f>+AVERAGE(V7,W7)</f>
        <v>31344591.53180299</v>
      </c>
      <c r="AB7" s="52">
        <f>+ROUND(Z7,2)</f>
        <v>31344591.530000001</v>
      </c>
      <c r="AC7" s="53">
        <f>+ROUND(AB7*19%,2)</f>
        <v>5955472.3899999997</v>
      </c>
      <c r="AD7" s="54">
        <f>+ROUND(AB7+AC7,2)</f>
        <v>37300063.920000002</v>
      </c>
      <c r="AE7" s="53">
        <f>+ROUND(AD7*E7,2)</f>
        <v>37300063.920000002</v>
      </c>
    </row>
    <row r="8" spans="2:31" x14ac:dyDescent="0.2">
      <c r="B8" s="43" t="s">
        <v>36</v>
      </c>
      <c r="C8" s="5" t="s">
        <v>37</v>
      </c>
      <c r="D8" s="4" t="s">
        <v>35</v>
      </c>
      <c r="E8" s="4">
        <v>1</v>
      </c>
      <c r="G8" s="6">
        <v>13789639.559327137</v>
      </c>
      <c r="H8" s="6"/>
      <c r="I8" s="6">
        <v>22349587.680696368</v>
      </c>
      <c r="J8" s="6"/>
      <c r="K8" s="6">
        <v>16439963</v>
      </c>
      <c r="M8" s="6">
        <v>29613283</v>
      </c>
      <c r="N8" s="2"/>
      <c r="O8" s="6">
        <v>21485704.18</v>
      </c>
      <c r="P8" s="2"/>
      <c r="Q8" s="6">
        <v>26440431</v>
      </c>
      <c r="R8" s="2"/>
      <c r="S8" s="6">
        <v>15297451.699999999</v>
      </c>
      <c r="V8" s="6">
        <f t="shared" ref="V8:V9" si="0">+MIN(G8,I8,K8,M8,O8,Q8,S8)</f>
        <v>13789639.559327137</v>
      </c>
      <c r="W8" s="6">
        <f t="shared" ref="W8:W15" si="1">+AVERAGE(G8,I8,K8,M8,O8,Q8,S8)</f>
        <v>20773722.874289069</v>
      </c>
      <c r="X8" s="6">
        <f t="shared" ref="X8:X9" si="2">+MAX(G8,I8,K8,M8,O8,Q8,S8)</f>
        <v>29613283</v>
      </c>
      <c r="Y8" s="51">
        <f t="shared" ref="Y8:Y20" si="3">+(W8/V8)-1</f>
        <v>0.50647323194448446</v>
      </c>
      <c r="Z8" s="50">
        <f t="shared" ref="Z8:Z18" si="4">+AVERAGE(V8,W8)</f>
        <v>17281681.216808103</v>
      </c>
      <c r="AB8" s="52">
        <f t="shared" ref="AB8:AB20" si="5">+ROUND(Z8,2)</f>
        <v>17281681.219999999</v>
      </c>
      <c r="AC8" s="53">
        <f t="shared" ref="AC8:AC20" si="6">+ROUND(AB8*19%,2)</f>
        <v>3283519.43</v>
      </c>
      <c r="AD8" s="54">
        <f t="shared" ref="AD8:AD20" si="7">+ROUND(AB8+AC8,2)</f>
        <v>20565200.649999999</v>
      </c>
      <c r="AE8" s="53">
        <f t="shared" ref="AE8:AE20" si="8">+ROUND(AD8*E8,2)</f>
        <v>20565200.649999999</v>
      </c>
    </row>
    <row r="9" spans="2:31" x14ac:dyDescent="0.2">
      <c r="B9" s="43" t="s">
        <v>38</v>
      </c>
      <c r="C9" s="5" t="s">
        <v>39</v>
      </c>
      <c r="D9" s="4" t="s">
        <v>35</v>
      </c>
      <c r="E9" s="4">
        <v>2</v>
      </c>
      <c r="G9" s="6">
        <v>12008784.471101657</v>
      </c>
      <c r="H9" s="6">
        <f>+ROUND((G9*0.19),2)</f>
        <v>2281669.0499999998</v>
      </c>
      <c r="I9" s="6">
        <v>29274084.210669346</v>
      </c>
      <c r="J9" s="6">
        <f>+I9*$E9</f>
        <v>58548168.421338692</v>
      </c>
      <c r="K9" s="6">
        <v>16439963</v>
      </c>
      <c r="M9" s="6">
        <v>22991679</v>
      </c>
      <c r="N9" s="2"/>
      <c r="O9" s="6">
        <v>21485704.18</v>
      </c>
      <c r="P9" s="2"/>
      <c r="Q9" s="6">
        <v>30847170</v>
      </c>
      <c r="R9" s="2"/>
      <c r="S9" s="6">
        <v>14728729.970000001</v>
      </c>
      <c r="V9" s="6">
        <f t="shared" si="0"/>
        <v>12008784.471101657</v>
      </c>
      <c r="W9" s="6">
        <f t="shared" si="1"/>
        <v>21110873.547395859</v>
      </c>
      <c r="X9" s="6">
        <f t="shared" si="2"/>
        <v>30847170</v>
      </c>
      <c r="Y9" s="51">
        <f t="shared" si="3"/>
        <v>0.75795257198576382</v>
      </c>
      <c r="Z9" s="50">
        <f t="shared" si="4"/>
        <v>16559829.009248758</v>
      </c>
      <c r="AB9" s="52">
        <f t="shared" si="5"/>
        <v>16559829.01</v>
      </c>
      <c r="AC9" s="53">
        <f t="shared" si="6"/>
        <v>3146367.51</v>
      </c>
      <c r="AD9" s="54">
        <f t="shared" si="7"/>
        <v>19706196.52</v>
      </c>
      <c r="AE9" s="53">
        <f t="shared" si="8"/>
        <v>39412393.039999999</v>
      </c>
    </row>
    <row r="10" spans="2:31" x14ac:dyDescent="0.2">
      <c r="B10" s="43" t="s">
        <v>40</v>
      </c>
      <c r="C10" s="5" t="s">
        <v>41</v>
      </c>
      <c r="D10" s="4" t="s">
        <v>35</v>
      </c>
      <c r="E10" s="4">
        <v>40</v>
      </c>
      <c r="G10" s="6">
        <v>6620488.9678427149</v>
      </c>
      <c r="H10" s="6"/>
      <c r="I10" s="6">
        <v>7337899.3078818135</v>
      </c>
      <c r="J10" s="6"/>
      <c r="K10" s="6">
        <v>9064743</v>
      </c>
      <c r="M10" s="6">
        <v>12422534</v>
      </c>
      <c r="N10" s="2"/>
      <c r="O10" s="6">
        <v>12444533.41</v>
      </c>
      <c r="P10" s="2"/>
      <c r="Q10" s="50">
        <v>14927077</v>
      </c>
      <c r="R10" s="2"/>
      <c r="S10" s="6">
        <v>8038259.1699999999</v>
      </c>
      <c r="V10" s="6">
        <f>+MIN(G10,I10,K10,M10,O10,S10)</f>
        <v>6620488.9678427149</v>
      </c>
      <c r="W10" s="6">
        <f>+AVERAGE(G10,I10,K10,M10,O10,S10)</f>
        <v>9321409.6426207554</v>
      </c>
      <c r="X10" s="6">
        <f>+MAX(G10,I10,K10,M10,O10,S10)</f>
        <v>12444533.41</v>
      </c>
      <c r="Y10" s="51">
        <f t="shared" si="3"/>
        <v>0.40796392651616098</v>
      </c>
      <c r="Z10" s="50">
        <f t="shared" si="4"/>
        <v>7970949.3052317351</v>
      </c>
      <c r="AB10" s="52">
        <f t="shared" si="5"/>
        <v>7970949.3099999996</v>
      </c>
      <c r="AC10" s="53">
        <f t="shared" si="6"/>
        <v>1514480.37</v>
      </c>
      <c r="AD10" s="54">
        <f t="shared" si="7"/>
        <v>9485429.6799999997</v>
      </c>
      <c r="AE10" s="53">
        <f t="shared" si="8"/>
        <v>379417187.19999999</v>
      </c>
    </row>
    <row r="11" spans="2:31" x14ac:dyDescent="0.2">
      <c r="B11" s="43" t="s">
        <v>42</v>
      </c>
      <c r="C11" s="5" t="s">
        <v>43</v>
      </c>
      <c r="D11" s="4" t="s">
        <v>35</v>
      </c>
      <c r="E11" s="4">
        <v>158</v>
      </c>
      <c r="G11" s="6">
        <v>6521843.9446401652</v>
      </c>
      <c r="H11" s="6"/>
      <c r="I11" s="6">
        <v>4586187.067426133</v>
      </c>
      <c r="J11" s="6"/>
      <c r="K11" s="6">
        <v>8417261</v>
      </c>
      <c r="M11" s="50">
        <v>15997399</v>
      </c>
      <c r="N11" s="2"/>
      <c r="O11" s="6">
        <v>11616158.630000001</v>
      </c>
      <c r="P11" s="2"/>
      <c r="Q11" s="50">
        <v>14626194</v>
      </c>
      <c r="R11" s="2"/>
      <c r="S11" s="6">
        <v>9001474.8499999996</v>
      </c>
      <c r="V11" s="6">
        <f>+MIN(G11,I11,K11,O11,S11)</f>
        <v>4586187.067426133</v>
      </c>
      <c r="W11" s="6">
        <f>+AVERAGE(G11,I11,K11,O11,S11)</f>
        <v>8028585.0984132607</v>
      </c>
      <c r="X11" s="6">
        <f>+MAX(G11,I11,K11,O11,S11)</f>
        <v>11616158.630000001</v>
      </c>
      <c r="Y11" s="51">
        <f t="shared" si="3"/>
        <v>0.75060131223977211</v>
      </c>
      <c r="Z11" s="50">
        <f t="shared" si="4"/>
        <v>6307386.0829196963</v>
      </c>
      <c r="AB11" s="52">
        <f t="shared" si="5"/>
        <v>6307386.0800000001</v>
      </c>
      <c r="AC11" s="53">
        <f t="shared" si="6"/>
        <v>1198403.3600000001</v>
      </c>
      <c r="AD11" s="54">
        <f t="shared" si="7"/>
        <v>7505789.4400000004</v>
      </c>
      <c r="AE11" s="53">
        <f t="shared" si="8"/>
        <v>1185914731.52</v>
      </c>
    </row>
    <row r="12" spans="2:31" x14ac:dyDescent="0.2">
      <c r="B12" s="43" t="s">
        <v>44</v>
      </c>
      <c r="C12" s="5" t="s">
        <v>45</v>
      </c>
      <c r="D12" s="4" t="s">
        <v>35</v>
      </c>
      <c r="E12" s="4">
        <v>1</v>
      </c>
      <c r="G12" s="6">
        <v>15199074.733617358</v>
      </c>
      <c r="H12" s="6">
        <f>+ROUND((G12*0.19),2)</f>
        <v>2887824.2</v>
      </c>
      <c r="I12" s="6">
        <v>22013697.92364544</v>
      </c>
      <c r="J12" s="6">
        <f>+I12*$E12</f>
        <v>22013697.92364544</v>
      </c>
      <c r="K12" s="6">
        <v>16187041</v>
      </c>
      <c r="M12" s="50">
        <v>27216920</v>
      </c>
      <c r="N12" s="2"/>
      <c r="O12" s="6">
        <v>21155154.890000001</v>
      </c>
      <c r="P12" s="2"/>
      <c r="Q12" s="6">
        <v>25683572</v>
      </c>
      <c r="R12" s="2"/>
      <c r="S12" s="6">
        <v>16719256.01</v>
      </c>
      <c r="V12" s="6">
        <f>+MIN(G12,I12,K12,O12,Q12,S12)</f>
        <v>15199074.733617358</v>
      </c>
      <c r="W12" s="6">
        <f>+AVERAGE(G12,I12,K12,O12,Q12,S12)</f>
        <v>19492966.092877135</v>
      </c>
      <c r="X12" s="6">
        <f>+MAX(G12,I12,K12,O12,Q12,S12)</f>
        <v>25683572</v>
      </c>
      <c r="Y12" s="51">
        <f t="shared" si="3"/>
        <v>0.28251004975734051</v>
      </c>
      <c r="Z12" s="50">
        <f t="shared" si="4"/>
        <v>17346020.413247246</v>
      </c>
      <c r="AB12" s="52">
        <f t="shared" si="5"/>
        <v>17346020.41</v>
      </c>
      <c r="AC12" s="53">
        <f t="shared" si="6"/>
        <v>3295743.88</v>
      </c>
      <c r="AD12" s="54">
        <f t="shared" si="7"/>
        <v>20641764.289999999</v>
      </c>
      <c r="AE12" s="53">
        <f t="shared" si="8"/>
        <v>20641764.289999999</v>
      </c>
    </row>
    <row r="13" spans="2:31" x14ac:dyDescent="0.2">
      <c r="B13" s="43" t="s">
        <v>46</v>
      </c>
      <c r="C13" s="5" t="s">
        <v>47</v>
      </c>
      <c r="D13" s="4" t="s">
        <v>35</v>
      </c>
      <c r="E13" s="4">
        <v>1</v>
      </c>
      <c r="G13" s="6">
        <v>13789639.559327139</v>
      </c>
      <c r="H13" s="6"/>
      <c r="I13" s="6">
        <v>10273059.031034539</v>
      </c>
      <c r="J13" s="6"/>
      <c r="K13" s="6">
        <v>16439963</v>
      </c>
      <c r="M13" s="6">
        <v>26440431</v>
      </c>
      <c r="N13" s="2"/>
      <c r="O13" s="6">
        <v>21485704.18</v>
      </c>
      <c r="P13" s="2"/>
      <c r="Q13" s="50">
        <v>29378257</v>
      </c>
      <c r="R13" s="2"/>
      <c r="S13" s="6">
        <v>15866173.42</v>
      </c>
      <c r="V13" s="6">
        <f>+MIN(G13,I13,K13,M13,O13,S13)</f>
        <v>10273059.031034539</v>
      </c>
      <c r="W13" s="6">
        <f>+AVERAGE(G13,I13,K13,M13,O13,S13)</f>
        <v>17382495.031726945</v>
      </c>
      <c r="X13" s="6">
        <f>+MAX(G13,I13,K13,M13,O13,S13)</f>
        <v>26440431</v>
      </c>
      <c r="Y13" s="51">
        <f t="shared" si="3"/>
        <v>0.69204664153248396</v>
      </c>
      <c r="Z13" s="50">
        <f t="shared" si="4"/>
        <v>13827777.031380743</v>
      </c>
      <c r="AB13" s="52">
        <f t="shared" si="5"/>
        <v>13827777.029999999</v>
      </c>
      <c r="AC13" s="53">
        <f t="shared" si="6"/>
        <v>2627277.64</v>
      </c>
      <c r="AD13" s="54">
        <f t="shared" si="7"/>
        <v>16455054.67</v>
      </c>
      <c r="AE13" s="53">
        <f t="shared" si="8"/>
        <v>16455054.67</v>
      </c>
    </row>
    <row r="14" spans="2:31" x14ac:dyDescent="0.2">
      <c r="B14" s="43" t="s">
        <v>48</v>
      </c>
      <c r="C14" s="5" t="s">
        <v>49</v>
      </c>
      <c r="D14" s="4" t="s">
        <v>35</v>
      </c>
      <c r="E14" s="4">
        <v>1</v>
      </c>
      <c r="G14" s="6">
        <v>13789639.559327139</v>
      </c>
      <c r="H14" s="6"/>
      <c r="I14" s="6">
        <v>10273059.031034539</v>
      </c>
      <c r="J14" s="6"/>
      <c r="K14" s="6">
        <v>16439963</v>
      </c>
      <c r="M14" s="6">
        <v>23881680</v>
      </c>
      <c r="N14" s="2"/>
      <c r="O14" s="6">
        <v>21485704.18</v>
      </c>
      <c r="P14" s="2"/>
      <c r="Q14" s="50">
        <v>26440431</v>
      </c>
      <c r="R14" s="2"/>
      <c r="S14" s="6">
        <v>15866173.42</v>
      </c>
      <c r="V14" s="34">
        <f>+MIN(G14,I14,K14,M14,O14,S14)</f>
        <v>10273059.031034539</v>
      </c>
      <c r="W14" s="34">
        <f>+AVERAGE(G14,I14,K14,M14,O14,S14)</f>
        <v>16956036.531726945</v>
      </c>
      <c r="X14" s="34">
        <f>+MAX(G14,I14,K14,M14,O14,S14)</f>
        <v>23881680</v>
      </c>
      <c r="Y14" s="51">
        <f t="shared" si="3"/>
        <v>0.65053432288312307</v>
      </c>
      <c r="Z14" s="50">
        <f t="shared" si="4"/>
        <v>13614547.781380743</v>
      </c>
      <c r="AB14" s="52">
        <f t="shared" si="5"/>
        <v>13614547.779999999</v>
      </c>
      <c r="AC14" s="53">
        <f t="shared" si="6"/>
        <v>2586764.08</v>
      </c>
      <c r="AD14" s="54">
        <f t="shared" si="7"/>
        <v>16201311.859999999</v>
      </c>
      <c r="AE14" s="53">
        <f t="shared" si="8"/>
        <v>16201311.859999999</v>
      </c>
    </row>
    <row r="15" spans="2:31" x14ac:dyDescent="0.2">
      <c r="B15" s="43" t="s">
        <v>50</v>
      </c>
      <c r="C15" s="5" t="s">
        <v>51</v>
      </c>
      <c r="D15" s="4" t="s">
        <v>35</v>
      </c>
      <c r="E15" s="4">
        <v>1</v>
      </c>
      <c r="G15" s="6">
        <v>13789639.559327139</v>
      </c>
      <c r="H15" s="6">
        <f>+ROUND((G15*0.19),2)</f>
        <v>2620031.52</v>
      </c>
      <c r="I15" s="6">
        <v>10273059.031034539</v>
      </c>
      <c r="J15" s="6">
        <f>+I15*$E15</f>
        <v>10273059.031034539</v>
      </c>
      <c r="K15" s="6">
        <v>16439963</v>
      </c>
      <c r="M15" s="50">
        <v>25353838</v>
      </c>
      <c r="N15" s="2"/>
      <c r="O15" s="6">
        <v>21485704.18</v>
      </c>
      <c r="P15" s="2"/>
      <c r="Q15" s="50">
        <v>30341479</v>
      </c>
      <c r="R15" s="2"/>
      <c r="S15" s="6">
        <v>15866173.42</v>
      </c>
      <c r="V15" s="34">
        <f>+MIN(G15,I15,K15,O15,S15)</f>
        <v>10273059.031034539</v>
      </c>
      <c r="W15" s="34">
        <f t="shared" si="1"/>
        <v>19078550.884337384</v>
      </c>
      <c r="X15" s="34">
        <f>+MAX(G15,I15,K15,O15,S15)</f>
        <v>21485704.18</v>
      </c>
      <c r="Y15" s="51">
        <f t="shared" si="3"/>
        <v>0.85714409181352647</v>
      </c>
      <c r="Z15" s="50">
        <f t="shared" si="4"/>
        <v>14675804.957685962</v>
      </c>
      <c r="AB15" s="52">
        <f t="shared" si="5"/>
        <v>14675804.960000001</v>
      </c>
      <c r="AC15" s="53">
        <f t="shared" si="6"/>
        <v>2788402.94</v>
      </c>
      <c r="AD15" s="54">
        <f t="shared" si="7"/>
        <v>17464207.899999999</v>
      </c>
      <c r="AE15" s="53">
        <f t="shared" si="8"/>
        <v>17464207.899999999</v>
      </c>
    </row>
    <row r="16" spans="2:31" x14ac:dyDescent="0.2">
      <c r="B16" s="43" t="s">
        <v>52</v>
      </c>
      <c r="C16" s="5" t="s">
        <v>53</v>
      </c>
      <c r="D16" s="4" t="s">
        <v>35</v>
      </c>
      <c r="E16" s="4">
        <v>1</v>
      </c>
      <c r="G16" s="6">
        <v>13789639.559327139</v>
      </c>
      <c r="H16" s="6"/>
      <c r="I16" s="6">
        <v>10273059.031034539</v>
      </c>
      <c r="J16" s="6"/>
      <c r="K16" s="6">
        <v>16439963</v>
      </c>
      <c r="M16" s="6">
        <v>21032161</v>
      </c>
      <c r="N16" s="2"/>
      <c r="O16" s="6">
        <v>21485704.18</v>
      </c>
      <c r="P16" s="2"/>
      <c r="Q16" s="50">
        <v>26440431</v>
      </c>
      <c r="R16" s="2"/>
      <c r="S16" s="6">
        <v>15866173.42</v>
      </c>
      <c r="V16" s="34">
        <f>+MIN(G16,I16,K16,M16,O16,S16)</f>
        <v>10273059.031034539</v>
      </c>
      <c r="W16" s="34">
        <f>+AVERAGE(G16,I16,K16,M16,O16,S16)</f>
        <v>16481116.698393613</v>
      </c>
      <c r="X16" s="34">
        <f>+MAX(G16,I16,K16,M16,O16,S16)</f>
        <v>21485704.18</v>
      </c>
      <c r="Y16" s="51">
        <f t="shared" si="3"/>
        <v>0.60430468165370788</v>
      </c>
      <c r="Z16" s="50">
        <f t="shared" si="4"/>
        <v>13377087.864714075</v>
      </c>
      <c r="AB16" s="52">
        <f t="shared" si="5"/>
        <v>13377087.859999999</v>
      </c>
      <c r="AC16" s="53">
        <f t="shared" si="6"/>
        <v>2541646.69</v>
      </c>
      <c r="AD16" s="54">
        <f t="shared" si="7"/>
        <v>15918734.550000001</v>
      </c>
      <c r="AE16" s="53">
        <f t="shared" si="8"/>
        <v>15918734.550000001</v>
      </c>
    </row>
    <row r="17" spans="1:31" x14ac:dyDescent="0.2">
      <c r="B17" s="43" t="s">
        <v>54</v>
      </c>
      <c r="C17" s="5" t="s">
        <v>55</v>
      </c>
      <c r="D17" s="4" t="s">
        <v>35</v>
      </c>
      <c r="E17" s="4">
        <v>1</v>
      </c>
      <c r="G17" s="6">
        <v>13789639.559327139</v>
      </c>
      <c r="H17" s="6"/>
      <c r="I17" s="6">
        <v>10273059.031034539</v>
      </c>
      <c r="J17" s="6"/>
      <c r="K17" s="6">
        <v>16439963</v>
      </c>
      <c r="M17" s="50">
        <v>32758056</v>
      </c>
      <c r="N17" s="2"/>
      <c r="O17" s="6">
        <v>21485704.18</v>
      </c>
      <c r="P17" s="2"/>
      <c r="Q17" s="50">
        <v>26440431</v>
      </c>
      <c r="R17" s="2"/>
      <c r="S17" s="6">
        <v>15866173.42</v>
      </c>
      <c r="V17" s="34">
        <f>+MIN(G17,I17,K17,O17,S17)</f>
        <v>10273059.031034539</v>
      </c>
      <c r="W17" s="34">
        <f>+AVERAGE(G17,I17,K17,O17,S17)</f>
        <v>15570907.838072335</v>
      </c>
      <c r="X17" s="34">
        <f>+MAX(G17,I17,K17,O17,S17)</f>
        <v>21485704.18</v>
      </c>
      <c r="Y17" s="51">
        <f>+(W17/V17)-1</f>
        <v>0.51570314071331502</v>
      </c>
      <c r="Z17" s="50">
        <f t="shared" si="4"/>
        <v>12921983.434553437</v>
      </c>
      <c r="AB17" s="52">
        <f t="shared" si="5"/>
        <v>12921983.43</v>
      </c>
      <c r="AC17" s="53">
        <f t="shared" si="6"/>
        <v>2455176.85</v>
      </c>
      <c r="AD17" s="54">
        <f t="shared" si="7"/>
        <v>15377160.279999999</v>
      </c>
      <c r="AE17" s="53">
        <f t="shared" si="8"/>
        <v>15377160.279999999</v>
      </c>
    </row>
    <row r="18" spans="1:31" x14ac:dyDescent="0.2">
      <c r="B18" s="43" t="s">
        <v>56</v>
      </c>
      <c r="C18" s="5" t="s">
        <v>57</v>
      </c>
      <c r="D18" s="4" t="s">
        <v>35</v>
      </c>
      <c r="E18" s="4">
        <v>1</v>
      </c>
      <c r="G18" s="6">
        <v>13789639.559327139</v>
      </c>
      <c r="H18" s="6"/>
      <c r="I18" s="6">
        <v>10273059.031034539</v>
      </c>
      <c r="J18" s="6"/>
      <c r="K18" s="6">
        <v>16439963</v>
      </c>
      <c r="M18" s="50">
        <v>34594957</v>
      </c>
      <c r="N18" s="2"/>
      <c r="O18" s="6">
        <v>21485704.18</v>
      </c>
      <c r="P18" s="2"/>
      <c r="Q18" s="50">
        <v>26440431</v>
      </c>
      <c r="R18" s="2"/>
      <c r="S18" s="6">
        <v>15866173.42</v>
      </c>
      <c r="V18" s="34">
        <f>+MIN(G18,I18,K18,O18,S18)</f>
        <v>10273059.031034539</v>
      </c>
      <c r="W18" s="34">
        <f>+AVERAGE(G18,I18,K18,O18,S18)</f>
        <v>15570907.838072335</v>
      </c>
      <c r="X18" s="34">
        <f>+MAX(G18,I18,K18,O18,S18)</f>
        <v>21485704.18</v>
      </c>
      <c r="Y18" s="51">
        <f t="shared" si="3"/>
        <v>0.51570314071331502</v>
      </c>
      <c r="Z18" s="50">
        <f t="shared" si="4"/>
        <v>12921983.434553437</v>
      </c>
      <c r="AB18" s="52">
        <f t="shared" si="5"/>
        <v>12921983.43</v>
      </c>
      <c r="AC18" s="53">
        <f t="shared" si="6"/>
        <v>2455176.85</v>
      </c>
      <c r="AD18" s="54">
        <f t="shared" si="7"/>
        <v>15377160.279999999</v>
      </c>
      <c r="AE18" s="53">
        <f t="shared" si="8"/>
        <v>15377160.279999999</v>
      </c>
    </row>
    <row r="19" spans="1:31" x14ac:dyDescent="0.2">
      <c r="B19" s="43" t="s">
        <v>58</v>
      </c>
      <c r="C19" s="5" t="s">
        <v>85</v>
      </c>
      <c r="D19" s="4" t="s">
        <v>32</v>
      </c>
      <c r="E19" s="4">
        <v>24</v>
      </c>
      <c r="G19" s="6">
        <v>21343812.602945168</v>
      </c>
      <c r="H19" s="6"/>
      <c r="I19" s="6">
        <v>12380551.942582281</v>
      </c>
      <c r="J19" s="6"/>
      <c r="K19" s="6">
        <v>10298399.42</v>
      </c>
      <c r="M19" s="6">
        <v>20040697.708333332</v>
      </c>
      <c r="N19" s="2"/>
      <c r="O19" s="50">
        <v>765758253.66999996</v>
      </c>
      <c r="P19" s="2"/>
      <c r="Q19" s="50">
        <v>496392666</v>
      </c>
      <c r="R19" s="2"/>
      <c r="S19" s="50">
        <v>8872545.5199999996</v>
      </c>
      <c r="V19" s="34">
        <f>+MIN(G19,I19,K19,M19)</f>
        <v>10298399.42</v>
      </c>
      <c r="W19" s="50">
        <f>+AVERAGE(G19,I19,K19,M19)</f>
        <v>16015865.418465197</v>
      </c>
      <c r="X19" s="34">
        <f>+MAX(G19,I19,K19,M19)</f>
        <v>21343812.602945168</v>
      </c>
      <c r="Y19" s="51">
        <f>+(W19/V19)-1</f>
        <v>0.55518005908389956</v>
      </c>
      <c r="Z19" s="6">
        <f>+AVERAGE(V19,W19)</f>
        <v>13157132.419232599</v>
      </c>
      <c r="AB19" s="52">
        <f>+W19</f>
        <v>16015865.418465197</v>
      </c>
      <c r="AC19" s="53">
        <f t="shared" si="6"/>
        <v>3043014.43</v>
      </c>
      <c r="AD19" s="54">
        <f t="shared" si="7"/>
        <v>19058879.850000001</v>
      </c>
      <c r="AE19" s="53">
        <f t="shared" si="8"/>
        <v>457413116.39999998</v>
      </c>
    </row>
    <row r="20" spans="1:31" ht="38.25" x14ac:dyDescent="0.2">
      <c r="B20" s="49">
        <v>2</v>
      </c>
      <c r="C20" s="48" t="s">
        <v>59</v>
      </c>
      <c r="D20" s="47" t="s">
        <v>32</v>
      </c>
      <c r="E20" s="47">
        <v>1</v>
      </c>
      <c r="F20" s="4"/>
      <c r="G20" s="6">
        <v>500868903.68963677</v>
      </c>
      <c r="H20" s="6">
        <f>'ANEXO 2 RESULTADO COTIZACIONES'!J21</f>
        <v>0</v>
      </c>
      <c r="I20" s="50">
        <v>181594570.10618013</v>
      </c>
      <c r="J20" s="6">
        <f>+H20+I20</f>
        <v>181594570.10618013</v>
      </c>
      <c r="K20" s="6">
        <v>304000000</v>
      </c>
      <c r="M20" s="50">
        <v>39094875074</v>
      </c>
      <c r="N20" s="2"/>
      <c r="O20" s="6">
        <v>653125021</v>
      </c>
      <c r="P20" s="2"/>
      <c r="Q20" s="50">
        <v>37340617859</v>
      </c>
      <c r="R20" s="2"/>
      <c r="S20" s="6">
        <v>438821131.45999998</v>
      </c>
      <c r="V20" s="34">
        <f>+MIN(G20,K20,O20,S20)</f>
        <v>304000000</v>
      </c>
      <c r="W20" s="34">
        <f>+AVERAGE(G20,K20,O20,S20)</f>
        <v>474203764.03740919</v>
      </c>
      <c r="X20" s="34">
        <f>+MAX(G20,K20,O20,S20)</f>
        <v>653125021</v>
      </c>
      <c r="Y20" s="51">
        <f t="shared" si="3"/>
        <v>0.55988080275463559</v>
      </c>
      <c r="Z20" s="50">
        <f>+AVERAGE(V20,W20)</f>
        <v>389101882.01870459</v>
      </c>
      <c r="AB20" s="52">
        <f t="shared" si="5"/>
        <v>389101882.01999998</v>
      </c>
      <c r="AC20" s="55">
        <f t="shared" si="6"/>
        <v>73929357.579999998</v>
      </c>
      <c r="AD20" s="56">
        <f t="shared" si="7"/>
        <v>463031239.60000002</v>
      </c>
      <c r="AE20" s="55">
        <f t="shared" si="8"/>
        <v>463031239.60000002</v>
      </c>
    </row>
    <row r="21" spans="1:31" ht="14.25" customHeight="1" x14ac:dyDescent="0.2">
      <c r="L21" s="1"/>
      <c r="AB21" s="117" t="s">
        <v>15</v>
      </c>
      <c r="AC21" s="118"/>
      <c r="AD21" s="119"/>
      <c r="AE21" s="42">
        <f>+SUM(AE7:AE20)</f>
        <v>2700489326.1599998</v>
      </c>
    </row>
    <row r="22" spans="1:31" x14ac:dyDescent="0.2">
      <c r="B22" s="15" t="s">
        <v>16</v>
      </c>
      <c r="C22" s="15"/>
      <c r="D22" s="16"/>
      <c r="E22" s="16"/>
      <c r="F22" s="16"/>
      <c r="L22" s="1"/>
      <c r="Q22" s="32"/>
      <c r="AE22" s="22"/>
    </row>
    <row r="23" spans="1:31" ht="27" customHeight="1" x14ac:dyDescent="0.2">
      <c r="B23" s="114" t="s">
        <v>65</v>
      </c>
      <c r="C23" s="115"/>
      <c r="D23" s="115"/>
      <c r="E23" s="115"/>
      <c r="F23" s="115"/>
      <c r="G23" s="115"/>
      <c r="H23" s="115"/>
      <c r="I23" s="116"/>
      <c r="J23" s="32"/>
      <c r="K23" s="32"/>
      <c r="L23" s="33"/>
      <c r="M23" s="35"/>
      <c r="N23" s="33"/>
      <c r="O23" s="32"/>
      <c r="P23" s="33"/>
      <c r="Q23" s="33"/>
      <c r="R23" s="33"/>
      <c r="S23" s="32"/>
      <c r="V23" s="1"/>
      <c r="W23" s="23"/>
      <c r="AE23" s="22"/>
    </row>
    <row r="24" spans="1:31" ht="94.5" customHeight="1" x14ac:dyDescent="0.2">
      <c r="B24" s="105" t="s">
        <v>69</v>
      </c>
      <c r="C24" s="106"/>
      <c r="D24" s="106"/>
      <c r="E24" s="106"/>
      <c r="F24" s="106"/>
      <c r="G24" s="106"/>
      <c r="H24" s="106"/>
      <c r="I24" s="107"/>
      <c r="J24" s="33"/>
      <c r="K24" s="33"/>
      <c r="L24" s="33"/>
      <c r="M24" s="36"/>
      <c r="N24" s="33"/>
      <c r="O24" s="33"/>
      <c r="P24" s="33"/>
      <c r="Q24" s="14"/>
      <c r="R24" s="33"/>
      <c r="S24" s="33"/>
      <c r="Z24" s="22"/>
      <c r="AE24" s="22"/>
    </row>
    <row r="25" spans="1:31" ht="69" customHeight="1" x14ac:dyDescent="0.2">
      <c r="B25" s="105" t="s">
        <v>66</v>
      </c>
      <c r="C25" s="106"/>
      <c r="D25" s="106"/>
      <c r="E25" s="106"/>
      <c r="F25" s="106"/>
      <c r="G25" s="106"/>
      <c r="H25" s="106"/>
      <c r="I25" s="107"/>
      <c r="J25" s="33"/>
      <c r="K25" s="33"/>
      <c r="L25" s="33"/>
      <c r="M25" s="36"/>
      <c r="N25" s="33"/>
      <c r="O25" s="33"/>
      <c r="P25" s="33"/>
      <c r="Q25" s="14"/>
      <c r="R25" s="33"/>
      <c r="S25" s="33"/>
    </row>
    <row r="26" spans="1:31" ht="41.25" customHeight="1" x14ac:dyDescent="0.2">
      <c r="A26" s="1"/>
      <c r="B26" s="108" t="s">
        <v>17</v>
      </c>
      <c r="C26" s="109"/>
      <c r="D26" s="109"/>
      <c r="E26" s="109"/>
      <c r="F26" s="109"/>
      <c r="G26" s="109"/>
      <c r="H26" s="109"/>
      <c r="I26" s="110"/>
      <c r="J26" s="14"/>
      <c r="K26" s="14"/>
      <c r="L26" s="14"/>
      <c r="M26" s="14"/>
      <c r="N26" s="14"/>
      <c r="O26" s="14"/>
      <c r="P26" s="14"/>
      <c r="R26" s="14"/>
      <c r="S26" s="14"/>
    </row>
    <row r="27" spans="1:31" x14ac:dyDescent="0.2">
      <c r="A27" s="1"/>
      <c r="B27" s="38"/>
      <c r="C27" s="38"/>
      <c r="D27" s="38"/>
      <c r="E27" s="38"/>
      <c r="F27" s="38"/>
      <c r="G27" s="1"/>
      <c r="H27" s="1"/>
      <c r="I27" s="1"/>
      <c r="J27" s="1"/>
      <c r="K27" s="1"/>
      <c r="L27" s="1"/>
      <c r="M27" s="1"/>
      <c r="O27" s="1"/>
      <c r="Q27" s="32"/>
      <c r="S27" s="1"/>
    </row>
    <row r="28" spans="1:31" ht="15.75" customHeight="1" x14ac:dyDescent="0.2">
      <c r="A28" s="1"/>
      <c r="B28" s="111" t="s">
        <v>101</v>
      </c>
      <c r="C28" s="112"/>
      <c r="D28" s="7"/>
      <c r="E28" s="7"/>
      <c r="F28" s="7"/>
      <c r="G28" s="1"/>
      <c r="H28" s="7"/>
      <c r="I28" s="1"/>
      <c r="J28" s="1"/>
      <c r="K28" s="1"/>
      <c r="L28" s="1"/>
      <c r="M28" s="1"/>
      <c r="O28" s="1"/>
      <c r="Q28" s="33"/>
      <c r="S28" s="1"/>
    </row>
    <row r="29" spans="1:31" x14ac:dyDescent="0.2">
      <c r="A29" s="1"/>
      <c r="B29" s="1"/>
      <c r="C29" s="113"/>
      <c r="D29" s="113"/>
      <c r="E29" s="113"/>
      <c r="F29" s="113"/>
      <c r="G29" s="113"/>
      <c r="H29" s="113"/>
      <c r="I29" s="1"/>
      <c r="J29" s="1"/>
      <c r="K29" s="1"/>
      <c r="L29" s="1"/>
      <c r="M29" s="1"/>
      <c r="O29" s="1"/>
      <c r="Q29" s="1"/>
      <c r="S29" s="1"/>
    </row>
    <row r="30" spans="1:31" ht="37.5" customHeight="1" x14ac:dyDescent="0.2">
      <c r="A30" s="1"/>
      <c r="B30" s="57" t="s">
        <v>18</v>
      </c>
      <c r="C30" s="81" t="s">
        <v>30</v>
      </c>
      <c r="D30" s="82"/>
      <c r="E30" s="101"/>
      <c r="F30" s="102"/>
      <c r="G30" s="1"/>
      <c r="H30" s="1"/>
      <c r="I30" s="1"/>
      <c r="J30" s="1"/>
      <c r="K30" s="1"/>
      <c r="L30" s="1"/>
      <c r="M30" s="1"/>
      <c r="O30" s="1"/>
      <c r="Q30" s="1"/>
      <c r="S30" s="1"/>
    </row>
    <row r="31" spans="1:31" ht="37.5" customHeight="1" x14ac:dyDescent="0.2">
      <c r="A31" s="1"/>
      <c r="B31" s="57" t="s">
        <v>19</v>
      </c>
      <c r="C31" s="81" t="s">
        <v>99</v>
      </c>
      <c r="D31" s="82"/>
      <c r="E31" s="101"/>
      <c r="F31" s="102"/>
      <c r="G31" s="1"/>
      <c r="H31" s="1"/>
      <c r="I31" s="1"/>
      <c r="J31" s="1"/>
      <c r="K31" s="1"/>
      <c r="L31" s="1"/>
      <c r="M31" s="1"/>
      <c r="O31" s="1"/>
      <c r="Q31" s="1"/>
      <c r="S31" s="1"/>
    </row>
    <row r="32" spans="1:31" x14ac:dyDescent="0.2">
      <c r="A32" s="1"/>
      <c r="B32" s="1"/>
      <c r="C32" s="1"/>
      <c r="D32" s="1"/>
      <c r="E32" s="1"/>
      <c r="F32" s="1"/>
      <c r="G32" s="1"/>
      <c r="H32" s="1"/>
      <c r="I32" s="1"/>
      <c r="J32" s="1"/>
      <c r="K32" s="1"/>
      <c r="L32" s="1"/>
      <c r="M32" s="1"/>
      <c r="O32" s="1"/>
      <c r="Q32" s="1"/>
      <c r="S32" s="1"/>
    </row>
    <row r="33" spans="1:19" x14ac:dyDescent="0.2">
      <c r="A33" s="1"/>
      <c r="B33" s="1"/>
      <c r="C33" s="1"/>
      <c r="D33" s="1"/>
      <c r="E33" s="1"/>
      <c r="F33" s="1"/>
      <c r="G33" s="1"/>
      <c r="H33" s="1"/>
      <c r="I33" s="1"/>
      <c r="J33" s="1"/>
      <c r="K33" s="1"/>
      <c r="L33" s="1"/>
      <c r="M33" s="1"/>
      <c r="O33" s="1"/>
      <c r="Q33" s="1"/>
      <c r="S33" s="1"/>
    </row>
    <row r="34" spans="1:19" x14ac:dyDescent="0.2">
      <c r="A34" s="1"/>
      <c r="B34" s="1"/>
      <c r="C34" s="1"/>
      <c r="D34" s="1"/>
      <c r="E34" s="1"/>
      <c r="F34" s="1"/>
      <c r="G34" s="1"/>
      <c r="H34" s="1"/>
      <c r="I34" s="1"/>
      <c r="J34" s="1"/>
      <c r="K34" s="1"/>
      <c r="L34" s="1"/>
      <c r="M34" s="1"/>
      <c r="O34" s="1"/>
      <c r="Q34" s="1"/>
      <c r="S34" s="1"/>
    </row>
    <row r="35" spans="1:19" x14ac:dyDescent="0.2">
      <c r="A35" s="1"/>
      <c r="B35" s="1"/>
      <c r="C35" s="1"/>
      <c r="D35" s="1"/>
      <c r="E35" s="1"/>
      <c r="F35" s="1"/>
      <c r="G35" s="1"/>
      <c r="H35" s="1"/>
      <c r="I35" s="1"/>
      <c r="J35" s="1"/>
      <c r="K35" s="1"/>
      <c r="L35" s="1"/>
      <c r="M35" s="1"/>
      <c r="O35" s="1"/>
      <c r="Q35" s="1"/>
      <c r="S35" s="1"/>
    </row>
  </sheetData>
  <mergeCells count="18">
    <mergeCell ref="AB21:AD21"/>
    <mergeCell ref="D2:AE2"/>
    <mergeCell ref="D3:AE3"/>
    <mergeCell ref="B4:E4"/>
    <mergeCell ref="AB4:AE4"/>
    <mergeCell ref="X4:X5"/>
    <mergeCell ref="Z4:Z5"/>
    <mergeCell ref="B2:C3"/>
    <mergeCell ref="E31:F31"/>
    <mergeCell ref="V4:V5"/>
    <mergeCell ref="W4:W5"/>
    <mergeCell ref="B24:I24"/>
    <mergeCell ref="B26:I26"/>
    <mergeCell ref="B28:C28"/>
    <mergeCell ref="C29:H29"/>
    <mergeCell ref="E30:F30"/>
    <mergeCell ref="B23:I23"/>
    <mergeCell ref="B25:I25"/>
  </mergeCells>
  <phoneticPr fontId="17"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29"/>
  <sheetViews>
    <sheetView showGridLines="0" topLeftCell="B23" zoomScale="145" zoomScaleNormal="145" workbookViewId="0">
      <selection activeCell="G25" sqref="G25"/>
    </sheetView>
  </sheetViews>
  <sheetFormatPr baseColWidth="10" defaultColWidth="11.375" defaultRowHeight="12.75" x14ac:dyDescent="0.2"/>
  <cols>
    <col min="1" max="1" width="3.625" style="2" customWidth="1"/>
    <col min="2" max="2" width="7.625" style="2" customWidth="1"/>
    <col min="3" max="3" width="36.875" style="2" customWidth="1"/>
    <col min="4" max="5" width="11.375" style="2"/>
    <col min="6" max="6" width="1.375" style="2" customWidth="1"/>
    <col min="7" max="7" width="16.25" style="2" customWidth="1"/>
    <col min="8" max="8" width="1.375" style="2" customWidth="1"/>
    <col min="9" max="12" width="13.25" style="2" customWidth="1"/>
    <col min="13" max="13" width="11.375" style="2"/>
    <col min="14" max="14" width="11.875" style="2" customWidth="1"/>
    <col min="15" max="16384" width="11.375" style="2"/>
  </cols>
  <sheetData>
    <row r="2" spans="2:16" ht="30.75" customHeight="1" x14ac:dyDescent="0.2">
      <c r="B2" s="132"/>
      <c r="C2" s="132"/>
      <c r="D2" s="135" t="s">
        <v>23</v>
      </c>
      <c r="E2" s="136"/>
      <c r="F2" s="136"/>
      <c r="G2" s="136"/>
      <c r="H2" s="136"/>
      <c r="I2" s="136"/>
      <c r="J2" s="136"/>
      <c r="K2" s="136"/>
      <c r="L2" s="137"/>
    </row>
    <row r="3" spans="2:16" ht="65.25" customHeight="1" x14ac:dyDescent="0.2">
      <c r="B3" s="132"/>
      <c r="C3" s="132"/>
      <c r="D3" s="121" t="str">
        <f>+'ANEXO 1 ANÁLISIS DE COTIZACIÓN'!D3</f>
        <v>PRESTAR EL SERVICIO INTEGRAL DE MESA DE SERVICIOS Y SOPORTE TÉCNICO.</v>
      </c>
      <c r="E3" s="122"/>
      <c r="F3" s="122"/>
      <c r="G3" s="122"/>
      <c r="H3" s="122"/>
      <c r="I3" s="122"/>
      <c r="J3" s="122"/>
      <c r="K3" s="122"/>
      <c r="L3" s="123"/>
    </row>
    <row r="4" spans="2:16" ht="61.5" customHeight="1" x14ac:dyDescent="0.2">
      <c r="B4" s="124" t="s">
        <v>1</v>
      </c>
      <c r="C4" s="125"/>
      <c r="D4" s="125"/>
      <c r="E4" s="126"/>
      <c r="G4" s="10" t="s">
        <v>24</v>
      </c>
      <c r="H4" s="11"/>
      <c r="I4" s="127" t="s">
        <v>25</v>
      </c>
      <c r="J4" s="128"/>
      <c r="K4" s="128"/>
      <c r="L4" s="129"/>
      <c r="P4" s="21"/>
    </row>
    <row r="5" spans="2:16" ht="48" customHeight="1" x14ac:dyDescent="0.2">
      <c r="B5" s="3" t="s">
        <v>5</v>
      </c>
      <c r="C5" s="3" t="s">
        <v>6</v>
      </c>
      <c r="D5" s="3" t="s">
        <v>7</v>
      </c>
      <c r="E5" s="3" t="s">
        <v>8</v>
      </c>
      <c r="G5" s="12" t="s">
        <v>26</v>
      </c>
      <c r="H5" s="11"/>
      <c r="I5" s="3" t="s">
        <v>11</v>
      </c>
      <c r="J5" s="3" t="s">
        <v>20</v>
      </c>
      <c r="K5" s="3" t="s">
        <v>21</v>
      </c>
      <c r="L5" s="3" t="s">
        <v>22</v>
      </c>
    </row>
    <row r="6" spans="2:16" ht="24" customHeight="1" x14ac:dyDescent="0.2">
      <c r="B6" s="45">
        <v>1</v>
      </c>
      <c r="C6" s="46" t="s">
        <v>31</v>
      </c>
      <c r="D6" s="47" t="s">
        <v>32</v>
      </c>
      <c r="E6" s="47">
        <v>24</v>
      </c>
      <c r="G6" s="13"/>
      <c r="I6" s="58"/>
      <c r="J6" s="59"/>
      <c r="K6" s="59"/>
      <c r="L6" s="60"/>
      <c r="N6" s="26"/>
      <c r="O6" s="23"/>
    </row>
    <row r="7" spans="2:16" s="1" customFormat="1" ht="15.75" customHeight="1" x14ac:dyDescent="0.2">
      <c r="B7" s="43" t="s">
        <v>33</v>
      </c>
      <c r="C7" s="5" t="s">
        <v>34</v>
      </c>
      <c r="D7" s="4" t="s">
        <v>35</v>
      </c>
      <c r="E7" s="4">
        <v>1</v>
      </c>
      <c r="G7" s="13">
        <f>'ANEXO 1 ANÁLISIS DE COTIZACIÓN'!AB7</f>
        <v>31344591.530000001</v>
      </c>
      <c r="I7" s="34">
        <f t="shared" ref="I7:I20" si="0">G7</f>
        <v>31344591.530000001</v>
      </c>
      <c r="J7" s="6">
        <f t="shared" ref="J7:J20" si="1">+ROUND((I7*19/100),2)</f>
        <v>5955472.3899999997</v>
      </c>
      <c r="K7" s="6">
        <f>ROUND((+I7+J7),2)</f>
        <v>37300063.920000002</v>
      </c>
      <c r="L7" s="6">
        <f t="shared" ref="L7:L20" si="2">+K7*$E7</f>
        <v>37300063.920000002</v>
      </c>
      <c r="N7" s="27"/>
      <c r="O7" s="28"/>
    </row>
    <row r="8" spans="2:16" x14ac:dyDescent="0.2">
      <c r="B8" s="43" t="s">
        <v>36</v>
      </c>
      <c r="C8" s="5" t="s">
        <v>37</v>
      </c>
      <c r="D8" s="4" t="s">
        <v>35</v>
      </c>
      <c r="E8" s="4">
        <v>1</v>
      </c>
      <c r="F8" s="16"/>
      <c r="G8" s="13">
        <f>'ANEXO 1 ANÁLISIS DE COTIZACIÓN'!AB8</f>
        <v>17281681.219999999</v>
      </c>
      <c r="I8" s="34">
        <f t="shared" si="0"/>
        <v>17281681.219999999</v>
      </c>
      <c r="J8" s="6">
        <f t="shared" si="1"/>
        <v>3283519.43</v>
      </c>
      <c r="K8" s="6">
        <f t="shared" ref="K8:K20" si="3">ROUND((+I8+J8),2)</f>
        <v>20565200.649999999</v>
      </c>
      <c r="L8" s="6">
        <f t="shared" si="2"/>
        <v>20565200.649999999</v>
      </c>
    </row>
    <row r="9" spans="2:16" x14ac:dyDescent="0.2">
      <c r="B9" s="43" t="s">
        <v>38</v>
      </c>
      <c r="C9" s="5" t="s">
        <v>39</v>
      </c>
      <c r="D9" s="4" t="s">
        <v>35</v>
      </c>
      <c r="E9" s="4">
        <v>2</v>
      </c>
      <c r="F9" s="16"/>
      <c r="G9" s="13">
        <f>'ANEXO 1 ANÁLISIS DE COTIZACIÓN'!AB9</f>
        <v>16559829.01</v>
      </c>
      <c r="I9" s="34">
        <f t="shared" si="0"/>
        <v>16559829.01</v>
      </c>
      <c r="J9" s="6">
        <f t="shared" si="1"/>
        <v>3146367.51</v>
      </c>
      <c r="K9" s="6">
        <f t="shared" si="3"/>
        <v>19706196.52</v>
      </c>
      <c r="L9" s="6">
        <f t="shared" si="2"/>
        <v>39412393.039999999</v>
      </c>
    </row>
    <row r="10" spans="2:16" x14ac:dyDescent="0.2">
      <c r="B10" s="43" t="s">
        <v>40</v>
      </c>
      <c r="C10" s="5" t="s">
        <v>41</v>
      </c>
      <c r="D10" s="4" t="s">
        <v>35</v>
      </c>
      <c r="E10" s="4">
        <v>40</v>
      </c>
      <c r="F10" s="16"/>
      <c r="G10" s="13">
        <f>'ANEXO 1 ANÁLISIS DE COTIZACIÓN'!AB10</f>
        <v>7970949.3099999996</v>
      </c>
      <c r="I10" s="34">
        <f t="shared" si="0"/>
        <v>7970949.3099999996</v>
      </c>
      <c r="J10" s="6">
        <f t="shared" si="1"/>
        <v>1514480.37</v>
      </c>
      <c r="K10" s="6">
        <f t="shared" si="3"/>
        <v>9485429.6799999997</v>
      </c>
      <c r="L10" s="6">
        <f t="shared" si="2"/>
        <v>379417187.19999999</v>
      </c>
    </row>
    <row r="11" spans="2:16" x14ac:dyDescent="0.2">
      <c r="B11" s="43" t="s">
        <v>42</v>
      </c>
      <c r="C11" s="5" t="s">
        <v>43</v>
      </c>
      <c r="D11" s="4" t="s">
        <v>35</v>
      </c>
      <c r="E11" s="4">
        <v>158</v>
      </c>
      <c r="F11" s="16"/>
      <c r="G11" s="13">
        <f>'ANEXO 1 ANÁLISIS DE COTIZACIÓN'!AB11</f>
        <v>6307386.0800000001</v>
      </c>
      <c r="I11" s="34">
        <f t="shared" si="0"/>
        <v>6307386.0800000001</v>
      </c>
      <c r="J11" s="6">
        <f t="shared" si="1"/>
        <v>1198403.3600000001</v>
      </c>
      <c r="K11" s="6">
        <f t="shared" si="3"/>
        <v>7505789.4400000004</v>
      </c>
      <c r="L11" s="6">
        <f t="shared" si="2"/>
        <v>1185914731.52</v>
      </c>
    </row>
    <row r="12" spans="2:16" x14ac:dyDescent="0.2">
      <c r="B12" s="43" t="s">
        <v>44</v>
      </c>
      <c r="C12" s="5" t="s">
        <v>45</v>
      </c>
      <c r="D12" s="4" t="s">
        <v>35</v>
      </c>
      <c r="E12" s="4">
        <v>1</v>
      </c>
      <c r="F12" s="16"/>
      <c r="G12" s="13">
        <f>'ANEXO 1 ANÁLISIS DE COTIZACIÓN'!AB12</f>
        <v>17346020.41</v>
      </c>
      <c r="I12" s="34">
        <f t="shared" si="0"/>
        <v>17346020.41</v>
      </c>
      <c r="J12" s="6">
        <f t="shared" si="1"/>
        <v>3295743.88</v>
      </c>
      <c r="K12" s="6">
        <f t="shared" si="3"/>
        <v>20641764.289999999</v>
      </c>
      <c r="L12" s="6">
        <f t="shared" si="2"/>
        <v>20641764.289999999</v>
      </c>
    </row>
    <row r="13" spans="2:16" x14ac:dyDescent="0.2">
      <c r="B13" s="43" t="s">
        <v>46</v>
      </c>
      <c r="C13" s="5" t="s">
        <v>47</v>
      </c>
      <c r="D13" s="4" t="s">
        <v>35</v>
      </c>
      <c r="E13" s="4">
        <v>1</v>
      </c>
      <c r="F13" s="16"/>
      <c r="G13" s="13">
        <f>'ANEXO 1 ANÁLISIS DE COTIZACIÓN'!AB13</f>
        <v>13827777.029999999</v>
      </c>
      <c r="I13" s="34">
        <f t="shared" si="0"/>
        <v>13827777.029999999</v>
      </c>
      <c r="J13" s="6">
        <f t="shared" si="1"/>
        <v>2627277.64</v>
      </c>
      <c r="K13" s="6">
        <f t="shared" si="3"/>
        <v>16455054.67</v>
      </c>
      <c r="L13" s="6">
        <f t="shared" si="2"/>
        <v>16455054.67</v>
      </c>
    </row>
    <row r="14" spans="2:16" x14ac:dyDescent="0.2">
      <c r="B14" s="43" t="s">
        <v>48</v>
      </c>
      <c r="C14" s="5" t="s">
        <v>49</v>
      </c>
      <c r="D14" s="4" t="s">
        <v>35</v>
      </c>
      <c r="E14" s="4">
        <v>1</v>
      </c>
      <c r="F14" s="16"/>
      <c r="G14" s="13">
        <f>'ANEXO 1 ANÁLISIS DE COTIZACIÓN'!AB14</f>
        <v>13614547.779999999</v>
      </c>
      <c r="I14" s="34">
        <f t="shared" si="0"/>
        <v>13614547.779999999</v>
      </c>
      <c r="J14" s="6">
        <f t="shared" si="1"/>
        <v>2586764.08</v>
      </c>
      <c r="K14" s="6">
        <f t="shared" si="3"/>
        <v>16201311.859999999</v>
      </c>
      <c r="L14" s="6">
        <f t="shared" si="2"/>
        <v>16201311.859999999</v>
      </c>
    </row>
    <row r="15" spans="2:16" x14ac:dyDescent="0.2">
      <c r="B15" s="43" t="s">
        <v>50</v>
      </c>
      <c r="C15" s="5" t="s">
        <v>51</v>
      </c>
      <c r="D15" s="4" t="s">
        <v>35</v>
      </c>
      <c r="E15" s="4">
        <v>1</v>
      </c>
      <c r="F15" s="16"/>
      <c r="G15" s="13">
        <f>'ANEXO 1 ANÁLISIS DE COTIZACIÓN'!AB15</f>
        <v>14675804.960000001</v>
      </c>
      <c r="I15" s="34">
        <f t="shared" si="0"/>
        <v>14675804.960000001</v>
      </c>
      <c r="J15" s="6">
        <f t="shared" si="1"/>
        <v>2788402.94</v>
      </c>
      <c r="K15" s="6">
        <f t="shared" si="3"/>
        <v>17464207.899999999</v>
      </c>
      <c r="L15" s="6">
        <f t="shared" si="2"/>
        <v>17464207.899999999</v>
      </c>
    </row>
    <row r="16" spans="2:16" x14ac:dyDescent="0.2">
      <c r="B16" s="43" t="s">
        <v>52</v>
      </c>
      <c r="C16" s="5" t="s">
        <v>53</v>
      </c>
      <c r="D16" s="4" t="s">
        <v>35</v>
      </c>
      <c r="E16" s="4">
        <v>1</v>
      </c>
      <c r="F16" s="16"/>
      <c r="G16" s="13">
        <f>'ANEXO 1 ANÁLISIS DE COTIZACIÓN'!AB16</f>
        <v>13377087.859999999</v>
      </c>
      <c r="I16" s="34">
        <f t="shared" si="0"/>
        <v>13377087.859999999</v>
      </c>
      <c r="J16" s="6">
        <f t="shared" si="1"/>
        <v>2541646.69</v>
      </c>
      <c r="K16" s="6">
        <f t="shared" si="3"/>
        <v>15918734.550000001</v>
      </c>
      <c r="L16" s="6">
        <f t="shared" si="2"/>
        <v>15918734.550000001</v>
      </c>
    </row>
    <row r="17" spans="1:12" x14ac:dyDescent="0.2">
      <c r="B17" s="43" t="s">
        <v>54</v>
      </c>
      <c r="C17" s="5" t="s">
        <v>55</v>
      </c>
      <c r="D17" s="4" t="s">
        <v>35</v>
      </c>
      <c r="E17" s="4">
        <v>1</v>
      </c>
      <c r="F17" s="16"/>
      <c r="G17" s="13">
        <f>'ANEXO 1 ANÁLISIS DE COTIZACIÓN'!AB17</f>
        <v>12921983.43</v>
      </c>
      <c r="I17" s="34">
        <f t="shared" si="0"/>
        <v>12921983.43</v>
      </c>
      <c r="J17" s="6">
        <f t="shared" si="1"/>
        <v>2455176.85</v>
      </c>
      <c r="K17" s="6">
        <f t="shared" si="3"/>
        <v>15377160.279999999</v>
      </c>
      <c r="L17" s="6">
        <f t="shared" si="2"/>
        <v>15377160.279999999</v>
      </c>
    </row>
    <row r="18" spans="1:12" x14ac:dyDescent="0.2">
      <c r="B18" s="43" t="s">
        <v>56</v>
      </c>
      <c r="C18" s="5" t="s">
        <v>57</v>
      </c>
      <c r="D18" s="4" t="s">
        <v>35</v>
      </c>
      <c r="E18" s="4">
        <v>1</v>
      </c>
      <c r="F18" s="16"/>
      <c r="G18" s="13">
        <f>'ANEXO 1 ANÁLISIS DE COTIZACIÓN'!AB18</f>
        <v>12921983.43</v>
      </c>
      <c r="I18" s="34">
        <f t="shared" si="0"/>
        <v>12921983.43</v>
      </c>
      <c r="J18" s="6">
        <f t="shared" si="1"/>
        <v>2455176.85</v>
      </c>
      <c r="K18" s="6">
        <f t="shared" si="3"/>
        <v>15377160.279999999</v>
      </c>
      <c r="L18" s="6">
        <f t="shared" si="2"/>
        <v>15377160.279999999</v>
      </c>
    </row>
    <row r="19" spans="1:12" x14ac:dyDescent="0.2">
      <c r="B19" s="43" t="s">
        <v>58</v>
      </c>
      <c r="C19" s="5" t="s">
        <v>85</v>
      </c>
      <c r="D19" s="4" t="s">
        <v>32</v>
      </c>
      <c r="E19" s="4">
        <v>24</v>
      </c>
      <c r="F19" s="16"/>
      <c r="G19" s="13">
        <f>'ANEXO 1 ANÁLISIS DE COTIZACIÓN'!AB19</f>
        <v>16015865.418465197</v>
      </c>
      <c r="I19" s="34">
        <f t="shared" si="0"/>
        <v>16015865.418465197</v>
      </c>
      <c r="J19" s="6">
        <f t="shared" si="1"/>
        <v>3043014.43</v>
      </c>
      <c r="K19" s="6">
        <f t="shared" si="3"/>
        <v>19058879.850000001</v>
      </c>
      <c r="L19" s="6">
        <f t="shared" si="2"/>
        <v>457413116.40000004</v>
      </c>
    </row>
    <row r="20" spans="1:12" ht="25.5" x14ac:dyDescent="0.2">
      <c r="B20" s="49">
        <v>2</v>
      </c>
      <c r="C20" s="48" t="s">
        <v>59</v>
      </c>
      <c r="D20" s="47" t="s">
        <v>32</v>
      </c>
      <c r="E20" s="47">
        <v>1</v>
      </c>
      <c r="F20" s="16"/>
      <c r="G20" s="13">
        <f>'ANEXO 1 ANÁLISIS DE COTIZACIÓN'!AB20</f>
        <v>389101882.01999998</v>
      </c>
      <c r="I20" s="34">
        <f t="shared" si="0"/>
        <v>389101882.01999998</v>
      </c>
      <c r="J20" s="6">
        <f t="shared" si="1"/>
        <v>73929357.579999998</v>
      </c>
      <c r="K20" s="6">
        <f t="shared" si="3"/>
        <v>463031239.60000002</v>
      </c>
      <c r="L20" s="6">
        <f t="shared" si="2"/>
        <v>463031239.60000002</v>
      </c>
    </row>
    <row r="21" spans="1:12" x14ac:dyDescent="0.2">
      <c r="B21" s="15"/>
      <c r="C21" s="15"/>
      <c r="D21" s="16"/>
      <c r="E21" s="16"/>
      <c r="F21" s="16"/>
      <c r="I21" s="138" t="s">
        <v>27</v>
      </c>
      <c r="J21" s="139"/>
      <c r="K21" s="140" t="s">
        <v>15</v>
      </c>
      <c r="L21" s="9">
        <f>SUM(L7:L20)</f>
        <v>2700489326.1599998</v>
      </c>
    </row>
    <row r="22" spans="1:12" x14ac:dyDescent="0.2">
      <c r="B22" s="15" t="s">
        <v>70</v>
      </c>
      <c r="C22" s="15"/>
      <c r="D22" s="16"/>
      <c r="E22" s="16"/>
      <c r="F22" s="16"/>
    </row>
    <row r="23" spans="1:12" ht="41.25" customHeight="1" x14ac:dyDescent="0.2">
      <c r="A23" s="1"/>
      <c r="B23" s="105" t="s">
        <v>28</v>
      </c>
      <c r="C23" s="106"/>
      <c r="D23" s="106"/>
      <c r="E23" s="106"/>
      <c r="F23" s="106"/>
      <c r="G23" s="107"/>
      <c r="H23" s="17"/>
      <c r="I23" s="24"/>
      <c r="J23" s="17"/>
      <c r="K23" s="17"/>
    </row>
    <row r="24" spans="1:12" ht="18.75" customHeight="1" x14ac:dyDescent="0.2">
      <c r="A24" s="1"/>
      <c r="B24" s="18"/>
      <c r="C24" s="18"/>
      <c r="D24" s="18"/>
      <c r="E24" s="18"/>
      <c r="F24" s="18"/>
      <c r="G24" s="19"/>
      <c r="H24" s="17"/>
      <c r="I24" s="25"/>
      <c r="J24" s="25"/>
      <c r="K24" s="25"/>
    </row>
    <row r="25" spans="1:12" ht="16.5" customHeight="1" x14ac:dyDescent="0.2">
      <c r="A25" s="1"/>
      <c r="B25" s="111" t="s">
        <v>101</v>
      </c>
      <c r="C25" s="112"/>
      <c r="D25" s="7"/>
      <c r="E25" s="7"/>
      <c r="F25" s="7"/>
      <c r="G25" s="1"/>
      <c r="H25" s="17"/>
    </row>
    <row r="26" spans="1:12" s="1" customFormat="1" ht="16.5" customHeight="1" x14ac:dyDescent="0.2">
      <c r="B26" s="20"/>
      <c r="C26" s="20"/>
      <c r="D26" s="7"/>
      <c r="E26" s="7"/>
      <c r="F26" s="7"/>
      <c r="H26" s="17"/>
    </row>
    <row r="27" spans="1:12" ht="38.25" x14ac:dyDescent="0.25">
      <c r="A27" s="1"/>
      <c r="B27" s="8" t="s">
        <v>18</v>
      </c>
      <c r="C27" s="81" t="s">
        <v>30</v>
      </c>
      <c r="D27" s="82"/>
      <c r="E27" s="133"/>
      <c r="F27" s="134"/>
      <c r="G27" s="1"/>
    </row>
    <row r="28" spans="1:12" ht="38.25" x14ac:dyDescent="0.25">
      <c r="A28" s="1"/>
      <c r="B28" s="8" t="s">
        <v>19</v>
      </c>
      <c r="C28" s="81" t="s">
        <v>99</v>
      </c>
      <c r="D28" s="82"/>
      <c r="E28" s="133"/>
      <c r="F28" s="134"/>
      <c r="G28" s="1"/>
    </row>
    <row r="29" spans="1:12" x14ac:dyDescent="0.2">
      <c r="A29" s="1"/>
      <c r="B29" s="1"/>
      <c r="C29" s="1"/>
      <c r="D29" s="1"/>
      <c r="E29" s="1"/>
      <c r="F29" s="1"/>
      <c r="G29" s="1"/>
    </row>
  </sheetData>
  <mergeCells count="10">
    <mergeCell ref="B25:C25"/>
    <mergeCell ref="E27:F27"/>
    <mergeCell ref="E28:F28"/>
    <mergeCell ref="B2:C3"/>
    <mergeCell ref="B23:G23"/>
    <mergeCell ref="D2:L2"/>
    <mergeCell ref="D3:L3"/>
    <mergeCell ref="B4:E4"/>
    <mergeCell ref="I4:L4"/>
    <mergeCell ref="I21:K21"/>
  </mergeCells>
  <conditionalFormatting sqref="P4">
    <cfRule type="expression" dxfId="1" priority="5">
      <formula>#REF!&gt;25%</formula>
    </cfRule>
    <cfRule type="expression" dxfId="0" priority="6">
      <formula>#REF!&lt;24.99%</formula>
    </cfRule>
  </conditionalFormatting>
  <pageMargins left="0.7" right="0.7" top="0.75" bottom="0.75" header="0.3" footer="0.3"/>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F40"/>
  <sheetViews>
    <sheetView showGridLines="0" tabSelected="1" zoomScaleNormal="100" workbookViewId="0">
      <selection activeCell="C38" sqref="C38:D39"/>
    </sheetView>
  </sheetViews>
  <sheetFormatPr baseColWidth="10" defaultColWidth="11.375" defaultRowHeight="12.75" x14ac:dyDescent="0.2"/>
  <cols>
    <col min="1" max="1" width="2.625" style="61" customWidth="1"/>
    <col min="2" max="2" width="7.625" style="61" customWidth="1"/>
    <col min="3" max="3" width="35.625" style="61" customWidth="1"/>
    <col min="4" max="4" width="11" style="61" customWidth="1"/>
    <col min="5" max="5" width="9.125" style="61" customWidth="1"/>
    <col min="6" max="6" width="1" style="61" customWidth="1"/>
    <col min="7" max="7" width="14.125" style="61" customWidth="1"/>
    <col min="8" max="8" width="13" style="61" customWidth="1"/>
    <col min="9" max="9" width="13.625" style="61" customWidth="1"/>
    <col min="10" max="10" width="20.375" style="61" customWidth="1"/>
    <col min="11" max="11" width="2.25" style="61" customWidth="1"/>
    <col min="12" max="12" width="14" style="61" customWidth="1"/>
    <col min="13" max="13" width="15" style="61" customWidth="1"/>
    <col min="14" max="14" width="14.375" style="61" customWidth="1"/>
    <col min="15" max="15" width="18.625" style="61" customWidth="1"/>
    <col min="16" max="16" width="1" style="61" customWidth="1"/>
    <col min="17" max="17" width="19.625" style="61" customWidth="1"/>
    <col min="18" max="18" width="13.125" style="61" customWidth="1"/>
    <col min="19" max="19" width="17.5" style="61" customWidth="1"/>
    <col min="20" max="20" width="18.5" style="61" customWidth="1"/>
    <col min="21" max="21" width="21" style="61" customWidth="1"/>
    <col min="22" max="22" width="1" style="61" customWidth="1"/>
    <col min="23" max="25" width="13.125" style="61" customWidth="1"/>
    <col min="26" max="27" width="17.5" style="61" customWidth="1"/>
    <col min="28" max="28" width="19.125" style="61" customWidth="1"/>
    <col min="29" max="29" width="1" style="61" customWidth="1"/>
    <col min="30" max="30" width="22.25" style="61" customWidth="1"/>
    <col min="31" max="31" width="11.375" style="61"/>
    <col min="32" max="32" width="13.5" style="61" bestFit="1" customWidth="1"/>
    <col min="33" max="16384" width="11.375" style="61"/>
  </cols>
  <sheetData>
    <row r="2" spans="2:32" ht="30.75" customHeight="1" x14ac:dyDescent="0.2">
      <c r="B2" s="145"/>
      <c r="C2" s="145"/>
      <c r="D2" s="146" t="s">
        <v>83</v>
      </c>
      <c r="E2" s="147"/>
      <c r="F2" s="147"/>
      <c r="G2" s="147"/>
      <c r="H2" s="147"/>
      <c r="I2" s="147"/>
      <c r="J2" s="147"/>
      <c r="K2" s="147"/>
      <c r="L2" s="147"/>
      <c r="M2" s="147"/>
      <c r="N2" s="147"/>
      <c r="O2" s="147"/>
      <c r="P2" s="147"/>
      <c r="Q2" s="147"/>
      <c r="R2" s="147"/>
      <c r="S2" s="147"/>
      <c r="T2" s="147"/>
      <c r="U2" s="147"/>
      <c r="V2" s="147"/>
      <c r="W2" s="147"/>
      <c r="X2" s="147"/>
      <c r="Y2" s="147"/>
      <c r="Z2" s="147"/>
      <c r="AA2" s="147"/>
      <c r="AB2" s="147"/>
      <c r="AC2" s="147"/>
      <c r="AD2" s="148"/>
    </row>
    <row r="3" spans="2:32" ht="69" customHeight="1" x14ac:dyDescent="0.2">
      <c r="B3" s="145"/>
      <c r="C3" s="145"/>
      <c r="D3" s="149" t="s">
        <v>82</v>
      </c>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1"/>
    </row>
    <row r="4" spans="2:32" ht="40.5" customHeight="1" x14ac:dyDescent="0.2">
      <c r="B4" s="152" t="s">
        <v>1</v>
      </c>
      <c r="C4" s="153"/>
      <c r="D4" s="154"/>
      <c r="E4" s="155"/>
      <c r="G4" s="156" t="s">
        <v>71</v>
      </c>
      <c r="H4" s="157"/>
      <c r="I4" s="157"/>
      <c r="J4" s="158"/>
      <c r="L4" s="156" t="s">
        <v>93</v>
      </c>
      <c r="M4" s="157"/>
      <c r="N4" s="157"/>
      <c r="O4" s="158"/>
      <c r="Q4" s="159" t="s">
        <v>72</v>
      </c>
      <c r="R4" s="159"/>
      <c r="S4" s="159"/>
      <c r="T4" s="159"/>
      <c r="U4" s="159"/>
      <c r="W4" s="159" t="s">
        <v>86</v>
      </c>
      <c r="X4" s="159"/>
      <c r="Y4" s="159"/>
      <c r="Z4" s="159"/>
      <c r="AA4" s="159"/>
      <c r="AB4" s="159"/>
      <c r="AD4" s="160" t="s">
        <v>73</v>
      </c>
    </row>
    <row r="5" spans="2:32" ht="44.25" customHeight="1" x14ac:dyDescent="0.2">
      <c r="B5" s="63" t="s">
        <v>5</v>
      </c>
      <c r="C5" s="63" t="s">
        <v>6</v>
      </c>
      <c r="D5" s="63" t="s">
        <v>7</v>
      </c>
      <c r="E5" s="63" t="s">
        <v>8</v>
      </c>
      <c r="G5" s="63" t="s">
        <v>11</v>
      </c>
      <c r="H5" s="63" t="s">
        <v>20</v>
      </c>
      <c r="I5" s="63" t="s">
        <v>21</v>
      </c>
      <c r="J5" s="63" t="s">
        <v>22</v>
      </c>
      <c r="L5" s="63" t="s">
        <v>74</v>
      </c>
      <c r="M5" s="63" t="s">
        <v>75</v>
      </c>
      <c r="N5" s="63" t="s">
        <v>76</v>
      </c>
      <c r="O5" s="63" t="s">
        <v>84</v>
      </c>
      <c r="Q5" s="64" t="s">
        <v>90</v>
      </c>
      <c r="R5" s="64" t="s">
        <v>91</v>
      </c>
      <c r="S5" s="64" t="s">
        <v>21</v>
      </c>
      <c r="T5" s="64" t="s">
        <v>22</v>
      </c>
      <c r="U5" s="64" t="s">
        <v>77</v>
      </c>
      <c r="W5" s="64" t="s">
        <v>90</v>
      </c>
      <c r="X5" s="64" t="s">
        <v>91</v>
      </c>
      <c r="Y5" s="64" t="s">
        <v>21</v>
      </c>
      <c r="Z5" s="64" t="s">
        <v>22</v>
      </c>
      <c r="AA5" s="63" t="s">
        <v>92</v>
      </c>
      <c r="AB5" s="64" t="s">
        <v>87</v>
      </c>
      <c r="AD5" s="161"/>
    </row>
    <row r="6" spans="2:32" ht="39" customHeight="1" x14ac:dyDescent="0.2">
      <c r="B6" s="45">
        <v>1</v>
      </c>
      <c r="C6" s="46" t="s">
        <v>31</v>
      </c>
      <c r="D6" s="47" t="s">
        <v>32</v>
      </c>
      <c r="E6" s="47">
        <v>24</v>
      </c>
      <c r="G6" s="65"/>
      <c r="H6" s="65"/>
      <c r="I6" s="65"/>
      <c r="J6" s="65"/>
      <c r="K6" s="66"/>
      <c r="L6" s="65"/>
      <c r="M6" s="65"/>
      <c r="N6" s="65"/>
      <c r="O6" s="65"/>
      <c r="P6" s="66"/>
      <c r="Q6" s="65"/>
      <c r="R6" s="65"/>
      <c r="S6" s="65"/>
      <c r="T6" s="65"/>
      <c r="U6" s="65"/>
      <c r="V6" s="66"/>
      <c r="W6" s="65"/>
      <c r="X6" s="65"/>
      <c r="Y6" s="65"/>
      <c r="Z6" s="65"/>
      <c r="AA6" s="65"/>
      <c r="AB6" s="65"/>
      <c r="AC6" s="66"/>
      <c r="AD6" s="65"/>
    </row>
    <row r="7" spans="2:32" ht="27.75" customHeight="1" x14ac:dyDescent="0.2">
      <c r="B7" s="43" t="s">
        <v>33</v>
      </c>
      <c r="C7" s="5" t="s">
        <v>34</v>
      </c>
      <c r="D7" s="4" t="s">
        <v>35</v>
      </c>
      <c r="E7" s="4">
        <v>1</v>
      </c>
      <c r="G7" s="65">
        <f>'ANEXO 2 RESULTADO COTIZACIONES'!I7</f>
        <v>31344591.530000001</v>
      </c>
      <c r="H7" s="65">
        <f t="shared" ref="H7:H12" si="0">+ROUND((G7*0.19),2)</f>
        <v>5955472.3899999997</v>
      </c>
      <c r="I7" s="65">
        <f>+ROUND((G7+H7),2)</f>
        <v>37300063.920000002</v>
      </c>
      <c r="J7" s="65">
        <f t="shared" ref="J7:J11" si="1">+I7*$E7</f>
        <v>37300063.920000002</v>
      </c>
      <c r="K7" s="66"/>
      <c r="L7" s="65">
        <f>+ROUND((G7/30),2)</f>
        <v>1044819.72</v>
      </c>
      <c r="M7" s="65">
        <f>+ROUND((L7*0.19),2)</f>
        <v>198515.75</v>
      </c>
      <c r="N7" s="65">
        <f>+ROUND((L7+M7)*E7,2)</f>
        <v>1243335.47</v>
      </c>
      <c r="O7" s="65">
        <f>+ROUND(N7*8,2)</f>
        <v>9946683.7599999998</v>
      </c>
      <c r="P7" s="66"/>
      <c r="Q7" s="65">
        <f>G7</f>
        <v>31344591.530000001</v>
      </c>
      <c r="R7" s="65">
        <f>+ROUND((Q7*0.19),2)</f>
        <v>5955472.3899999997</v>
      </c>
      <c r="S7" s="65">
        <f>+ROUND((Q7+R7),2)</f>
        <v>37300063.920000002</v>
      </c>
      <c r="T7" s="65">
        <f>+S7*$E7</f>
        <v>37300063.920000002</v>
      </c>
      <c r="U7" s="65">
        <f>+T7*12</f>
        <v>447600767.04000002</v>
      </c>
      <c r="V7" s="66"/>
      <c r="W7" s="65">
        <f>G7</f>
        <v>31344591.530000001</v>
      </c>
      <c r="X7" s="65">
        <f>+ROUND((W7*0.19),2)</f>
        <v>5955472.3899999997</v>
      </c>
      <c r="Y7" s="65">
        <f>+ROUND((W7+X7),2)</f>
        <v>37300063.920000002</v>
      </c>
      <c r="Z7" s="65">
        <f>+Y7*E7</f>
        <v>37300063.920000002</v>
      </c>
      <c r="AA7" s="65">
        <f>+N7*23</f>
        <v>28596715.809999999</v>
      </c>
      <c r="AB7" s="65">
        <f>+ROUND(Z7*11+AA7,2)</f>
        <v>438897418.93000001</v>
      </c>
      <c r="AC7" s="66"/>
      <c r="AD7" s="65">
        <f>+AB7+U7+O7</f>
        <v>896444869.73000002</v>
      </c>
      <c r="AE7" s="22"/>
      <c r="AF7" s="22"/>
    </row>
    <row r="8" spans="2:32" ht="27.75" customHeight="1" x14ac:dyDescent="0.2">
      <c r="B8" s="43" t="s">
        <v>36</v>
      </c>
      <c r="C8" s="5" t="s">
        <v>37</v>
      </c>
      <c r="D8" s="4" t="s">
        <v>35</v>
      </c>
      <c r="E8" s="4">
        <v>1</v>
      </c>
      <c r="G8" s="65">
        <f>'ANEXO 2 RESULTADO COTIZACIONES'!I8</f>
        <v>17281681.219999999</v>
      </c>
      <c r="H8" s="65">
        <f t="shared" si="0"/>
        <v>3283519.43</v>
      </c>
      <c r="I8" s="65">
        <f t="shared" ref="I8:I20" si="2">+ROUND((G8+H8),2)</f>
        <v>20565200.649999999</v>
      </c>
      <c r="J8" s="65">
        <f t="shared" si="1"/>
        <v>20565200.649999999</v>
      </c>
      <c r="K8" s="66"/>
      <c r="L8" s="65">
        <f t="shared" ref="L8:L20" si="3">+ROUND((G8/30),2)</f>
        <v>576056.04</v>
      </c>
      <c r="M8" s="65">
        <f t="shared" ref="M8:M20" si="4">+ROUND((L8*0.19),2)</f>
        <v>109450.65</v>
      </c>
      <c r="N8" s="65">
        <f t="shared" ref="N8:N20" si="5">+ROUND((L8+M8)*E8,2)</f>
        <v>685506.69</v>
      </c>
      <c r="O8" s="65">
        <f t="shared" ref="O8:O20" si="6">+ROUND(N8*8,2)</f>
        <v>5484053.5199999996</v>
      </c>
      <c r="P8" s="66"/>
      <c r="Q8" s="65">
        <f>G8</f>
        <v>17281681.219999999</v>
      </c>
      <c r="R8" s="65">
        <f t="shared" ref="R8:R20" si="7">+ROUND((Q8*0.19),2)</f>
        <v>3283519.43</v>
      </c>
      <c r="S8" s="65">
        <f t="shared" ref="S8:S20" si="8">+ROUND((Q8+R8),2)</f>
        <v>20565200.649999999</v>
      </c>
      <c r="T8" s="65">
        <f t="shared" ref="T8:T20" si="9">+S8*$E8</f>
        <v>20565200.649999999</v>
      </c>
      <c r="U8" s="65">
        <f t="shared" ref="U8:U20" si="10">+T8*12</f>
        <v>246782407.79999998</v>
      </c>
      <c r="V8" s="66"/>
      <c r="W8" s="65">
        <f t="shared" ref="W8:W20" si="11">G8</f>
        <v>17281681.219999999</v>
      </c>
      <c r="X8" s="65">
        <f t="shared" ref="X8:X12" si="12">+ROUND((W8*0.19),2)</f>
        <v>3283519.43</v>
      </c>
      <c r="Y8" s="65">
        <f t="shared" ref="Y8:Y12" si="13">+W8+X8</f>
        <v>20565200.649999999</v>
      </c>
      <c r="Z8" s="65">
        <f t="shared" ref="Z8:Z20" si="14">+Y8*E8</f>
        <v>20565200.649999999</v>
      </c>
      <c r="AA8" s="65">
        <f t="shared" ref="AA8:AA20" si="15">+N8*23</f>
        <v>15766653.869999999</v>
      </c>
      <c r="AB8" s="65">
        <f t="shared" ref="AB8:AB20" si="16">+ROUND(Z8*11+AA8,2)</f>
        <v>241983861.02000001</v>
      </c>
      <c r="AC8" s="66"/>
      <c r="AD8" s="65">
        <f t="shared" ref="AD8:AD20" si="17">+AB8+U8+O8</f>
        <v>494250322.33999997</v>
      </c>
      <c r="AE8" s="22"/>
      <c r="AF8" s="22"/>
    </row>
    <row r="9" spans="2:32" ht="27.75" customHeight="1" x14ac:dyDescent="0.2">
      <c r="B9" s="43" t="s">
        <v>38</v>
      </c>
      <c r="C9" s="5" t="s">
        <v>39</v>
      </c>
      <c r="D9" s="4" t="s">
        <v>35</v>
      </c>
      <c r="E9" s="4">
        <v>2</v>
      </c>
      <c r="G9" s="65">
        <f>'ANEXO 2 RESULTADO COTIZACIONES'!I9</f>
        <v>16559829.01</v>
      </c>
      <c r="H9" s="65">
        <f t="shared" si="0"/>
        <v>3146367.51</v>
      </c>
      <c r="I9" s="65">
        <f t="shared" si="2"/>
        <v>19706196.52</v>
      </c>
      <c r="J9" s="65">
        <f t="shared" si="1"/>
        <v>39412393.039999999</v>
      </c>
      <c r="K9" s="66"/>
      <c r="L9" s="65">
        <f t="shared" si="3"/>
        <v>551994.30000000005</v>
      </c>
      <c r="M9" s="65">
        <f t="shared" si="4"/>
        <v>104878.92</v>
      </c>
      <c r="N9" s="65">
        <f t="shared" si="5"/>
        <v>1313746.44</v>
      </c>
      <c r="O9" s="65">
        <f t="shared" si="6"/>
        <v>10509971.52</v>
      </c>
      <c r="P9" s="66"/>
      <c r="Q9" s="65">
        <f t="shared" ref="Q9:Q20" si="18">G9</f>
        <v>16559829.01</v>
      </c>
      <c r="R9" s="65">
        <f t="shared" si="7"/>
        <v>3146367.51</v>
      </c>
      <c r="S9" s="65">
        <f t="shared" si="8"/>
        <v>19706196.52</v>
      </c>
      <c r="T9" s="65">
        <f t="shared" si="9"/>
        <v>39412393.039999999</v>
      </c>
      <c r="U9" s="65">
        <f t="shared" si="10"/>
        <v>472948716.48000002</v>
      </c>
      <c r="V9" s="66"/>
      <c r="W9" s="65">
        <f t="shared" si="11"/>
        <v>16559829.01</v>
      </c>
      <c r="X9" s="65">
        <f t="shared" si="12"/>
        <v>3146367.51</v>
      </c>
      <c r="Y9" s="65">
        <f t="shared" si="13"/>
        <v>19706196.52</v>
      </c>
      <c r="Z9" s="65">
        <f t="shared" si="14"/>
        <v>39412393.039999999</v>
      </c>
      <c r="AA9" s="65">
        <f t="shared" si="15"/>
        <v>30216168.119999997</v>
      </c>
      <c r="AB9" s="65">
        <f t="shared" si="16"/>
        <v>463752491.56</v>
      </c>
      <c r="AC9" s="66"/>
      <c r="AD9" s="65">
        <f t="shared" si="17"/>
        <v>947211179.55999994</v>
      </c>
      <c r="AE9" s="22"/>
      <c r="AF9" s="22"/>
    </row>
    <row r="10" spans="2:32" ht="27.75" customHeight="1" x14ac:dyDescent="0.2">
      <c r="B10" s="43" t="s">
        <v>40</v>
      </c>
      <c r="C10" s="5" t="s">
        <v>41</v>
      </c>
      <c r="D10" s="4" t="s">
        <v>35</v>
      </c>
      <c r="E10" s="4">
        <v>40</v>
      </c>
      <c r="G10" s="65">
        <f>'ANEXO 2 RESULTADO COTIZACIONES'!I10</f>
        <v>7970949.3099999996</v>
      </c>
      <c r="H10" s="65">
        <f t="shared" si="0"/>
        <v>1514480.37</v>
      </c>
      <c r="I10" s="65">
        <f t="shared" si="2"/>
        <v>9485429.6799999997</v>
      </c>
      <c r="J10" s="65">
        <f t="shared" si="1"/>
        <v>379417187.19999999</v>
      </c>
      <c r="K10" s="66"/>
      <c r="L10" s="65">
        <f t="shared" si="3"/>
        <v>265698.31</v>
      </c>
      <c r="M10" s="65">
        <f t="shared" si="4"/>
        <v>50482.68</v>
      </c>
      <c r="N10" s="65">
        <f t="shared" si="5"/>
        <v>12647239.6</v>
      </c>
      <c r="O10" s="65">
        <f t="shared" si="6"/>
        <v>101177916.8</v>
      </c>
      <c r="P10" s="66"/>
      <c r="Q10" s="65">
        <f t="shared" si="18"/>
        <v>7970949.3099999996</v>
      </c>
      <c r="R10" s="65">
        <f t="shared" si="7"/>
        <v>1514480.37</v>
      </c>
      <c r="S10" s="65">
        <f t="shared" si="8"/>
        <v>9485429.6799999997</v>
      </c>
      <c r="T10" s="65">
        <f t="shared" si="9"/>
        <v>379417187.19999999</v>
      </c>
      <c r="U10" s="65">
        <f t="shared" si="10"/>
        <v>4553006246.3999996</v>
      </c>
      <c r="V10" s="66"/>
      <c r="W10" s="65">
        <f t="shared" si="11"/>
        <v>7970949.3099999996</v>
      </c>
      <c r="X10" s="65">
        <f t="shared" si="12"/>
        <v>1514480.37</v>
      </c>
      <c r="Y10" s="65">
        <f t="shared" si="13"/>
        <v>9485429.6799999997</v>
      </c>
      <c r="Z10" s="65">
        <f t="shared" si="14"/>
        <v>379417187.19999999</v>
      </c>
      <c r="AA10" s="65">
        <f t="shared" si="15"/>
        <v>290886510.80000001</v>
      </c>
      <c r="AB10" s="65">
        <f t="shared" si="16"/>
        <v>4464475570</v>
      </c>
      <c r="AC10" s="66"/>
      <c r="AD10" s="65">
        <f t="shared" si="17"/>
        <v>9118659733.1999989</v>
      </c>
      <c r="AE10" s="22"/>
      <c r="AF10" s="22"/>
    </row>
    <row r="11" spans="2:32" s="74" customFormat="1" ht="27.75" customHeight="1" x14ac:dyDescent="0.2">
      <c r="B11" s="92" t="s">
        <v>42</v>
      </c>
      <c r="C11" s="93" t="s">
        <v>43</v>
      </c>
      <c r="D11" s="94" t="s">
        <v>35</v>
      </c>
      <c r="E11" s="94">
        <v>158</v>
      </c>
      <c r="G11" s="89">
        <f>'ANEXO 2 RESULTADO COTIZACIONES'!I11</f>
        <v>6307386.0800000001</v>
      </c>
      <c r="H11" s="89">
        <f t="shared" si="0"/>
        <v>1198403.3600000001</v>
      </c>
      <c r="I11" s="89">
        <f t="shared" si="2"/>
        <v>7505789.4400000004</v>
      </c>
      <c r="J11" s="89">
        <f t="shared" si="1"/>
        <v>1185914731.52</v>
      </c>
      <c r="K11" s="95"/>
      <c r="L11" s="89">
        <f t="shared" si="3"/>
        <v>210246.2</v>
      </c>
      <c r="M11" s="89">
        <f t="shared" si="4"/>
        <v>39946.78</v>
      </c>
      <c r="N11" s="89">
        <f t="shared" si="5"/>
        <v>39530490.840000004</v>
      </c>
      <c r="O11" s="89">
        <f t="shared" si="6"/>
        <v>316243926.72000003</v>
      </c>
      <c r="P11" s="95"/>
      <c r="Q11" s="89">
        <f t="shared" si="18"/>
        <v>6307386.0800000001</v>
      </c>
      <c r="R11" s="89">
        <f t="shared" si="7"/>
        <v>1198403.3600000001</v>
      </c>
      <c r="S11" s="89">
        <f t="shared" si="8"/>
        <v>7505789.4400000004</v>
      </c>
      <c r="T11" s="89">
        <f t="shared" si="9"/>
        <v>1185914731.52</v>
      </c>
      <c r="U11" s="89">
        <f t="shared" si="10"/>
        <v>14230976778.24</v>
      </c>
      <c r="V11" s="95"/>
      <c r="W11" s="89">
        <f t="shared" si="11"/>
        <v>6307386.0800000001</v>
      </c>
      <c r="X11" s="89">
        <f t="shared" si="12"/>
        <v>1198403.3600000001</v>
      </c>
      <c r="Y11" s="89">
        <f t="shared" si="13"/>
        <v>7505789.4400000004</v>
      </c>
      <c r="Z11" s="89">
        <f t="shared" si="14"/>
        <v>1185914731.52</v>
      </c>
      <c r="AA11" s="89">
        <f t="shared" si="15"/>
        <v>909201289.32000005</v>
      </c>
      <c r="AB11" s="89">
        <f t="shared" si="16"/>
        <v>13954263336.040001</v>
      </c>
      <c r="AC11" s="95"/>
      <c r="AD11" s="89">
        <f t="shared" si="17"/>
        <v>28501484041</v>
      </c>
      <c r="AE11" s="96"/>
      <c r="AF11" s="96"/>
    </row>
    <row r="12" spans="2:32" ht="27.75" customHeight="1" x14ac:dyDescent="0.2">
      <c r="B12" s="43" t="s">
        <v>44</v>
      </c>
      <c r="C12" s="5" t="s">
        <v>45</v>
      </c>
      <c r="D12" s="4" t="s">
        <v>35</v>
      </c>
      <c r="E12" s="4">
        <v>1</v>
      </c>
      <c r="G12" s="65">
        <f>'ANEXO 2 RESULTADO COTIZACIONES'!I12</f>
        <v>17346020.41</v>
      </c>
      <c r="H12" s="65">
        <f t="shared" si="0"/>
        <v>3295743.88</v>
      </c>
      <c r="I12" s="65">
        <f t="shared" si="2"/>
        <v>20641764.289999999</v>
      </c>
      <c r="J12" s="65">
        <f>+I12*$E12</f>
        <v>20641764.289999999</v>
      </c>
      <c r="K12" s="66"/>
      <c r="L12" s="65">
        <f t="shared" si="3"/>
        <v>578200.68000000005</v>
      </c>
      <c r="M12" s="65">
        <f t="shared" si="4"/>
        <v>109858.13</v>
      </c>
      <c r="N12" s="65">
        <f t="shared" si="5"/>
        <v>688058.81</v>
      </c>
      <c r="O12" s="65">
        <f t="shared" si="6"/>
        <v>5504470.4800000004</v>
      </c>
      <c r="P12" s="66"/>
      <c r="Q12" s="65">
        <f t="shared" si="18"/>
        <v>17346020.41</v>
      </c>
      <c r="R12" s="65">
        <f t="shared" si="7"/>
        <v>3295743.88</v>
      </c>
      <c r="S12" s="65">
        <f t="shared" si="8"/>
        <v>20641764.289999999</v>
      </c>
      <c r="T12" s="65">
        <f t="shared" si="9"/>
        <v>20641764.289999999</v>
      </c>
      <c r="U12" s="65">
        <f t="shared" si="10"/>
        <v>247701171.47999999</v>
      </c>
      <c r="V12" s="66"/>
      <c r="W12" s="65">
        <f t="shared" si="11"/>
        <v>17346020.41</v>
      </c>
      <c r="X12" s="65">
        <f t="shared" si="12"/>
        <v>3295743.88</v>
      </c>
      <c r="Y12" s="65">
        <f t="shared" si="13"/>
        <v>20641764.289999999</v>
      </c>
      <c r="Z12" s="65">
        <f t="shared" si="14"/>
        <v>20641764.289999999</v>
      </c>
      <c r="AA12" s="65">
        <f t="shared" si="15"/>
        <v>15825352.630000001</v>
      </c>
      <c r="AB12" s="65">
        <f t="shared" si="16"/>
        <v>242884759.81999999</v>
      </c>
      <c r="AC12" s="66"/>
      <c r="AD12" s="65">
        <f t="shared" si="17"/>
        <v>496090401.77999997</v>
      </c>
      <c r="AE12" s="22"/>
      <c r="AF12" s="22"/>
    </row>
    <row r="13" spans="2:32" ht="27.75" customHeight="1" x14ac:dyDescent="0.2">
      <c r="B13" s="43" t="s">
        <v>46</v>
      </c>
      <c r="C13" s="5" t="s">
        <v>47</v>
      </c>
      <c r="D13" s="4" t="s">
        <v>35</v>
      </c>
      <c r="E13" s="4">
        <v>1</v>
      </c>
      <c r="G13" s="65">
        <f>'ANEXO 2 RESULTADO COTIZACIONES'!I13</f>
        <v>13827777.029999999</v>
      </c>
      <c r="H13" s="65">
        <f t="shared" ref="H13:H20" si="19">+ROUND((G13*0.19),2)</f>
        <v>2627277.64</v>
      </c>
      <c r="I13" s="65">
        <f t="shared" si="2"/>
        <v>16455054.67</v>
      </c>
      <c r="J13" s="65">
        <f t="shared" ref="J13:J19" si="20">+I13*$E13</f>
        <v>16455054.67</v>
      </c>
      <c r="K13" s="66"/>
      <c r="L13" s="65">
        <f t="shared" si="3"/>
        <v>460925.9</v>
      </c>
      <c r="M13" s="65">
        <f t="shared" si="4"/>
        <v>87575.92</v>
      </c>
      <c r="N13" s="65">
        <f t="shared" si="5"/>
        <v>548501.81999999995</v>
      </c>
      <c r="O13" s="65">
        <f t="shared" si="6"/>
        <v>4388014.5599999996</v>
      </c>
      <c r="P13" s="66"/>
      <c r="Q13" s="65">
        <f t="shared" si="18"/>
        <v>13827777.029999999</v>
      </c>
      <c r="R13" s="65">
        <f t="shared" si="7"/>
        <v>2627277.64</v>
      </c>
      <c r="S13" s="65">
        <f t="shared" si="8"/>
        <v>16455054.67</v>
      </c>
      <c r="T13" s="65">
        <f t="shared" si="9"/>
        <v>16455054.67</v>
      </c>
      <c r="U13" s="65">
        <f t="shared" si="10"/>
        <v>197460656.03999999</v>
      </c>
      <c r="V13" s="66"/>
      <c r="W13" s="65">
        <f t="shared" si="11"/>
        <v>13827777.029999999</v>
      </c>
      <c r="X13" s="65">
        <f t="shared" ref="X13:X20" si="21">+ROUND((W13*0.19),2)</f>
        <v>2627277.64</v>
      </c>
      <c r="Y13" s="65">
        <f t="shared" ref="Y13:Y20" si="22">+W13+X13</f>
        <v>16455054.67</v>
      </c>
      <c r="Z13" s="65">
        <f t="shared" si="14"/>
        <v>16455054.67</v>
      </c>
      <c r="AA13" s="65">
        <f t="shared" si="15"/>
        <v>12615541.859999999</v>
      </c>
      <c r="AB13" s="65">
        <f t="shared" si="16"/>
        <v>193621143.22999999</v>
      </c>
      <c r="AC13" s="66"/>
      <c r="AD13" s="65">
        <f t="shared" si="17"/>
        <v>395469813.82999998</v>
      </c>
      <c r="AE13" s="22"/>
      <c r="AF13" s="22"/>
    </row>
    <row r="14" spans="2:32" ht="27.75" customHeight="1" x14ac:dyDescent="0.2">
      <c r="B14" s="43" t="s">
        <v>48</v>
      </c>
      <c r="C14" s="5" t="s">
        <v>49</v>
      </c>
      <c r="D14" s="4" t="s">
        <v>35</v>
      </c>
      <c r="E14" s="4">
        <v>1</v>
      </c>
      <c r="G14" s="65">
        <f>'ANEXO 2 RESULTADO COTIZACIONES'!I14</f>
        <v>13614547.779999999</v>
      </c>
      <c r="H14" s="65">
        <f t="shared" si="19"/>
        <v>2586764.08</v>
      </c>
      <c r="I14" s="65">
        <f t="shared" si="2"/>
        <v>16201311.859999999</v>
      </c>
      <c r="J14" s="65">
        <f t="shared" si="20"/>
        <v>16201311.859999999</v>
      </c>
      <c r="K14" s="66"/>
      <c r="L14" s="65">
        <f t="shared" si="3"/>
        <v>453818.26</v>
      </c>
      <c r="M14" s="65">
        <f t="shared" si="4"/>
        <v>86225.47</v>
      </c>
      <c r="N14" s="65">
        <f t="shared" si="5"/>
        <v>540043.73</v>
      </c>
      <c r="O14" s="65">
        <f t="shared" si="6"/>
        <v>4320349.84</v>
      </c>
      <c r="P14" s="66"/>
      <c r="Q14" s="65">
        <f t="shared" si="18"/>
        <v>13614547.779999999</v>
      </c>
      <c r="R14" s="65">
        <f t="shared" si="7"/>
        <v>2586764.08</v>
      </c>
      <c r="S14" s="65">
        <f t="shared" si="8"/>
        <v>16201311.859999999</v>
      </c>
      <c r="T14" s="65">
        <f t="shared" si="9"/>
        <v>16201311.859999999</v>
      </c>
      <c r="U14" s="65">
        <f t="shared" si="10"/>
        <v>194415742.31999999</v>
      </c>
      <c r="V14" s="66"/>
      <c r="W14" s="65">
        <f t="shared" si="11"/>
        <v>13614547.779999999</v>
      </c>
      <c r="X14" s="65">
        <f t="shared" si="21"/>
        <v>2586764.08</v>
      </c>
      <c r="Y14" s="65">
        <f t="shared" si="22"/>
        <v>16201311.859999999</v>
      </c>
      <c r="Z14" s="65">
        <f t="shared" si="14"/>
        <v>16201311.859999999</v>
      </c>
      <c r="AA14" s="65">
        <f t="shared" si="15"/>
        <v>12421005.789999999</v>
      </c>
      <c r="AB14" s="65">
        <f t="shared" si="16"/>
        <v>190635436.25</v>
      </c>
      <c r="AC14" s="66"/>
      <c r="AD14" s="65">
        <f t="shared" si="17"/>
        <v>389371528.40999997</v>
      </c>
      <c r="AE14" s="22"/>
      <c r="AF14" s="22"/>
    </row>
    <row r="15" spans="2:32" ht="27.75" customHeight="1" x14ac:dyDescent="0.2">
      <c r="B15" s="43" t="s">
        <v>50</v>
      </c>
      <c r="C15" s="5" t="s">
        <v>51</v>
      </c>
      <c r="D15" s="4" t="s">
        <v>35</v>
      </c>
      <c r="E15" s="4">
        <v>1</v>
      </c>
      <c r="G15" s="65">
        <f>'ANEXO 2 RESULTADO COTIZACIONES'!I15</f>
        <v>14675804.960000001</v>
      </c>
      <c r="H15" s="65">
        <f t="shared" si="19"/>
        <v>2788402.94</v>
      </c>
      <c r="I15" s="65">
        <f t="shared" si="2"/>
        <v>17464207.899999999</v>
      </c>
      <c r="J15" s="65">
        <f t="shared" si="20"/>
        <v>17464207.899999999</v>
      </c>
      <c r="K15" s="66"/>
      <c r="L15" s="65">
        <f t="shared" si="3"/>
        <v>489193.5</v>
      </c>
      <c r="M15" s="65">
        <f t="shared" si="4"/>
        <v>92946.77</v>
      </c>
      <c r="N15" s="65">
        <f t="shared" si="5"/>
        <v>582140.27</v>
      </c>
      <c r="O15" s="65">
        <f t="shared" si="6"/>
        <v>4657122.16</v>
      </c>
      <c r="P15" s="66"/>
      <c r="Q15" s="65">
        <f t="shared" si="18"/>
        <v>14675804.960000001</v>
      </c>
      <c r="R15" s="65">
        <f t="shared" si="7"/>
        <v>2788402.94</v>
      </c>
      <c r="S15" s="65">
        <f t="shared" si="8"/>
        <v>17464207.899999999</v>
      </c>
      <c r="T15" s="65">
        <f t="shared" si="9"/>
        <v>17464207.899999999</v>
      </c>
      <c r="U15" s="65">
        <f t="shared" si="10"/>
        <v>209570494.79999998</v>
      </c>
      <c r="V15" s="66"/>
      <c r="W15" s="65">
        <f t="shared" si="11"/>
        <v>14675804.960000001</v>
      </c>
      <c r="X15" s="65">
        <f t="shared" si="21"/>
        <v>2788402.94</v>
      </c>
      <c r="Y15" s="65">
        <f t="shared" si="22"/>
        <v>17464207.900000002</v>
      </c>
      <c r="Z15" s="65">
        <f t="shared" si="14"/>
        <v>17464207.900000002</v>
      </c>
      <c r="AA15" s="65">
        <f t="shared" si="15"/>
        <v>13389226.210000001</v>
      </c>
      <c r="AB15" s="65">
        <f t="shared" si="16"/>
        <v>205495513.11000001</v>
      </c>
      <c r="AC15" s="66"/>
      <c r="AD15" s="65">
        <f t="shared" si="17"/>
        <v>419723130.06999999</v>
      </c>
      <c r="AE15" s="22"/>
      <c r="AF15" s="22"/>
    </row>
    <row r="16" spans="2:32" ht="27.75" customHeight="1" x14ac:dyDescent="0.2">
      <c r="B16" s="43" t="s">
        <v>52</v>
      </c>
      <c r="C16" s="5" t="s">
        <v>53</v>
      </c>
      <c r="D16" s="4" t="s">
        <v>35</v>
      </c>
      <c r="E16" s="4">
        <v>1</v>
      </c>
      <c r="G16" s="65">
        <f>'ANEXO 2 RESULTADO COTIZACIONES'!I16</f>
        <v>13377087.859999999</v>
      </c>
      <c r="H16" s="65">
        <f t="shared" si="19"/>
        <v>2541646.69</v>
      </c>
      <c r="I16" s="65">
        <f t="shared" si="2"/>
        <v>15918734.550000001</v>
      </c>
      <c r="J16" s="65">
        <f t="shared" si="20"/>
        <v>15918734.550000001</v>
      </c>
      <c r="K16" s="66"/>
      <c r="L16" s="65">
        <f t="shared" si="3"/>
        <v>445902.93</v>
      </c>
      <c r="M16" s="65">
        <f t="shared" si="4"/>
        <v>84721.56</v>
      </c>
      <c r="N16" s="65">
        <f t="shared" si="5"/>
        <v>530624.49</v>
      </c>
      <c r="O16" s="65">
        <f t="shared" si="6"/>
        <v>4244995.92</v>
      </c>
      <c r="P16" s="66"/>
      <c r="Q16" s="65">
        <f t="shared" si="18"/>
        <v>13377087.859999999</v>
      </c>
      <c r="R16" s="65">
        <f t="shared" si="7"/>
        <v>2541646.69</v>
      </c>
      <c r="S16" s="65">
        <f t="shared" si="8"/>
        <v>15918734.550000001</v>
      </c>
      <c r="T16" s="65">
        <f t="shared" si="9"/>
        <v>15918734.550000001</v>
      </c>
      <c r="U16" s="65">
        <f t="shared" si="10"/>
        <v>191024814.60000002</v>
      </c>
      <c r="V16" s="66"/>
      <c r="W16" s="65">
        <f t="shared" si="11"/>
        <v>13377087.859999999</v>
      </c>
      <c r="X16" s="65">
        <f t="shared" si="21"/>
        <v>2541646.69</v>
      </c>
      <c r="Y16" s="65">
        <f t="shared" si="22"/>
        <v>15918734.549999999</v>
      </c>
      <c r="Z16" s="65">
        <f t="shared" si="14"/>
        <v>15918734.549999999</v>
      </c>
      <c r="AA16" s="65">
        <f t="shared" si="15"/>
        <v>12204363.27</v>
      </c>
      <c r="AB16" s="65">
        <f t="shared" si="16"/>
        <v>187310443.31999999</v>
      </c>
      <c r="AC16" s="66"/>
      <c r="AD16" s="65">
        <f t="shared" si="17"/>
        <v>382580253.84000003</v>
      </c>
      <c r="AE16" s="22"/>
      <c r="AF16" s="22"/>
    </row>
    <row r="17" spans="1:32" ht="27.75" customHeight="1" x14ac:dyDescent="0.2">
      <c r="B17" s="43" t="s">
        <v>54</v>
      </c>
      <c r="C17" s="5" t="s">
        <v>55</v>
      </c>
      <c r="D17" s="4" t="s">
        <v>35</v>
      </c>
      <c r="E17" s="4">
        <v>1</v>
      </c>
      <c r="G17" s="65">
        <f>'ANEXO 2 RESULTADO COTIZACIONES'!I17</f>
        <v>12921983.43</v>
      </c>
      <c r="H17" s="65">
        <f t="shared" si="19"/>
        <v>2455176.85</v>
      </c>
      <c r="I17" s="65">
        <f t="shared" si="2"/>
        <v>15377160.279999999</v>
      </c>
      <c r="J17" s="65">
        <f t="shared" si="20"/>
        <v>15377160.279999999</v>
      </c>
      <c r="K17" s="66"/>
      <c r="L17" s="65">
        <f t="shared" si="3"/>
        <v>430732.78</v>
      </c>
      <c r="M17" s="65">
        <f t="shared" si="4"/>
        <v>81839.23</v>
      </c>
      <c r="N17" s="65">
        <f t="shared" si="5"/>
        <v>512572.01</v>
      </c>
      <c r="O17" s="65">
        <f t="shared" si="6"/>
        <v>4100576.08</v>
      </c>
      <c r="P17" s="66"/>
      <c r="Q17" s="65">
        <f t="shared" si="18"/>
        <v>12921983.43</v>
      </c>
      <c r="R17" s="65">
        <f t="shared" si="7"/>
        <v>2455176.85</v>
      </c>
      <c r="S17" s="65">
        <f t="shared" si="8"/>
        <v>15377160.279999999</v>
      </c>
      <c r="T17" s="65">
        <f t="shared" si="9"/>
        <v>15377160.279999999</v>
      </c>
      <c r="U17" s="65">
        <f t="shared" si="10"/>
        <v>184525923.35999998</v>
      </c>
      <c r="V17" s="66"/>
      <c r="W17" s="65">
        <f t="shared" si="11"/>
        <v>12921983.43</v>
      </c>
      <c r="X17" s="65">
        <f t="shared" si="21"/>
        <v>2455176.85</v>
      </c>
      <c r="Y17" s="65">
        <f t="shared" si="22"/>
        <v>15377160.279999999</v>
      </c>
      <c r="Z17" s="65">
        <f t="shared" si="14"/>
        <v>15377160.279999999</v>
      </c>
      <c r="AA17" s="65">
        <f t="shared" si="15"/>
        <v>11789156.23</v>
      </c>
      <c r="AB17" s="65">
        <f t="shared" si="16"/>
        <v>180937919.31</v>
      </c>
      <c r="AC17" s="66"/>
      <c r="AD17" s="65">
        <f t="shared" si="17"/>
        <v>369564418.74999994</v>
      </c>
      <c r="AE17" s="22"/>
      <c r="AF17" s="22"/>
    </row>
    <row r="18" spans="1:32" ht="27.75" customHeight="1" x14ac:dyDescent="0.2">
      <c r="B18" s="43" t="s">
        <v>56</v>
      </c>
      <c r="C18" s="5" t="s">
        <v>57</v>
      </c>
      <c r="D18" s="4" t="s">
        <v>35</v>
      </c>
      <c r="E18" s="4">
        <v>1</v>
      </c>
      <c r="G18" s="65">
        <f>'ANEXO 2 RESULTADO COTIZACIONES'!I18</f>
        <v>12921983.43</v>
      </c>
      <c r="H18" s="65">
        <f t="shared" si="19"/>
        <v>2455176.85</v>
      </c>
      <c r="I18" s="65">
        <f t="shared" si="2"/>
        <v>15377160.279999999</v>
      </c>
      <c r="J18" s="65">
        <f t="shared" si="20"/>
        <v>15377160.279999999</v>
      </c>
      <c r="K18" s="66"/>
      <c r="L18" s="65">
        <f t="shared" si="3"/>
        <v>430732.78</v>
      </c>
      <c r="M18" s="65">
        <f t="shared" si="4"/>
        <v>81839.23</v>
      </c>
      <c r="N18" s="65">
        <f t="shared" si="5"/>
        <v>512572.01</v>
      </c>
      <c r="O18" s="65">
        <f t="shared" si="6"/>
        <v>4100576.08</v>
      </c>
      <c r="P18" s="66"/>
      <c r="Q18" s="65">
        <f t="shared" si="18"/>
        <v>12921983.43</v>
      </c>
      <c r="R18" s="65">
        <f t="shared" si="7"/>
        <v>2455176.85</v>
      </c>
      <c r="S18" s="65">
        <f t="shared" si="8"/>
        <v>15377160.279999999</v>
      </c>
      <c r="T18" s="65">
        <f t="shared" si="9"/>
        <v>15377160.279999999</v>
      </c>
      <c r="U18" s="65">
        <f t="shared" si="10"/>
        <v>184525923.35999998</v>
      </c>
      <c r="V18" s="66"/>
      <c r="W18" s="65">
        <f t="shared" si="11"/>
        <v>12921983.43</v>
      </c>
      <c r="X18" s="65">
        <f t="shared" si="21"/>
        <v>2455176.85</v>
      </c>
      <c r="Y18" s="65">
        <f t="shared" si="22"/>
        <v>15377160.279999999</v>
      </c>
      <c r="Z18" s="65">
        <f t="shared" si="14"/>
        <v>15377160.279999999</v>
      </c>
      <c r="AA18" s="65">
        <f t="shared" si="15"/>
        <v>11789156.23</v>
      </c>
      <c r="AB18" s="65">
        <f t="shared" si="16"/>
        <v>180937919.31</v>
      </c>
      <c r="AC18" s="66"/>
      <c r="AD18" s="65">
        <f t="shared" si="17"/>
        <v>369564418.74999994</v>
      </c>
      <c r="AE18" s="22"/>
      <c r="AF18" s="22"/>
    </row>
    <row r="19" spans="1:32" ht="27.75" customHeight="1" x14ac:dyDescent="0.2">
      <c r="B19" s="43" t="s">
        <v>58</v>
      </c>
      <c r="C19" s="5" t="s">
        <v>85</v>
      </c>
      <c r="D19" s="4" t="s">
        <v>35</v>
      </c>
      <c r="E19" s="4">
        <v>24</v>
      </c>
      <c r="G19" s="65">
        <f>'ANEXO 2 RESULTADO COTIZACIONES'!I19</f>
        <v>16015865.418465197</v>
      </c>
      <c r="H19" s="65">
        <f t="shared" si="19"/>
        <v>3043014.43</v>
      </c>
      <c r="I19" s="65">
        <f t="shared" si="2"/>
        <v>19058879.850000001</v>
      </c>
      <c r="J19" s="65">
        <f t="shared" si="20"/>
        <v>457413116.40000004</v>
      </c>
      <c r="K19" s="90"/>
      <c r="L19" s="65">
        <f t="shared" si="3"/>
        <v>533862.18000000005</v>
      </c>
      <c r="M19" s="65">
        <f t="shared" si="4"/>
        <v>101433.81</v>
      </c>
      <c r="N19" s="65">
        <f t="shared" si="5"/>
        <v>15247103.76</v>
      </c>
      <c r="O19" s="65">
        <f t="shared" si="6"/>
        <v>121976830.08</v>
      </c>
      <c r="P19" s="68"/>
      <c r="Q19" s="65">
        <f t="shared" si="18"/>
        <v>16015865.418465197</v>
      </c>
      <c r="R19" s="65">
        <f t="shared" si="7"/>
        <v>3043014.43</v>
      </c>
      <c r="S19" s="65">
        <f t="shared" si="8"/>
        <v>19058879.850000001</v>
      </c>
      <c r="T19" s="65">
        <f t="shared" si="9"/>
        <v>457413116.40000004</v>
      </c>
      <c r="U19" s="65">
        <f t="shared" si="10"/>
        <v>5488957396.8000002</v>
      </c>
      <c r="V19" s="68"/>
      <c r="W19" s="65">
        <f t="shared" si="11"/>
        <v>16015865.418465197</v>
      </c>
      <c r="X19" s="65">
        <f t="shared" si="21"/>
        <v>3043014.43</v>
      </c>
      <c r="Y19" s="65">
        <f t="shared" si="22"/>
        <v>19058879.848465197</v>
      </c>
      <c r="Z19" s="65">
        <f t="shared" si="14"/>
        <v>457413116.36316472</v>
      </c>
      <c r="AA19" s="65">
        <f t="shared" si="15"/>
        <v>350683386.48000002</v>
      </c>
      <c r="AB19" s="65">
        <f t="shared" si="16"/>
        <v>5382227666.4700003</v>
      </c>
      <c r="AC19" s="68"/>
      <c r="AD19" s="65">
        <f t="shared" si="17"/>
        <v>10993161893.35</v>
      </c>
      <c r="AE19" s="22"/>
      <c r="AF19" s="22"/>
    </row>
    <row r="20" spans="1:32" ht="30" customHeight="1" x14ac:dyDescent="0.2">
      <c r="B20" s="49">
        <v>2</v>
      </c>
      <c r="C20" s="48" t="s">
        <v>59</v>
      </c>
      <c r="D20" s="86" t="s">
        <v>35</v>
      </c>
      <c r="E20" s="47">
        <v>1</v>
      </c>
      <c r="G20" s="65">
        <f>'ANEXO 2 RESULTADO COTIZACIONES'!I20</f>
        <v>389101882.01999998</v>
      </c>
      <c r="H20" s="65">
        <f t="shared" si="19"/>
        <v>73929357.579999998</v>
      </c>
      <c r="I20" s="65">
        <f t="shared" si="2"/>
        <v>463031239.60000002</v>
      </c>
      <c r="J20" s="65">
        <f>+I20*$E20</f>
        <v>463031239.60000002</v>
      </c>
      <c r="K20" s="90"/>
      <c r="L20" s="65">
        <f t="shared" si="3"/>
        <v>12970062.73</v>
      </c>
      <c r="M20" s="65">
        <f t="shared" si="4"/>
        <v>2464311.92</v>
      </c>
      <c r="N20" s="65">
        <f t="shared" si="5"/>
        <v>15434374.65</v>
      </c>
      <c r="O20" s="65">
        <f t="shared" si="6"/>
        <v>123474997.2</v>
      </c>
      <c r="P20" s="68"/>
      <c r="Q20" s="65">
        <f t="shared" si="18"/>
        <v>389101882.01999998</v>
      </c>
      <c r="R20" s="65">
        <f t="shared" si="7"/>
        <v>73929357.579999998</v>
      </c>
      <c r="S20" s="65">
        <f t="shared" si="8"/>
        <v>463031239.60000002</v>
      </c>
      <c r="T20" s="65">
        <f t="shared" si="9"/>
        <v>463031239.60000002</v>
      </c>
      <c r="U20" s="65">
        <f t="shared" si="10"/>
        <v>5556374875.2000008</v>
      </c>
      <c r="V20" s="68"/>
      <c r="W20" s="65">
        <f t="shared" si="11"/>
        <v>389101882.01999998</v>
      </c>
      <c r="X20" s="65">
        <f t="shared" si="21"/>
        <v>73929357.579999998</v>
      </c>
      <c r="Y20" s="65">
        <f t="shared" si="22"/>
        <v>463031239.59999996</v>
      </c>
      <c r="Z20" s="65">
        <f t="shared" si="14"/>
        <v>463031239.59999996</v>
      </c>
      <c r="AA20" s="65">
        <f t="shared" si="15"/>
        <v>354990616.94999999</v>
      </c>
      <c r="AB20" s="65">
        <f t="shared" si="16"/>
        <v>5448334252.5500002</v>
      </c>
      <c r="AC20" s="68"/>
      <c r="AD20" s="65">
        <f t="shared" si="17"/>
        <v>11128184124.950001</v>
      </c>
      <c r="AE20" s="22"/>
      <c r="AF20" s="22"/>
    </row>
    <row r="21" spans="1:32" ht="29.25" customHeight="1" x14ac:dyDescent="0.2">
      <c r="B21" s="84"/>
      <c r="C21" s="85"/>
      <c r="D21" s="84"/>
      <c r="E21" s="84"/>
      <c r="G21" s="167" t="s">
        <v>27</v>
      </c>
      <c r="H21" s="168"/>
      <c r="I21" s="169" t="s">
        <v>15</v>
      </c>
      <c r="J21" s="69">
        <f>SUM(J7:J20)</f>
        <v>2700489326.1599998</v>
      </c>
      <c r="K21" s="90"/>
      <c r="L21" s="167" t="s">
        <v>27</v>
      </c>
      <c r="M21" s="168"/>
      <c r="N21" s="169"/>
      <c r="O21" s="69">
        <f>SUM(O7:O20)</f>
        <v>720130484.72000015</v>
      </c>
      <c r="P21" s="68"/>
      <c r="Q21" s="141" t="s">
        <v>27</v>
      </c>
      <c r="R21" s="141"/>
      <c r="S21" s="141" t="s">
        <v>15</v>
      </c>
      <c r="T21" s="69">
        <f>SUM(T7:T20)</f>
        <v>2700489326.1599998</v>
      </c>
      <c r="U21" s="69">
        <f>SUM(U7:U20)</f>
        <v>32405871913.919998</v>
      </c>
      <c r="V21" s="68"/>
      <c r="W21" s="141" t="s">
        <v>27</v>
      </c>
      <c r="X21" s="141"/>
      <c r="Y21" s="141" t="s">
        <v>15</v>
      </c>
      <c r="Z21" s="69">
        <f>SUM(Z7:Z20)</f>
        <v>2700489326.1231647</v>
      </c>
      <c r="AA21" s="69">
        <f>+SUM(AA7:AA20)</f>
        <v>2070375143.5700002</v>
      </c>
      <c r="AB21" s="69">
        <f>SUM(AB7:AB20)</f>
        <v>31775757730.920006</v>
      </c>
      <c r="AC21" s="68"/>
      <c r="AD21" s="69">
        <f>SUM(AD7:AD20)</f>
        <v>64901760129.559998</v>
      </c>
      <c r="AF21" s="22"/>
    </row>
    <row r="22" spans="1:32" ht="26.25" customHeight="1" x14ac:dyDescent="0.2">
      <c r="B22" s="84"/>
      <c r="C22" s="85"/>
      <c r="D22" s="84"/>
      <c r="E22" s="84"/>
      <c r="K22" s="90"/>
      <c r="P22" s="68"/>
      <c r="V22" s="68"/>
      <c r="AC22" s="68"/>
    </row>
    <row r="23" spans="1:32" ht="13.5" customHeight="1" x14ac:dyDescent="0.2">
      <c r="B23" s="84"/>
      <c r="C23" s="85"/>
      <c r="D23" s="84"/>
      <c r="E23" s="84"/>
      <c r="K23" s="90"/>
      <c r="P23" s="68"/>
      <c r="V23" s="68"/>
      <c r="Z23" s="91"/>
      <c r="AA23" s="91"/>
      <c r="AC23" s="68"/>
    </row>
    <row r="24" spans="1:32" ht="78.75" customHeight="1" x14ac:dyDescent="0.2">
      <c r="B24" s="70"/>
      <c r="C24" s="71"/>
      <c r="D24" s="70"/>
      <c r="E24" s="70"/>
      <c r="H24" s="83" t="s">
        <v>96</v>
      </c>
      <c r="L24" s="142" t="s">
        <v>88</v>
      </c>
      <c r="M24" s="143"/>
      <c r="N24" s="142" t="s">
        <v>89</v>
      </c>
      <c r="O24" s="144"/>
      <c r="Q24" s="62" t="s">
        <v>98</v>
      </c>
      <c r="AB24" s="68"/>
      <c r="AC24" s="68"/>
    </row>
    <row r="25" spans="1:32" ht="45" customHeight="1" x14ac:dyDescent="0.2">
      <c r="B25" s="72" t="s">
        <v>5</v>
      </c>
      <c r="C25" s="72" t="s">
        <v>6</v>
      </c>
      <c r="D25" s="72" t="s">
        <v>7</v>
      </c>
      <c r="E25" s="72" t="s">
        <v>8</v>
      </c>
      <c r="H25" s="99" t="s">
        <v>97</v>
      </c>
      <c r="L25" s="99" t="s">
        <v>97</v>
      </c>
      <c r="M25" s="63" t="s">
        <v>78</v>
      </c>
      <c r="N25" s="99" t="s">
        <v>97</v>
      </c>
      <c r="O25" s="63" t="s">
        <v>78</v>
      </c>
      <c r="Q25" s="162">
        <f>+M27+O27</f>
        <v>2880000000</v>
      </c>
      <c r="AB25" s="68"/>
      <c r="AC25" s="68"/>
    </row>
    <row r="26" spans="1:32" s="74" customFormat="1" ht="30.75" customHeight="1" x14ac:dyDescent="0.2">
      <c r="B26" s="87">
        <v>8</v>
      </c>
      <c r="C26" s="88" t="s">
        <v>79</v>
      </c>
      <c r="D26" s="87" t="s">
        <v>32</v>
      </c>
      <c r="E26" s="87">
        <v>1</v>
      </c>
      <c r="H26" s="165">
        <v>120000000</v>
      </c>
      <c r="L26" s="89">
        <v>120000000</v>
      </c>
      <c r="M26" s="89">
        <f>+L26*12</f>
        <v>1440000000</v>
      </c>
      <c r="N26" s="89">
        <v>120000000</v>
      </c>
      <c r="O26" s="89">
        <f>+N26*12</f>
        <v>1440000000</v>
      </c>
      <c r="P26" s="61"/>
      <c r="Q26" s="163"/>
      <c r="R26" s="61"/>
      <c r="S26" s="100"/>
      <c r="T26" s="61"/>
      <c r="U26" s="61"/>
      <c r="V26" s="61"/>
      <c r="W26" s="61"/>
      <c r="X26" s="61"/>
      <c r="Y26" s="61"/>
      <c r="Z26" s="61"/>
      <c r="AA26" s="61"/>
    </row>
    <row r="27" spans="1:32" ht="18.75" customHeight="1" x14ac:dyDescent="0.2">
      <c r="B27" s="170" t="s">
        <v>15</v>
      </c>
      <c r="C27" s="171"/>
      <c r="D27" s="171"/>
      <c r="E27" s="172"/>
      <c r="H27" s="166"/>
      <c r="L27" s="67" t="s">
        <v>27</v>
      </c>
      <c r="M27" s="69">
        <f>M26</f>
        <v>1440000000</v>
      </c>
      <c r="N27" s="67" t="s">
        <v>27</v>
      </c>
      <c r="O27" s="69">
        <f>O26</f>
        <v>1440000000</v>
      </c>
      <c r="Q27" s="164"/>
    </row>
    <row r="28" spans="1:32" ht="16.5" customHeight="1" x14ac:dyDescent="0.2">
      <c r="B28" s="73"/>
      <c r="C28" s="73"/>
      <c r="D28" s="73"/>
      <c r="E28" s="73"/>
      <c r="F28" s="74"/>
      <c r="G28" s="74"/>
      <c r="H28" s="74"/>
      <c r="I28" s="74"/>
      <c r="J28" s="75"/>
      <c r="K28" s="74"/>
      <c r="AB28" s="74"/>
      <c r="AC28" s="74"/>
    </row>
    <row r="29" spans="1:32" ht="16.5" customHeight="1" x14ac:dyDescent="0.2">
      <c r="B29" s="73"/>
      <c r="C29" s="73"/>
      <c r="D29" s="73"/>
      <c r="E29" s="73"/>
      <c r="F29" s="74"/>
      <c r="G29" s="97"/>
      <c r="H29" s="97"/>
      <c r="I29" s="97"/>
      <c r="J29" s="98"/>
      <c r="K29" s="74"/>
      <c r="L29" s="74"/>
      <c r="M29" s="74"/>
      <c r="N29" s="74"/>
      <c r="O29" s="74"/>
      <c r="P29" s="74"/>
      <c r="Q29" s="74"/>
      <c r="R29" s="74"/>
      <c r="S29" s="74"/>
      <c r="T29" s="74"/>
      <c r="U29" s="74"/>
      <c r="V29" s="74"/>
      <c r="W29" s="74"/>
      <c r="X29" s="74"/>
      <c r="Y29" s="74"/>
      <c r="Z29" s="74"/>
      <c r="AA29" s="74"/>
      <c r="AB29" s="74"/>
      <c r="AC29" s="74"/>
    </row>
    <row r="30" spans="1:32" ht="46.5" customHeight="1" x14ac:dyDescent="0.2">
      <c r="B30" s="175" t="s">
        <v>80</v>
      </c>
      <c r="C30" s="175"/>
      <c r="D30" s="175"/>
      <c r="E30" s="175"/>
      <c r="F30" s="176">
        <f>+AD21+Q25</f>
        <v>67781760129.559998</v>
      </c>
      <c r="G30" s="177"/>
      <c r="H30" s="177"/>
      <c r="I30" s="177"/>
      <c r="J30" s="178"/>
    </row>
    <row r="31" spans="1:32" ht="16.5" customHeight="1" x14ac:dyDescent="0.2">
      <c r="A31" s="74"/>
      <c r="B31" s="73"/>
      <c r="C31" s="73"/>
      <c r="D31" s="73"/>
      <c r="E31" s="73"/>
      <c r="F31" s="74"/>
      <c r="G31" s="74"/>
      <c r="H31" s="74"/>
      <c r="I31" s="74"/>
      <c r="J31" s="75"/>
    </row>
    <row r="32" spans="1:32" x14ac:dyDescent="0.2">
      <c r="A32" s="74"/>
      <c r="B32" s="76" t="s">
        <v>16</v>
      </c>
      <c r="C32" s="76"/>
      <c r="D32" s="77"/>
      <c r="E32" s="77"/>
      <c r="F32" s="77"/>
      <c r="G32" s="74"/>
      <c r="H32" s="74"/>
      <c r="I32" s="74"/>
      <c r="J32" s="74"/>
    </row>
    <row r="33" spans="1:10" ht="28.5" customHeight="1" x14ac:dyDescent="0.2">
      <c r="A33" s="74"/>
      <c r="B33" s="179" t="s">
        <v>28</v>
      </c>
      <c r="C33" s="180"/>
      <c r="D33" s="180"/>
      <c r="E33" s="180"/>
      <c r="F33" s="180"/>
      <c r="G33" s="180"/>
      <c r="H33" s="180"/>
      <c r="I33" s="180"/>
      <c r="J33" s="181"/>
    </row>
    <row r="34" spans="1:10" ht="24.75" customHeight="1" x14ac:dyDescent="0.2">
      <c r="A34" s="74"/>
      <c r="B34" s="179" t="s">
        <v>81</v>
      </c>
      <c r="C34" s="180"/>
      <c r="D34" s="180"/>
      <c r="E34" s="180"/>
      <c r="F34" s="180"/>
      <c r="G34" s="180"/>
      <c r="H34" s="180"/>
      <c r="I34" s="180"/>
      <c r="J34" s="181"/>
    </row>
    <row r="35" spans="1:10" x14ac:dyDescent="0.2">
      <c r="A35" s="74"/>
      <c r="B35" s="78"/>
      <c r="C35" s="78"/>
      <c r="D35" s="78"/>
      <c r="E35" s="78"/>
      <c r="F35" s="78"/>
      <c r="G35" s="78"/>
      <c r="H35" s="78"/>
      <c r="I35" s="78"/>
      <c r="J35" s="78"/>
    </row>
    <row r="36" spans="1:10" ht="12.75" customHeight="1" x14ac:dyDescent="0.2">
      <c r="A36" s="74"/>
      <c r="B36" s="182" t="s">
        <v>100</v>
      </c>
      <c r="C36" s="183"/>
      <c r="D36" s="79"/>
      <c r="E36" s="79"/>
      <c r="F36" s="79"/>
      <c r="G36" s="74"/>
      <c r="H36" s="74"/>
      <c r="I36" s="74"/>
      <c r="J36" s="74"/>
    </row>
    <row r="37" spans="1:10" s="74" customFormat="1" x14ac:dyDescent="0.2">
      <c r="B37" s="80"/>
      <c r="C37" s="80"/>
      <c r="D37" s="80"/>
      <c r="E37" s="80"/>
      <c r="F37" s="80"/>
    </row>
    <row r="38" spans="1:10" ht="38.25" x14ac:dyDescent="0.25">
      <c r="A38" s="74"/>
      <c r="B38" s="81" t="s">
        <v>18</v>
      </c>
      <c r="C38" s="81" t="s">
        <v>30</v>
      </c>
      <c r="D38" s="82"/>
      <c r="E38" s="173"/>
      <c r="F38" s="174"/>
      <c r="G38" s="74"/>
      <c r="H38" s="74"/>
      <c r="I38" s="74"/>
      <c r="J38" s="74"/>
    </row>
    <row r="39" spans="1:10" ht="38.25" x14ac:dyDescent="0.25">
      <c r="A39" s="74"/>
      <c r="B39" s="81" t="s">
        <v>19</v>
      </c>
      <c r="C39" s="81" t="s">
        <v>99</v>
      </c>
      <c r="D39" s="82"/>
      <c r="E39" s="173"/>
      <c r="F39" s="174"/>
      <c r="G39" s="74"/>
      <c r="H39" s="74"/>
      <c r="I39" s="74"/>
      <c r="J39" s="74"/>
    </row>
    <row r="40" spans="1:10" x14ac:dyDescent="0.2">
      <c r="A40" s="74"/>
      <c r="B40" s="74"/>
      <c r="C40" s="74"/>
      <c r="D40" s="74"/>
      <c r="E40" s="74"/>
      <c r="F40" s="74"/>
      <c r="G40" s="74"/>
      <c r="H40" s="74"/>
      <c r="I40" s="74"/>
      <c r="J40" s="74"/>
    </row>
  </sheetData>
  <mergeCells count="25">
    <mergeCell ref="B27:E27"/>
    <mergeCell ref="E38:F38"/>
    <mergeCell ref="E39:F39"/>
    <mergeCell ref="B30:E30"/>
    <mergeCell ref="F30:J30"/>
    <mergeCell ref="B33:J33"/>
    <mergeCell ref="B34:J34"/>
    <mergeCell ref="B36:C36"/>
    <mergeCell ref="Q25:Q27"/>
    <mergeCell ref="H26:H27"/>
    <mergeCell ref="G21:I21"/>
    <mergeCell ref="L21:N21"/>
    <mergeCell ref="Q21:S21"/>
    <mergeCell ref="W21:Y21"/>
    <mergeCell ref="L24:M24"/>
    <mergeCell ref="N24:O24"/>
    <mergeCell ref="B2:C3"/>
    <mergeCell ref="D2:AD2"/>
    <mergeCell ref="D3:AD3"/>
    <mergeCell ref="B4:E4"/>
    <mergeCell ref="G4:J4"/>
    <mergeCell ref="L4:O4"/>
    <mergeCell ref="Q4:U4"/>
    <mergeCell ref="W4:AB4"/>
    <mergeCell ref="AD4:AD5"/>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1 ANÁLISIS DE COTIZACIÓN</vt:lpstr>
      <vt:lpstr>ANEXO 2 RESULTADO COTIZACIONES</vt:lpstr>
      <vt:lpstr>ANEXO 3 - ESTUDIO DEL SECTOR </vt:lpstr>
      <vt:lpstr>'ANEXO 3 - ESTUDIO DEL SECTOR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Catherine Herrera</cp:lastModifiedBy>
  <cp:lastPrinted>2025-09-09T21:10:00Z</cp:lastPrinted>
  <dcterms:created xsi:type="dcterms:W3CDTF">2025-08-26T14:43:00Z</dcterms:created>
  <dcterms:modified xsi:type="dcterms:W3CDTF">2026-10-07T18:08:49Z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58C1F68852024E209B7917A8EED9E33C_13</vt:lpwstr>
  </property>
  <property fmtid="{D5CDD505-2E9C-101B-9397-08002B2CF9AE}" pid="3" name="KSOProductBuildVer">
    <vt:lpwstr>1033-12.2.0.23196</vt:lpwstr>
  </property>
</Properties>
</file>