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66925"/>
  <mc:AlternateContent xmlns:mc="http://schemas.openxmlformats.org/markup-compatibility/2006">
    <mc:Choice Requires="x15">
      <x15ac:absPath xmlns:x15ac="http://schemas.microsoft.com/office/spreadsheetml/2010/11/ac" url="/Users/camilacristancho/Desktop/ALCALDIA/PLANEACION/PROCESOS/16.FDLB-ES-C-086-2026 PROCEDAS/"/>
    </mc:Choice>
  </mc:AlternateContent>
  <xr:revisionPtr revIDLastSave="0" documentId="8_{82FFAD4C-22C8-424C-BD1E-41B20E5391EA}" xr6:coauthVersionLast="47" xr6:coauthVersionMax="47" xr10:uidLastSave="{00000000-0000-0000-0000-000000000000}"/>
  <bookViews>
    <workbookView xWindow="0" yWindow="660" windowWidth="15420" windowHeight="17160" xr2:uid="{366A4F4F-1AF3-4869-AEC5-1A95C6868A32}"/>
  </bookViews>
  <sheets>
    <sheet name="ProyecciónFinal_2" sheetId="12" r:id="rId1"/>
    <sheet name="Hoja1" sheetId="10" state="hidden" r:id="rId2"/>
    <sheet name="CosteoIndividual2" sheetId="11" r:id="rId3"/>
  </sheets>
  <definedNames>
    <definedName name="_xlnm._FilterDatabase" localSheetId="2" hidden="1">CosteoIndividual2!$A$6:$AT$48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9" i="11" l="1"/>
  <c r="AB9" i="11" s="1"/>
  <c r="B7" i="12"/>
  <c r="C7" i="12"/>
  <c r="D7" i="12"/>
  <c r="E7" i="12"/>
  <c r="F7" i="12"/>
  <c r="G7" i="12"/>
  <c r="H7" i="12"/>
  <c r="I7" i="12"/>
  <c r="J7" i="12"/>
  <c r="K7" i="12"/>
  <c r="L7" i="12"/>
  <c r="M7" i="12"/>
  <c r="B8" i="12"/>
  <c r="C8" i="12"/>
  <c r="D8" i="12"/>
  <c r="E8" i="12"/>
  <c r="F8" i="12"/>
  <c r="G8" i="12"/>
  <c r="H8" i="12"/>
  <c r="I8" i="12"/>
  <c r="J8" i="12"/>
  <c r="K8" i="12"/>
  <c r="L8" i="12"/>
  <c r="M8" i="12"/>
  <c r="B9" i="12"/>
  <c r="C9" i="12"/>
  <c r="D9" i="12"/>
  <c r="E9" i="12"/>
  <c r="F9" i="12"/>
  <c r="G9" i="12"/>
  <c r="H9" i="12"/>
  <c r="I9" i="12"/>
  <c r="J9" i="12"/>
  <c r="K9" i="12"/>
  <c r="L9" i="12"/>
  <c r="M9" i="12"/>
  <c r="B10" i="12"/>
  <c r="C10" i="12"/>
  <c r="D10" i="12"/>
  <c r="E10" i="12"/>
  <c r="F10" i="12"/>
  <c r="G10" i="12"/>
  <c r="H10" i="12"/>
  <c r="I10" i="12"/>
  <c r="J10" i="12"/>
  <c r="K10" i="12"/>
  <c r="L10" i="12"/>
  <c r="M10" i="12"/>
  <c r="B11" i="12"/>
  <c r="C11" i="12"/>
  <c r="D11" i="12"/>
  <c r="E11" i="12"/>
  <c r="F11" i="12"/>
  <c r="G11" i="12"/>
  <c r="H11" i="12"/>
  <c r="I11" i="12"/>
  <c r="J11" i="12"/>
  <c r="K11" i="12"/>
  <c r="L11" i="12"/>
  <c r="M11" i="12"/>
  <c r="B12" i="12"/>
  <c r="C12" i="12"/>
  <c r="D12" i="12"/>
  <c r="E12" i="12"/>
  <c r="F12" i="12"/>
  <c r="G12" i="12"/>
  <c r="H12" i="12"/>
  <c r="I12" i="12"/>
  <c r="J12" i="12"/>
  <c r="K12" i="12"/>
  <c r="L12" i="12"/>
  <c r="M12" i="12"/>
  <c r="B13" i="12"/>
  <c r="C13" i="12"/>
  <c r="D13" i="12"/>
  <c r="E13" i="12"/>
  <c r="F13" i="12"/>
  <c r="G13" i="12"/>
  <c r="H13" i="12"/>
  <c r="I13" i="12"/>
  <c r="J13" i="12"/>
  <c r="K13" i="12"/>
  <c r="L13" i="12"/>
  <c r="M13" i="12"/>
  <c r="B14" i="12"/>
  <c r="C14" i="12"/>
  <c r="D14" i="12"/>
  <c r="E14" i="12"/>
  <c r="F14" i="12"/>
  <c r="G14" i="12"/>
  <c r="H14" i="12"/>
  <c r="I14" i="12"/>
  <c r="J14" i="12"/>
  <c r="K14" i="12"/>
  <c r="L14" i="12"/>
  <c r="M14" i="12"/>
  <c r="B15" i="12"/>
  <c r="C15" i="12"/>
  <c r="D15" i="12"/>
  <c r="E15" i="12"/>
  <c r="F15" i="12"/>
  <c r="G15" i="12"/>
  <c r="H15" i="12"/>
  <c r="I15" i="12"/>
  <c r="J15" i="12"/>
  <c r="K15" i="12"/>
  <c r="L15" i="12"/>
  <c r="M15" i="12"/>
  <c r="B16" i="12"/>
  <c r="C16" i="12"/>
  <c r="D16" i="12"/>
  <c r="E16" i="12"/>
  <c r="F16" i="12"/>
  <c r="G16" i="12"/>
  <c r="H16" i="12"/>
  <c r="I16" i="12"/>
  <c r="J16" i="12"/>
  <c r="K16" i="12"/>
  <c r="L16" i="12"/>
  <c r="M16" i="12"/>
  <c r="B17" i="12"/>
  <c r="C17" i="12"/>
  <c r="D17" i="12"/>
  <c r="E17" i="12"/>
  <c r="F17" i="12"/>
  <c r="G17" i="12"/>
  <c r="H17" i="12"/>
  <c r="I17" i="12"/>
  <c r="J17" i="12"/>
  <c r="K17" i="12"/>
  <c r="L17" i="12"/>
  <c r="M17" i="12"/>
  <c r="B18" i="12"/>
  <c r="C18" i="12"/>
  <c r="D18" i="12"/>
  <c r="E18" i="12"/>
  <c r="F18" i="12"/>
  <c r="G18" i="12"/>
  <c r="H18" i="12"/>
  <c r="I18" i="12"/>
  <c r="J18" i="12"/>
  <c r="K18" i="12"/>
  <c r="L18" i="12"/>
  <c r="M18" i="12"/>
  <c r="B19" i="12"/>
  <c r="C19" i="12"/>
  <c r="D19" i="12"/>
  <c r="E19" i="12"/>
  <c r="F19" i="12"/>
  <c r="G19" i="12"/>
  <c r="H19" i="12"/>
  <c r="I19" i="12"/>
  <c r="J19" i="12"/>
  <c r="K19" i="12"/>
  <c r="L19" i="12"/>
  <c r="M19" i="12"/>
  <c r="B20" i="12"/>
  <c r="C20" i="12"/>
  <c r="D20" i="12"/>
  <c r="E20" i="12"/>
  <c r="F20" i="12"/>
  <c r="G20" i="12"/>
  <c r="H20" i="12"/>
  <c r="I20" i="12"/>
  <c r="J20" i="12"/>
  <c r="K20" i="12"/>
  <c r="L20" i="12"/>
  <c r="M20" i="12"/>
  <c r="B21" i="12"/>
  <c r="C21" i="12"/>
  <c r="D21" i="12"/>
  <c r="E21" i="12"/>
  <c r="F21" i="12"/>
  <c r="G21" i="12"/>
  <c r="H21" i="12"/>
  <c r="I21" i="12"/>
  <c r="J21" i="12"/>
  <c r="K21" i="12"/>
  <c r="L21" i="12"/>
  <c r="M21" i="12"/>
  <c r="B22" i="12"/>
  <c r="C22" i="12"/>
  <c r="D22" i="12"/>
  <c r="E22" i="12"/>
  <c r="F22" i="12"/>
  <c r="G22" i="12"/>
  <c r="H22" i="12"/>
  <c r="I22" i="12"/>
  <c r="J22" i="12"/>
  <c r="K22" i="12"/>
  <c r="L22" i="12"/>
  <c r="M22" i="12"/>
  <c r="B23" i="12"/>
  <c r="C23" i="12"/>
  <c r="D23" i="12"/>
  <c r="E23" i="12"/>
  <c r="F23" i="12"/>
  <c r="G23" i="12"/>
  <c r="H23" i="12"/>
  <c r="I23" i="12"/>
  <c r="J23" i="12"/>
  <c r="K23" i="12"/>
  <c r="L23" i="12"/>
  <c r="M23" i="12"/>
  <c r="B24" i="12"/>
  <c r="C24" i="12"/>
  <c r="D24" i="12"/>
  <c r="E24" i="12"/>
  <c r="F24" i="12"/>
  <c r="G24" i="12"/>
  <c r="H24" i="12"/>
  <c r="I24" i="12"/>
  <c r="J24" i="12"/>
  <c r="K24" i="12"/>
  <c r="L24" i="12"/>
  <c r="M24" i="12"/>
  <c r="B25" i="12"/>
  <c r="C25" i="12"/>
  <c r="D25" i="12"/>
  <c r="E25" i="12"/>
  <c r="F25" i="12"/>
  <c r="G25" i="12"/>
  <c r="H25" i="12"/>
  <c r="I25" i="12"/>
  <c r="J25" i="12"/>
  <c r="K25" i="12"/>
  <c r="L25" i="12"/>
  <c r="M25" i="12"/>
  <c r="B26" i="12"/>
  <c r="C26" i="12"/>
  <c r="D26" i="12"/>
  <c r="E26" i="12"/>
  <c r="F26" i="12"/>
  <c r="G26" i="12"/>
  <c r="H26" i="12"/>
  <c r="I26" i="12"/>
  <c r="J26" i="12"/>
  <c r="K26" i="12"/>
  <c r="L26" i="12"/>
  <c r="M26" i="12"/>
  <c r="B27" i="12"/>
  <c r="C27" i="12"/>
  <c r="D27" i="12"/>
  <c r="E27" i="12"/>
  <c r="F27" i="12"/>
  <c r="G27" i="12"/>
  <c r="H27" i="12"/>
  <c r="I27" i="12"/>
  <c r="J27" i="12"/>
  <c r="K27" i="12"/>
  <c r="L27" i="12"/>
  <c r="M27" i="12"/>
  <c r="B28" i="12"/>
  <c r="C28" i="12"/>
  <c r="D28" i="12"/>
  <c r="E28" i="12"/>
  <c r="F28" i="12"/>
  <c r="G28" i="12"/>
  <c r="H28" i="12"/>
  <c r="I28" i="12"/>
  <c r="J28" i="12"/>
  <c r="K28" i="12"/>
  <c r="L28" i="12"/>
  <c r="M28" i="12"/>
  <c r="B29" i="12"/>
  <c r="C29" i="12"/>
  <c r="D29" i="12"/>
  <c r="E29" i="12"/>
  <c r="F29" i="12"/>
  <c r="G29" i="12"/>
  <c r="H29" i="12"/>
  <c r="I29" i="12"/>
  <c r="J29" i="12"/>
  <c r="K29" i="12"/>
  <c r="L29" i="12"/>
  <c r="M29" i="12"/>
  <c r="B30" i="12"/>
  <c r="C30" i="12"/>
  <c r="D30" i="12"/>
  <c r="E30" i="12"/>
  <c r="F30" i="12"/>
  <c r="G30" i="12"/>
  <c r="H30" i="12"/>
  <c r="I30" i="12"/>
  <c r="J30" i="12"/>
  <c r="K30" i="12"/>
  <c r="L30" i="12"/>
  <c r="M30" i="12"/>
  <c r="B31" i="12"/>
  <c r="C31" i="12"/>
  <c r="D31" i="12"/>
  <c r="E31" i="12"/>
  <c r="F31" i="12"/>
  <c r="G31" i="12"/>
  <c r="H31" i="12"/>
  <c r="I31" i="12"/>
  <c r="J31" i="12"/>
  <c r="K31" i="12"/>
  <c r="L31" i="12"/>
  <c r="M31" i="12"/>
  <c r="B32" i="12"/>
  <c r="C32" i="12"/>
  <c r="D32" i="12"/>
  <c r="E32" i="12"/>
  <c r="F32" i="12"/>
  <c r="G32" i="12"/>
  <c r="H32" i="12"/>
  <c r="I32" i="12"/>
  <c r="J32" i="12"/>
  <c r="K32" i="12"/>
  <c r="L32" i="12"/>
  <c r="M32" i="12"/>
  <c r="B33" i="12"/>
  <c r="C33" i="12"/>
  <c r="D33" i="12"/>
  <c r="E33" i="12"/>
  <c r="F33" i="12"/>
  <c r="G33" i="12"/>
  <c r="H33" i="12"/>
  <c r="I33" i="12"/>
  <c r="J33" i="12"/>
  <c r="K33" i="12"/>
  <c r="L33" i="12"/>
  <c r="M33" i="12"/>
  <c r="B34" i="12"/>
  <c r="C34" i="12"/>
  <c r="D34" i="12"/>
  <c r="E34" i="12"/>
  <c r="F34" i="12"/>
  <c r="G34" i="12"/>
  <c r="H34" i="12"/>
  <c r="I34" i="12"/>
  <c r="J34" i="12"/>
  <c r="K34" i="12"/>
  <c r="L34" i="12"/>
  <c r="M34" i="12"/>
  <c r="B35" i="12"/>
  <c r="C35" i="12"/>
  <c r="D35" i="12"/>
  <c r="E35" i="12"/>
  <c r="F35" i="12"/>
  <c r="G35" i="12"/>
  <c r="H35" i="12"/>
  <c r="I35" i="12"/>
  <c r="J35" i="12"/>
  <c r="K35" i="12"/>
  <c r="L35" i="12"/>
  <c r="M35" i="12"/>
  <c r="B36" i="12"/>
  <c r="C36" i="12"/>
  <c r="D36" i="12"/>
  <c r="E36" i="12"/>
  <c r="F36" i="12"/>
  <c r="G36" i="12"/>
  <c r="H36" i="12"/>
  <c r="I36" i="12"/>
  <c r="J36" i="12"/>
  <c r="K36" i="12"/>
  <c r="L36" i="12"/>
  <c r="M36" i="12"/>
  <c r="B37" i="12"/>
  <c r="C37" i="12"/>
  <c r="D37" i="12"/>
  <c r="E37" i="12"/>
  <c r="F37" i="12"/>
  <c r="G37" i="12"/>
  <c r="H37" i="12"/>
  <c r="I37" i="12"/>
  <c r="J37" i="12"/>
  <c r="K37" i="12"/>
  <c r="L37" i="12"/>
  <c r="M37" i="12"/>
  <c r="B38" i="12"/>
  <c r="C38" i="12"/>
  <c r="D38" i="12"/>
  <c r="E38" i="12"/>
  <c r="F38" i="12"/>
  <c r="G38" i="12"/>
  <c r="H38" i="12"/>
  <c r="I38" i="12"/>
  <c r="J38" i="12"/>
  <c r="K38" i="12"/>
  <c r="L38" i="12"/>
  <c r="M38" i="12"/>
  <c r="B39" i="12"/>
  <c r="C39" i="12"/>
  <c r="D39" i="12"/>
  <c r="E39" i="12"/>
  <c r="F39" i="12"/>
  <c r="G39" i="12"/>
  <c r="H39" i="12"/>
  <c r="I39" i="12"/>
  <c r="J39" i="12"/>
  <c r="K39" i="12"/>
  <c r="L39" i="12"/>
  <c r="M39" i="12"/>
  <c r="B40" i="12"/>
  <c r="C40" i="12"/>
  <c r="D40" i="12"/>
  <c r="E40" i="12"/>
  <c r="F40" i="12"/>
  <c r="G40" i="12"/>
  <c r="H40" i="12"/>
  <c r="I40" i="12"/>
  <c r="J40" i="12"/>
  <c r="K40" i="12"/>
  <c r="L40" i="12"/>
  <c r="M40" i="12"/>
  <c r="B41" i="12"/>
  <c r="C41" i="12"/>
  <c r="D41" i="12"/>
  <c r="E41" i="12"/>
  <c r="F41" i="12"/>
  <c r="G41" i="12"/>
  <c r="H41" i="12"/>
  <c r="I41" i="12"/>
  <c r="J41" i="12"/>
  <c r="K41" i="12"/>
  <c r="L41" i="12"/>
  <c r="M41" i="12"/>
  <c r="B42" i="12"/>
  <c r="C42" i="12"/>
  <c r="D42" i="12"/>
  <c r="E42" i="12"/>
  <c r="F42" i="12"/>
  <c r="G42" i="12"/>
  <c r="H42" i="12"/>
  <c r="I42" i="12"/>
  <c r="J42" i="12"/>
  <c r="K42" i="12"/>
  <c r="L42" i="12"/>
  <c r="M42" i="12"/>
  <c r="B43" i="12"/>
  <c r="C43" i="12"/>
  <c r="D43" i="12"/>
  <c r="E43" i="12"/>
  <c r="F43" i="12"/>
  <c r="G43" i="12"/>
  <c r="H43" i="12"/>
  <c r="I43" i="12"/>
  <c r="J43" i="12"/>
  <c r="K43" i="12"/>
  <c r="L43" i="12"/>
  <c r="M43" i="12"/>
  <c r="B44" i="12"/>
  <c r="C44" i="12"/>
  <c r="D44" i="12"/>
  <c r="E44" i="12"/>
  <c r="F44" i="12"/>
  <c r="G44" i="12"/>
  <c r="H44" i="12"/>
  <c r="I44" i="12"/>
  <c r="J44" i="12"/>
  <c r="K44" i="12"/>
  <c r="L44" i="12"/>
  <c r="M44" i="12"/>
  <c r="B45" i="12"/>
  <c r="C45" i="12"/>
  <c r="D45" i="12"/>
  <c r="E45" i="12"/>
  <c r="F45" i="12"/>
  <c r="G45" i="12"/>
  <c r="H45" i="12"/>
  <c r="I45" i="12"/>
  <c r="J45" i="12"/>
  <c r="K45" i="12"/>
  <c r="L45" i="12"/>
  <c r="M45" i="12"/>
  <c r="B46" i="12"/>
  <c r="C46" i="12"/>
  <c r="D46" i="12"/>
  <c r="E46" i="12"/>
  <c r="F46" i="12"/>
  <c r="G46" i="12"/>
  <c r="H46" i="12"/>
  <c r="I46" i="12"/>
  <c r="J46" i="12"/>
  <c r="K46" i="12"/>
  <c r="L46" i="12"/>
  <c r="M46" i="12"/>
  <c r="B47" i="12"/>
  <c r="C47" i="12"/>
  <c r="D47" i="12"/>
  <c r="E47" i="12"/>
  <c r="F47" i="12"/>
  <c r="G47" i="12"/>
  <c r="H47" i="12"/>
  <c r="I47" i="12"/>
  <c r="J47" i="12"/>
  <c r="K47" i="12"/>
  <c r="L47" i="12"/>
  <c r="M47" i="12"/>
  <c r="AA48" i="11"/>
  <c r="AB48" i="11" s="1"/>
  <c r="Y22" i="11"/>
  <c r="AA22" i="11" s="1"/>
  <c r="AB22" i="11" s="1"/>
  <c r="Y21" i="11"/>
  <c r="AA21" i="11" s="1"/>
  <c r="AB21" i="11" s="1"/>
  <c r="Y20" i="11"/>
  <c r="E6" i="12"/>
  <c r="AA47" i="11"/>
  <c r="X11" i="11"/>
  <c r="AA45" i="11"/>
  <c r="AA24" i="11"/>
  <c r="AA18" i="11"/>
  <c r="AA16" i="11"/>
  <c r="AA15" i="11"/>
  <c r="AA14" i="11"/>
  <c r="AA13" i="11"/>
  <c r="AJ11" i="11"/>
  <c r="AJ18" i="11"/>
  <c r="AD46" i="11"/>
  <c r="AE46" i="11" s="1"/>
  <c r="AD45" i="11"/>
  <c r="AE45" i="11" s="1"/>
  <c r="AD44" i="11"/>
  <c r="AE44" i="11" s="1"/>
  <c r="AD43" i="11"/>
  <c r="AE43" i="11" s="1"/>
  <c r="AD42" i="11"/>
  <c r="AE42" i="11" s="1"/>
  <c r="AD41" i="11"/>
  <c r="AE41" i="11" s="1"/>
  <c r="AD40" i="11"/>
  <c r="AE40" i="11" s="1"/>
  <c r="AD39" i="11"/>
  <c r="AE39" i="11" s="1"/>
  <c r="AD38" i="11"/>
  <c r="AE38" i="11" s="1"/>
  <c r="AD37" i="11"/>
  <c r="AE37" i="11" s="1"/>
  <c r="AD36" i="11"/>
  <c r="AE36" i="11" s="1"/>
  <c r="AD35" i="11"/>
  <c r="AE35" i="11" s="1"/>
  <c r="AA35" i="11" s="1"/>
  <c r="AD34" i="11"/>
  <c r="AE34" i="11" s="1"/>
  <c r="AD33" i="11"/>
  <c r="AE33" i="11" s="1"/>
  <c r="AD32" i="11"/>
  <c r="AE32" i="11" s="1"/>
  <c r="AD31" i="11"/>
  <c r="AE31" i="11" s="1"/>
  <c r="AD30" i="11"/>
  <c r="AE30" i="11" s="1"/>
  <c r="AD29" i="11"/>
  <c r="AE29" i="11" s="1"/>
  <c r="AD28" i="11"/>
  <c r="AE28" i="11" s="1"/>
  <c r="AD27" i="11"/>
  <c r="AE27" i="11" s="1"/>
  <c r="AD26" i="11"/>
  <c r="AE26" i="11" s="1"/>
  <c r="AD25" i="11"/>
  <c r="AE25" i="11" s="1"/>
  <c r="AD24" i="11"/>
  <c r="AE24" i="11" s="1"/>
  <c r="AD23" i="11"/>
  <c r="AE23" i="11" s="1"/>
  <c r="AD19" i="11"/>
  <c r="AE19" i="11" s="1"/>
  <c r="AD17" i="11"/>
  <c r="AE17" i="11" s="1"/>
  <c r="AD16" i="11"/>
  <c r="AE16" i="11" s="1"/>
  <c r="AD15" i="11"/>
  <c r="AE15" i="11" s="1"/>
  <c r="AD14" i="11"/>
  <c r="AE14" i="11" s="1"/>
  <c r="AD12" i="11"/>
  <c r="AE12" i="11" s="1"/>
  <c r="AD11" i="11"/>
  <c r="AE11" i="11" s="1"/>
  <c r="AA11" i="11" s="1"/>
  <c r="AD10" i="11"/>
  <c r="AE10" i="11" s="1"/>
  <c r="AA10" i="11" s="1"/>
  <c r="AD9" i="11"/>
  <c r="AE9" i="11" s="1"/>
  <c r="AD8" i="11"/>
  <c r="AE8" i="11" s="1"/>
  <c r="AA8" i="11" s="1"/>
  <c r="AD7" i="11"/>
  <c r="AE7" i="11" s="1"/>
  <c r="AA7" i="11" s="1"/>
  <c r="O47" i="11"/>
  <c r="N47" i="11"/>
  <c r="M47" i="11"/>
  <c r="L47" i="11"/>
  <c r="AD47" i="11" s="1"/>
  <c r="O13" i="11"/>
  <c r="N13" i="11"/>
  <c r="M13" i="11"/>
  <c r="L13" i="11"/>
  <c r="AD13" i="11" s="1"/>
  <c r="AE13" i="11" s="1"/>
  <c r="S18" i="11"/>
  <c r="R18" i="11"/>
  <c r="Q18" i="11"/>
  <c r="P18" i="11"/>
  <c r="AD18" i="11" s="1"/>
  <c r="AE18" i="11" s="1"/>
  <c r="AB18" i="11" s="1"/>
  <c r="AD20" i="11"/>
  <c r="AE20" i="11" s="1"/>
  <c r="AA20" i="11" s="1"/>
  <c r="AG8" i="11"/>
  <c r="AG9" i="11"/>
  <c r="AG10" i="11"/>
  <c r="AG11" i="11"/>
  <c r="AG12" i="11"/>
  <c r="AG13" i="11"/>
  <c r="AG14" i="11"/>
  <c r="AG15" i="11"/>
  <c r="AG16" i="11"/>
  <c r="AG17" i="11"/>
  <c r="AG18" i="11"/>
  <c r="AG19" i="11"/>
  <c r="AG20" i="11"/>
  <c r="AG23" i="11"/>
  <c r="AG24" i="11"/>
  <c r="AG25" i="11"/>
  <c r="AG26" i="11"/>
  <c r="AG27" i="11"/>
  <c r="AG28" i="11"/>
  <c r="AG29" i="11"/>
  <c r="AG30" i="11"/>
  <c r="AG31" i="11"/>
  <c r="AG32" i="11"/>
  <c r="AG33" i="11"/>
  <c r="AG34" i="11"/>
  <c r="AG35" i="11"/>
  <c r="AG36" i="11"/>
  <c r="AG37" i="11"/>
  <c r="AG38" i="11"/>
  <c r="AG39" i="11"/>
  <c r="AG40" i="11"/>
  <c r="AG41" i="11"/>
  <c r="AG42" i="11"/>
  <c r="AG43" i="11"/>
  <c r="AG44" i="11"/>
  <c r="AG45" i="11"/>
  <c r="AG46" i="11"/>
  <c r="AG47" i="11"/>
  <c r="AG7" i="11"/>
  <c r="AB8" i="11"/>
  <c r="AA12" i="11"/>
  <c r="AA17" i="11"/>
  <c r="AH8" i="11"/>
  <c r="AH9" i="11"/>
  <c r="AH10" i="11"/>
  <c r="AB10" i="11"/>
  <c r="AH11" i="11"/>
  <c r="AB11" i="11"/>
  <c r="AH12" i="11"/>
  <c r="AB12" i="11"/>
  <c r="AH13" i="11"/>
  <c r="AB13" i="11"/>
  <c r="AH14" i="11"/>
  <c r="AB14" i="11"/>
  <c r="AH15" i="11"/>
  <c r="AB15" i="11"/>
  <c r="AH16" i="11"/>
  <c r="AB16" i="11"/>
  <c r="AH17" i="11"/>
  <c r="AB17" i="11"/>
  <c r="AB20" i="11"/>
  <c r="AB7" i="11"/>
  <c r="AE47" i="11" l="1"/>
  <c r="AA46" i="11"/>
  <c r="AA44" i="11"/>
  <c r="AA43" i="11"/>
  <c r="AA42" i="11"/>
  <c r="AA41" i="11"/>
  <c r="AA40" i="11"/>
  <c r="AA39" i="11"/>
  <c r="AA38" i="11"/>
  <c r="AA37" i="11"/>
  <c r="AA36" i="11"/>
  <c r="AA34" i="11"/>
  <c r="AA33" i="11"/>
  <c r="AA32" i="11"/>
  <c r="AA31" i="11"/>
  <c r="AA30" i="11"/>
  <c r="AA29" i="11"/>
  <c r="AA28" i="11"/>
  <c r="AA27" i="11"/>
  <c r="AA26" i="11"/>
  <c r="AA25" i="11"/>
  <c r="AA23" i="11"/>
  <c r="AH20" i="11"/>
  <c r="AH7" i="11"/>
  <c r="B3" i="12" l="1"/>
  <c r="J6" i="12"/>
  <c r="AH47" i="11" l="1"/>
  <c r="AB47" i="11"/>
  <c r="AH46" i="11"/>
  <c r="AB46" i="11"/>
  <c r="AH45" i="11"/>
  <c r="AB45" i="11"/>
  <c r="AH44" i="11"/>
  <c r="AB44" i="11"/>
  <c r="AH43" i="11"/>
  <c r="AB43" i="11"/>
  <c r="AH42" i="11"/>
  <c r="AB42" i="11"/>
  <c r="AH41" i="11"/>
  <c r="AB41" i="11"/>
  <c r="AH40" i="11"/>
  <c r="AB40" i="11"/>
  <c r="AH39" i="11"/>
  <c r="AB39" i="11"/>
  <c r="AH38" i="11"/>
  <c r="AB38" i="11"/>
  <c r="AH37" i="11"/>
  <c r="AB37" i="11"/>
  <c r="AH36" i="11"/>
  <c r="AB36" i="11"/>
  <c r="AH35" i="11"/>
  <c r="AB35" i="11"/>
  <c r="AH34" i="11"/>
  <c r="AB34" i="11"/>
  <c r="AH33" i="11"/>
  <c r="AB33" i="11"/>
  <c r="AH32" i="11"/>
  <c r="AB32" i="11"/>
  <c r="AH31" i="11"/>
  <c r="AB31" i="11"/>
  <c r="AH30" i="11"/>
  <c r="AB30" i="11"/>
  <c r="AH29" i="11"/>
  <c r="AB29" i="11"/>
  <c r="AH28" i="11"/>
  <c r="AB28" i="11"/>
  <c r="AH27" i="11"/>
  <c r="AB27" i="11"/>
  <c r="AH26" i="11"/>
  <c r="AB26" i="11"/>
  <c r="AH25" i="11"/>
  <c r="AB25" i="11"/>
  <c r="AH24" i="11"/>
  <c r="AB24" i="11"/>
  <c r="AH23" i="11"/>
  <c r="AB23" i="11"/>
  <c r="AH18" i="11"/>
  <c r="D6" i="12"/>
  <c r="F6" i="12"/>
  <c r="G6" i="12"/>
  <c r="B6" i="12"/>
  <c r="C6" i="12"/>
  <c r="K6" i="12" l="1"/>
  <c r="L6" i="12" l="1"/>
  <c r="M6" i="12" s="1"/>
  <c r="H6" i="12" l="1"/>
  <c r="I6" i="12" l="1"/>
  <c r="AA19" i="11"/>
  <c r="AB19" i="11" l="1"/>
  <c r="AH19" i="11"/>
  <c r="I48" i="12" l="1"/>
</calcChain>
</file>

<file path=xl/sharedStrings.xml><?xml version="1.0" encoding="utf-8"?>
<sst xmlns="http://schemas.openxmlformats.org/spreadsheetml/2006/main" count="296" uniqueCount="173">
  <si>
    <t>ITEM</t>
  </si>
  <si>
    <t>PRODUCTO O SERVICIO</t>
  </si>
  <si>
    <t>ESPECIFICACION TECNICA</t>
  </si>
  <si>
    <t>DESCRIPCION TECNICA</t>
  </si>
  <si>
    <t>UNIDAD DE MEDIDA A COTIZAR</t>
  </si>
  <si>
    <t>CANTIDAD A COTIZAR</t>
  </si>
  <si>
    <t>VALOR UNITARIO PROMEDIO O MEDIANA (INCLUIDO IVA SI APLICA)</t>
  </si>
  <si>
    <t>VALOR PROMEDIO O MEDIANA TOTAL (INCLUIDO IVA SI APLICA)</t>
  </si>
  <si>
    <t>FUENTE DE CONSULTA</t>
  </si>
  <si>
    <t>DESVIACIÓN ESTÁNDAR</t>
  </si>
  <si>
    <t>SI DESVEST ES &gt;15% SE PROMEDIA CON MEDIANA</t>
  </si>
  <si>
    <t>Tecnica Utilizada</t>
  </si>
  <si>
    <t xml:space="preserve">TOTAL </t>
  </si>
  <si>
    <t>COTIZACIONES POR CORREO ELECTRONICO</t>
  </si>
  <si>
    <t>PROVEEDORES</t>
  </si>
  <si>
    <t xml:space="preserve">COTIZACIONES </t>
  </si>
  <si>
    <t>RESUMEN COTIZACIONES DE PRECIOS - Matriz de Calculo - FDLB-ES-C-086-2026</t>
  </si>
  <si>
    <t>FDLB-ES-C-086-2026</t>
  </si>
  <si>
    <t>FDLB-ES-C-048-2026</t>
  </si>
  <si>
    <t>GRUPO DISCENTIA 360 S.A.S - 900.197.249-7</t>
  </si>
  <si>
    <t>CENTRO DE INNOVACIÓN PARA EL DESARROLLO SOCIAL - 901.418.605-1</t>
  </si>
  <si>
    <t>CORPORACIÓN COLOMBIANA DE AGRICULTURA URBANA Y CONSERVACIÓN DEL AMBIENTE CORAMBIENTAL - 830.071.862-7</t>
  </si>
  <si>
    <t>CSTBOV SAS
NIT: 900910140</t>
  </si>
  <si>
    <t>FUNDACIÓN JUSTICIA SOCIAL
NIT: 830069703</t>
  </si>
  <si>
    <t>3csoluciones integrales
NIT: 901995151</t>
  </si>
  <si>
    <t>CORAMBIENTAL
NIT: 830071862</t>
  </si>
  <si>
    <t>04-CEA MONACO Academia de Automovilismo y Motociclismo NIT 79937664-1</t>
  </si>
  <si>
    <t xml:space="preserve">05-ESCUELA AMERICANA DE AUTOMOVILISMO NIT 901757387-2
</t>
  </si>
  <si>
    <t>06-EDUCARS SAS NIT 901621016-0</t>
  </si>
  <si>
    <t>07-CEA FENIX NIT 901.712.069-1</t>
  </si>
  <si>
    <t>FDLB-ES-C-113-2026</t>
  </si>
  <si>
    <t>DESCRIPCION TECNICA
(Especifique mas detalles en caso de ser necesario)</t>
  </si>
  <si>
    <t>TIEMPO</t>
  </si>
  <si>
    <t>Cotización 1
VALOR UNITARIO (INCLUIDO IVA SI APLICA)</t>
  </si>
  <si>
    <t>Cotización 2
VALOR UNITARIO (INCLUIDO IVA SI APLICA)</t>
  </si>
  <si>
    <t>Cotización 3
VALOR UNITARIO (INCLUIDO IVA SI APLICA)</t>
  </si>
  <si>
    <t>Cotización 4
VALOR UNITARIO (INCLUIDO IVA SI APLICA)</t>
  </si>
  <si>
    <t>Cotización 5
VALOR UNITARIO (INCLUIDO IVA SI APLICA)</t>
  </si>
  <si>
    <t>Cotización 
VALOR UNITARIO (INCLUIDO IVA SI APLICA)</t>
  </si>
  <si>
    <t>Cotización 7
VALOR UNITARIO (INCLUIDO IVA SI APLICA)</t>
  </si>
  <si>
    <t>Cotización 8
VALOR UNITARIO (INCLUIDO IVA SI APLICA)</t>
  </si>
  <si>
    <t>Cotización 9
VALOR UNITARIO (INCLUIDO IVA SI APLICA)</t>
  </si>
  <si>
    <t>Cotización 10
VALOR UNITARIO (INCLUIDO IVA SI APLICA)</t>
  </si>
  <si>
    <t>Cotización 11
VALOR UNITARIO (INCLUIDO IVA SI APLICA)</t>
  </si>
  <si>
    <t>ASOCIACION COORDINADORA CIVICA NACIONAL - 830.058.435-9</t>
  </si>
  <si>
    <t>PROCESOS ADJUDICADOS OTRAS ENTIDADES</t>
  </si>
  <si>
    <t>RESOLUCION</t>
  </si>
  <si>
    <t>VCP</t>
  </si>
  <si>
    <t>Cotizaciones Elemento</t>
  </si>
  <si>
    <t>Probabilidad Ahorro</t>
  </si>
  <si>
    <t>VALORES DE OTRAS ALCALDIAS</t>
  </si>
  <si>
    <t>PROCESO</t>
  </si>
  <si>
    <t>LINK</t>
  </si>
  <si>
    <t>Alquiler de salón de eventos 100 personas</t>
  </si>
  <si>
    <t>Servicio de alquiler de un (1) salón para el desarrollo de eventos, que cuente con espacio para la atención de mínimo cien (100) personas sentadas, dotado con las condiciones físicas elementos estructurales, técnicos y logísticos tales como tarima, zonas de entrada y recepción, iluminación en pasillos, áreas de circulación, escaleras, zonas de cambio de nivel, baños, halls de entrada y recepciones, zonas de oficinas, en caso de ser necesario iluminación para espéctalos, servicio de sonido que garantice la calidad y cubrimiento de todo el espacio, sillas plásticas sin brazos de color blanco, mesas cuadradas y rectangulares con mantel de color blanco, señalización y todos los elementos que garanticen la atención de emergencias. El tiempo de alquiler del servicio tendrá una duración de ocho (8) horas.</t>
  </si>
  <si>
    <t>N/A</t>
  </si>
  <si>
    <t>UN</t>
  </si>
  <si>
    <t>CO1.REQ.10518120</t>
  </si>
  <si>
    <t>https://community.secop.gov.co/Public/Tendering/OpportunityDetail/Index?noticeUID=CO1.NTC.10374619</t>
  </si>
  <si>
    <t>Alquiler de videobeam tipo 1</t>
  </si>
  <si>
    <t>Servicio de alquiler de Video Beam de cuatro mil (4000) lumens de resolución 4K y entradas HDMI Y Display Port, conectividad inalámbrica y todos los accesorios que garanticen su correcto funcionamiento, debe incluir debe incluir telón para proyecciones entre cien (100) y ciento veinte (120) pulgadas (") para izar o con base para piso transporte de carga, personal técnico uniformados con todos los elementos de seguridad e identificado para su instalación, operación y desmontaje conforme a la programación establecida por la Alcaldía Local de Bosa.El tiempo de alquiler del servicio tendrá una duración de diez (10) horas.</t>
  </si>
  <si>
    <t>Suministro Impresión de volantes</t>
  </si>
  <si>
    <t>Impresión de mil (1000) volantes en tamaño media carta trece (13) centímetros x veintiún 21 centímetros a full color por dos caras (4x4) en propalcote de ciento quince (115) gramos conforme al diseño establecido por la Alcaldía Local de Bosa</t>
  </si>
  <si>
    <t>Debe contener como mínimo la siguiente información: Logos de la Alcaldía Local de Bosa (ALB), información de la convocatoria, código QR que dirija al formulario de inscripción y lo demás que disponga el Comité Técnico de Seguimiento y Control</t>
  </si>
  <si>
    <t>Suministro Impresión de certificado/diploma</t>
  </si>
  <si>
    <t>Impresión de certificados / Diplomas en tamaño carta a Full Color en Sutratato En Opalina O Propalcote 200 G para ser entregados conforme a la programación establecida por la Alcaldía Local de Bosa</t>
  </si>
  <si>
    <t>Deben contener la siguiente información: Logos de la Alcaldía Local de Bosa y Presupuestos participativos, la información del proyecto (nombre del proyecto, número del contrato, fecha realización), datos de identificación del/la participante (nombre y cédula), fecha de entrega, entre otros que sean acordados en los Comités</t>
  </si>
  <si>
    <t xml:space="preserve">FDLCB-LP-004-2026 </t>
  </si>
  <si>
    <t>https://community.secop.gov.co/Public/Tendering/OpportunityDetail/Index?isFromPublicArea=True&amp;noticeUID=CO1.NTC.10647701&amp;utm_source=chatgpt.com</t>
  </si>
  <si>
    <t>Suministro Resma de papel Carta</t>
  </si>
  <si>
    <t>Suministro de resma de papel blanco multiuso en tamaño carta (216 x 279 mm), gramaje 75 g/m² ( 500 hojas por resma) opacidad ≥ 90 %, uso impresión y copiado láser e inyección para ser sumisnitrado conforme a la programacion establecida por la Alcaldia Local de Bosa</t>
  </si>
  <si>
    <t>FDLSF-MC-007-2025</t>
  </si>
  <si>
    <t>https://community.secop.gov.co/Public/Tendering/OpportunityDetail/Index?noticeUID=CO1.NTC.9308428</t>
  </si>
  <si>
    <t>FDLPA-SASI-020-2025</t>
  </si>
  <si>
    <t>https://community.secop.gov.co/Public/Tendering/OpportunityDetail/Index?noticeUID=CO1.NTC.8369892</t>
  </si>
  <si>
    <t>Suministro Bolígrafo negro semi gel</t>
  </si>
  <si>
    <t xml:space="preserve">Suministro de caja con doce (12) unidades de Bolígrafo tinta negra tipo semi-gel, punta 0,7 mm, cuerpo plástico para ser entregado conforme a la programacion establecida por la Alcaldia Local de Bosa </t>
  </si>
  <si>
    <t>Debe tener el logo de la ALB, el nombre de "PROCEDAS 2025", y el nombre de "Presupuestos participativos" cuando corresponda</t>
  </si>
  <si>
    <t>Suministro Agenda ecológica</t>
  </si>
  <si>
    <t xml:space="preserve">Agenda con esfero ecológico y con 80 hojas rayadas. Alto 18,1 cm Ancho 13 cm Largo Esfero: 14 cm Profundidad 1,4 cm para ser entregado conforme a la programacion establecida por la Alcaldia Local de Bosa </t>
  </si>
  <si>
    <t>no es ecológica</t>
  </si>
  <si>
    <t>Suministro Bolsa ecológica</t>
  </si>
  <si>
    <t>Suministro de paquete con cincuenta (50) unidades de bolsas ecológicas fabricadas en 100% algodón orgánico de cincuenta (50) centímetros de largo x cuarenta y cinco (45) cm de ancho en colores variados marcadas por los dos (2) costados conforme al diseño establecido por la Alcaldía Local de Bosa.</t>
  </si>
  <si>
    <t>PAC</t>
  </si>
  <si>
    <t>Suministro Refrigerio tipo 1</t>
  </si>
  <si>
    <t>Suministro de Refrigerio compuesto por un (1) pastel de pollo o un (1) pastel de carne o un (1) pastel gloria o un (1) sándwich con dos (2) rebanadas de pan, una (1) tajada de jamón y una (1) tajada de queso, una (1) fruta entera y un (1) jugo en envase pet o Tetrapak doscientos (200) ml, una (1) fruta (manzana, pera, durazno, banano, mandarina, o ciruela), todos los alimentos relacionados en esta descripción técnica deberán estar en empaques desechables biodegradables aptos para el almacenamiento y transporte de alimentos, para ser entregados conforme a la programación establecida por la Alcaldía Local de Bosa. el servicio de alquiler por diez (10) horas</t>
  </si>
  <si>
    <t>El servicio de refrigerio debe incluir transporte y personal en el lugar y horario establecido por la Alcaldía Local de Bosa. La entidad ejecutora se compromete a suministrar al FDLB los documentos donde consten la formalización del proveedor lo que incluye entre otros, los cursos de manipulación de alimentos de los operarios.</t>
  </si>
  <si>
    <t>Suministro Refrigerio tipo 3</t>
  </si>
  <si>
    <t xml:space="preserve">Servicio de refrigerio compuesto por un (1) sándwich de pan baguette que contenga con pollo, queso, lechuga, tomate y salsa, una (1) bebida de 400 ml, una (1) fruta y un (1) dulce, todos los alimentos relacionados en esta descripción técnica deberán estar en empaques desechables biodegradables aptos para el almacenamiento y transporte de alimentos, para ser entregados conforme a la programación establecida por la Alcaldía Local de Bosa. </t>
  </si>
  <si>
    <t>Suministro Almuerzo tipo 1</t>
  </si>
  <si>
    <t>Servicio de almuerzo compuesto por una (1) porción de proteína de ciento cincuenta (150) gramos, una (1) porción de ensalada fresca de ciento cincuenta (150) gramos, una (1) porción de arroz blanco de ochenta (80) gramos, una (1) porción de verdura de cien (100) gramos, una (1) porción de papa en cascos de ochenta (80) gramos y una bebida de jugo natural de doscientos (200) mililitros, todos los alimentos relacionados en esta descripción técnica deberán estar en empaques desechables biodegradables aptos para el almacenamiento y transporte de alimentos preparados que incluya cuchara, tenedor, cuchillo y servilleta, para ser entregados de manera individual conforme a la programación establecida por la Alcaldía Local de Bosa.</t>
  </si>
  <si>
    <t>Incluye empaque y transporte a lugares definidos por la alcaldía. Los empaques y contenedores deben ser reciclables (no icopor) o compostables y se debe incluir su manejo post-consumo</t>
  </si>
  <si>
    <t xml:space="preserve">Suministro Video clip </t>
  </si>
  <si>
    <t>Produccion y edición de video clip que contenga y recopile el proceso de implementación de los PROCEDAS  de maximo 10 minutos</t>
  </si>
  <si>
    <t>Suministro Plegable tipo fanzi</t>
  </si>
  <si>
    <t>Plegable tipo fanzin en tamaño tabloide, impresión 4x4 a cuatricromía en ambas caras, papel esmaltado C2S Gloss de 115 g/m2 (de acuerdo con la guía de contratación sostenible)</t>
  </si>
  <si>
    <t>PROFESIONAL EN EDUCACIÓN AMBIENTAL</t>
  </si>
  <si>
    <t>FORMACIÓN ACADÉMICA: TÍTULO PROFESIONAL EN LICENCIATURA EN CIENCIAS NATURALES Y/O EDUCACIÓN AMBIENTAL Y/O INGENIERÍA AMBIENTAL Y/O INGENIERÍA SANITARIA Y AMBIENTAL Y/O ADMINISTRACIÓN AMBIENTAL Y/O AFINES SEGÚN SNIES.
EXPERIENCIA: MÍNIMO VEINTITRÉS (23) MESES DE EXPERIENCIA LABORAL GENERAL A PARTIR DE LA EXPEDICIÓN DE LA TARJETA PROFESIONAL, CON EXPERIENCIA ESPECÍFICA DE MÍNIMO UN (1) AÑO EN GESTIÓN E IMPLEMENTACIÓN DE PROYECTOS AMBIENTALES.
DEDICACIÓN: SIETE (7) MESES DE EJECUCIÓN TÉCNICA.</t>
  </si>
  <si>
    <t>Titulo profesional relacionado con los servicios a contratar con experiencia minima de 1 año</t>
  </si>
  <si>
    <t>COORDINADOR/A DEL PROYECTO</t>
  </si>
  <si>
    <t>FORMACIÓN ACADÉMICA: TÍTULO PROFESIONAL EN ECOLOGÍA Y/O BIOLOGÍA Y/O INGENIERÍA AMBIENTAL Y/O FORESTAL, O AFINES SEGÚN SNIES.
EXPERIENCIA: MÍNIMO TRES (3) AÑOS DE EXPERIENCIA GENERAL A PARTIR DE LA EXPEDICIÓN DE LA TARJETA PROFESIONAL, CON EXPERIENCIA ESPECÍFICA DE MÍNIMO DOS (2) AÑOS EN EDUCACIÓN AMBIENTAL Y/O FORMULACIÓN DE PROYECTOS AMBIENTALES Y/O SISTEMAS DE INFORMACIÓN GEOGRÁFICA (SIG).
DEDICACIÓN: NUEVE (9) MESES.</t>
  </si>
  <si>
    <t>ASISTENTE ADMINISTRATIVO</t>
  </si>
  <si>
    <t>FORMACIÓN ACADÉMICA: TÍTULO BACHILLER Y CERTIFICADO DE APTITUD OCUPACIONAL, O TÍTULO DE EDUCACIÓN PARA EL TRABAJO Y EL DESARROLLO HUMANO, O TÍTULO DE FORMACIÓN TÉCNICA LABORAL EN ÁREAS ADMINISTRATIVAS Y/O AFINES.
EXPERIENCIA: MÍNIMO TRES (3) AÑOS DE EXPERIENCIA LABORAL DEBIDAMENTE CERTIFICADA.
DEDICACIÓN: SIETE (7) MESES DE EJECUCIÓN TÉCNICA.</t>
  </si>
  <si>
    <t>Sabedor(a)</t>
  </si>
  <si>
    <t>Sabedores/ras de Medicina Ancestral Tipo 1</t>
  </si>
  <si>
    <t>Persona con pertenencia a los pueblos indígenas con un (1) año de experiencia práctica y reconocimiento en cada uno de sus pueblos. Perfil debe ser avalados por la Mesa Indígena de la localidad de Bosa, dando prioridad a los habitantes de Bosa, aportando aval por parte de la Mesa indígena. </t>
  </si>
  <si>
    <t>1 HORA</t>
  </si>
  <si>
    <t>Alquiler de carpa tipo kiosco 4 x 4</t>
  </si>
  <si>
    <t>Alquiler de Carpa tipo kiosco de cuatro (4) metros de acho x cuatro (4) metros de profundidad y dos metros con veinte (2,20) centímetros de altura recubierta en su totalidad por lona de color blanco con laterales, la carpa debe estar en buen estado estético y de funcionamiento e incluir contrapesos, accesorios, transporte de carga y personal para ser instaladas y desinstaladas en el lugar dispuesto por la Alcaldía Local de Bosa.
El tiempo de alquiler del servicio tendrá una duración de un día</t>
  </si>
  <si>
    <t>Carpa modular de estructura metálica reforzada (acero o aluminio), con dimensiones de 4 x 4 metros, cubierta en lona impermeable tipo poliéster o PVC de alta resistencia, color blanco o institucional. Debe contar con protección contra lluvia y radiación solar, sistema de anclaje seguro (estacas o contrapesos), y encontrarse en óptimas condiciones físicas y de limpieza. Incluye transporte, montaje y desmontaje en el lugar del evento, con instalación previa mínima de dos (2) horas antes del inicio de la actividad.</t>
  </si>
  <si>
    <t>Suministro Azadon</t>
  </si>
  <si>
    <t>Azadon de cabeza forjada de acero templado con mango de madera resistente entre 120 cm y 145 cm</t>
  </si>
  <si>
    <t>Herramienta para cavar, remover tierra y cortar raíces</t>
  </si>
  <si>
    <t xml:space="preserve">Suministro Palin </t>
  </si>
  <si>
    <t xml:space="preserve">Palin de cabeza cuadrada con diámetro de cubo de 34.5 mm, sistema de enmangado remachado y mango tipo anilla en madera, con una longitud de 53 cm y diámetro de 38 mm. </t>
  </si>
  <si>
    <t>Herramienta apta para jardinería y agricultura,</t>
  </si>
  <si>
    <t>Suministro Regadera</t>
  </si>
  <si>
    <t>Regadera Plástica de 1,75 Litros Dimensiones: 7,5x33x24,5cm</t>
  </si>
  <si>
    <t xml:space="preserve">Suministro Plantulas </t>
  </si>
  <si>
    <t xml:space="preserve">Plantulas para siembra Aromáticas, Hortalizas y frutales </t>
  </si>
  <si>
    <t xml:space="preserve">Suministro semillas </t>
  </si>
  <si>
    <t>Semillas forestales, semillas frutales, hortalizas</t>
  </si>
  <si>
    <t>Suministro de guantes de nitrilo</t>
  </si>
  <si>
    <t>Guantes de Nitrilo. 100% libres de Látex x 50 pares.</t>
  </si>
  <si>
    <t>Guantes desechables o reutilizables, resistentes, talla estándar o surtida, destinados a la protección de manos durante manipulación de residuos sólidos no peligrosos.</t>
  </si>
  <si>
    <t xml:space="preserve">Suministro de Elementos de aseo </t>
  </si>
  <si>
    <t>Bolsas de basura</t>
  </si>
  <si>
    <t>Bolsas plásticas de alta resistencia (mínimo calibre 1.5 o superior), capacidad entre 30 y 50 galones, aptas para recolección de residuos ordinarios en jornadas comunitarias. Deben soportar peso y evitar rupturas.</t>
  </si>
  <si>
    <t>Suministro Bolsas de lona en polipropileno</t>
  </si>
  <si>
    <t>Empaque De Lona  Blanco Polipropileno</t>
  </si>
  <si>
    <t>Lonas plásticas o de polipropileno reutilizables, resistentes al peso y a la humedad, utilizadas para acopio temporal de residuos o material vegetal durante jornadas de limpieza ambiental.</t>
  </si>
  <si>
    <t xml:space="preserve">Suministro Elementos de aseo </t>
  </si>
  <si>
    <t>Recogedor Con Banda y Palo</t>
  </si>
  <si>
    <t>Recogedor plástico o metálico de alta resistencia, con mango largo o corto, adecuado para la recolección de residuos sólidos durante jornadas de limpieza.</t>
  </si>
  <si>
    <t>Suministro Rastrillo</t>
  </si>
  <si>
    <t>Escoba Plástica De 18 Dientes Con Mango</t>
  </si>
  <si>
    <t>Rastrillo metálico o plástico reforzado, con mango resistente, adecuado para nivelación de suelo y recolección de hojas o material vegetal.</t>
  </si>
  <si>
    <t>Intérprete de lenguaje de señas</t>
  </si>
  <si>
    <t>Servicio de interprete de señas con perfil como Tecnologo, tecnico o bachiller y que acredite ser intérprete de lengua de señas que cuente mínimo con dos (2) años de experiencia como intérprete. La prestacion del servicio se requiere por ocho (8) horas.</t>
  </si>
  <si>
    <t>Intérprete certificado en Lengua de Señas Colombiana (LSC), con experiencia en eventos comunitarios e institucionales, garantizando accesibilidad e inclusión de personas sordas.</t>
  </si>
  <si>
    <t>Suministro Brocha de 2"</t>
  </si>
  <si>
    <t>Suministro de una (1) brocha plana de dos (2) pulgadas (") para ser entregados conforme a la programacion establecida por la Alcaldia Local de Bosa</t>
  </si>
  <si>
    <t>Brochas de cerdas sintéticas o mixtas, resistentes a pintura vinílica o acrílica, en diferentes pulgadas (2” a 4”), aptas para acabados y detalles en superficies lisas o rugosas.</t>
  </si>
  <si>
    <t>Suministro Brocha de 4"</t>
  </si>
  <si>
    <t>Suministro de una (1) brocha plana de cuatro (4) pulgadas (") para ser entregados conforme a la programacion establecida por la Alcaldia Local de Bosa</t>
  </si>
  <si>
    <t>Suministro Rodillo 4"</t>
  </si>
  <si>
    <t>Suministro de rodillo de cuatro (4) pulgadas (") de felpa acrilica para ser entregado conforme a la programacion establecida por la Alcladia Local de Bosa</t>
  </si>
  <si>
    <t>Rodillos con felpa de buena absorción y estructura metálica resistente, adecuados para superficies amplias (muros, paredes), compatibles con pintura base agua.</t>
  </si>
  <si>
    <t xml:space="preserve">Suministro Guantes de carnaza </t>
  </si>
  <si>
    <t xml:space="preserve">Guantes de carnaza </t>
  </si>
  <si>
    <t>Guantes  material resistente a pinturas base agua o base solvente, talla estándar o surtida, que garanticen protección de manos durante jornadas de embellecimiento o intervención comunitaria.</t>
  </si>
  <si>
    <t xml:space="preserve">Suministro Pala </t>
  </si>
  <si>
    <t>Pala cuadrada con mango</t>
  </si>
  <si>
    <t>Pala metálica con mango de madera o fibra resistente, apta para remoción de tierra, residuos o material vegetal en actividades de recuperación ambiental.</t>
  </si>
  <si>
    <t>Suministro Utensilios de cocina</t>
  </si>
  <si>
    <t>Utensilios de cocina ollas medianas</t>
  </si>
  <si>
    <t>Elementos aptos para preparación de alimentos comunitarios, en acero inoxidable o material resistente.</t>
  </si>
  <si>
    <t xml:space="preserve">Utensilios de cocina cucharones grandes </t>
  </si>
  <si>
    <t xml:space="preserve">Utensilios de cocina cuchillos kit de 3 de cocina </t>
  </si>
  <si>
    <t>Suministro Señalética</t>
  </si>
  <si>
    <t>Señaléticas en madera o madera plástica con braille</t>
  </si>
  <si>
    <t>Señales informativas resistentes a la intemperie, con texto en alto relieve y transcripción en sistema braille, instaladas en puntos estratégicos.</t>
  </si>
  <si>
    <t>Suministro Servicio de tallerista - Profesional</t>
  </si>
  <si>
    <t>Prestación de servicios profesionales para el diseño, preparación, ejecución y evaluación de talleres pedagógicos, lúdicos o formativos, orientados al fortalecimiento de capacidades establecidas por la Alcaldia local de Bosa que atienda a la población objetivo del proyecto</t>
  </si>
  <si>
    <t>Profesional o líder comunitario con experiencia comprobada en metodologías participativas, encargado de orientar actividades formativas y prácticas con enfoque diferencial.</t>
  </si>
  <si>
    <t>Compartir de alimento propio </t>
  </si>
  <si>
    <t>Alimento preparado por cada comunidad de acuerdo a los usos y costumbres propios</t>
  </si>
  <si>
    <t>Servicio de alimentación compuesto por preparaciones representativas del proceso cultural o comunitario desarrollado en el marco del proyecto, elaboradas con ingredientes aptos para el consumo humano y adquiridos a proveedores formalmente constituidos. La preparación, manipulación, almacenamiento y transporte deberán cumplir con la normatividad sanitaria vigente en materia de inocuidad alimentaria.</t>
  </si>
  <si>
    <t>Suministro Gorras</t>
  </si>
  <si>
    <t>Gorra con parte frontal en poliéster blanco o el color requerido, cascos en malla en la parte trasera, cierre plástico. Tipo de Impresión Bordado en el Frente o impresión según indique el diseño que entregue la Alcaldía Local.</t>
  </si>
  <si>
    <t xml:space="preserve"> Incluye entrega en Bosa, Incluye gastos de entrega e impuestos (si aplica)</t>
  </si>
  <si>
    <t>SUMINISTRO AFICHES</t>
  </si>
  <si>
    <t>SUMINISTRO  DE MIL (1.000) AFICHES EN TAMAÑO 33 CM DE ANCHO X 48 CM DE ALTO, IMPRESIÓN A CUATRICROMÍA (4X0) EN PAPEL PROPALCOLTE DE  DOSCIENTOS (200) GRAMOS SEGÚN EL DISEÑO ENTREGADO POR LA ALCALDÍA LOCAL DE BOSA. LA IMPRESIÓN DEBE SER DE ALTA CALIDAD GARANTIZANDO QUE LOS DETALLES SEAN NÍTIDOS, CON BUENOS CORTES EN LOS PERFILES Y EXCELENTE PRESENTACIÓN ESTÉTICA.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</si>
</sst>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quot;$&quot;\ #,##0"/>
    <numFmt numFmtId="167" formatCode="_ * #,##0.00_ ;_ * \-#,##0.00_ ;_ * &quot;-&quot;??_ ;_ @_ "/>
    <numFmt numFmtId="168" formatCode="_-* #,##0\ _€_-;\-* #,##0\ _€_-;_-* &quot;-&quot;\ _€_-;_-@_-"/>
    <numFmt numFmtId="169" formatCode="_-* #,##0.00\ _€_-;\-* #,##0.00\ _€_-;_-* &quot;-&quot;??\ _€_-;_-@_-"/>
    <numFmt numFmtId="170" formatCode="#,##0.00\ \€"/>
    <numFmt numFmtId="171" formatCode="&quot;$&quot;\ #,##0.00"/>
  </numFmts>
  <fonts count="32">
    <font>
      <sz val="11"/>
      <color theme="1"/>
      <name val="Calibri"/>
      <family val="2"/>
      <scheme val="minor"/>
    </font>
    <font>
      <sz val="11"/>
      <color theme="1"/>
      <name val="Calibri"/>
      <family val="2"/>
      <scheme val="minor"/>
    </font>
    <font>
      <b/>
      <sz val="8"/>
      <color rgb="FF000000"/>
      <name val="Arial"/>
      <family val="2"/>
    </font>
    <font>
      <b/>
      <sz val="14"/>
      <color theme="1"/>
      <name val="Calibri"/>
      <family val="2"/>
      <scheme val="minor"/>
    </font>
    <font>
      <b/>
      <sz val="8"/>
      <name val="Arial"/>
      <family val="2"/>
    </font>
    <font>
      <u/>
      <sz val="11"/>
      <color theme="10"/>
      <name val="Calibri"/>
      <family val="2"/>
      <scheme val="minor"/>
    </font>
    <font>
      <sz val="12"/>
      <color theme="1"/>
      <name val="Calibri"/>
      <family val="2"/>
      <scheme val="minor"/>
    </font>
    <font>
      <sz val="10"/>
      <name val="Arial"/>
      <family val="2"/>
    </font>
    <font>
      <u/>
      <sz val="10"/>
      <color indexed="12"/>
      <name val="Arial"/>
      <family val="2"/>
    </font>
    <font>
      <sz val="12"/>
      <color theme="1"/>
      <name val="Arial"/>
      <family val="2"/>
    </font>
    <font>
      <sz val="10"/>
      <color theme="1"/>
      <name val="Arial"/>
      <family val="2"/>
    </font>
    <font>
      <sz val="10"/>
      <color theme="1"/>
      <name val="Verdana"/>
      <family val="2"/>
    </font>
    <font>
      <b/>
      <sz val="10"/>
      <color theme="1"/>
      <name val="Verdana"/>
      <family val="2"/>
    </font>
    <font>
      <b/>
      <sz val="14"/>
      <color theme="1"/>
      <name val="Verdana"/>
      <family val="2"/>
    </font>
    <font>
      <sz val="10"/>
      <color theme="1"/>
      <name val="Calibri"/>
      <family val="2"/>
      <scheme val="minor"/>
    </font>
    <font>
      <b/>
      <sz val="10"/>
      <color theme="1"/>
      <name val="Calibri"/>
      <family val="2"/>
      <scheme val="minor"/>
    </font>
    <font>
      <b/>
      <sz val="14"/>
      <color theme="1"/>
      <name val="Garamond"/>
    </font>
    <font>
      <sz val="11"/>
      <color theme="1"/>
      <name val="Garamond"/>
    </font>
    <font>
      <b/>
      <sz val="10"/>
      <name val="Garamond"/>
    </font>
    <font>
      <sz val="8"/>
      <color rgb="FF000000"/>
      <name val="Garamond"/>
    </font>
    <font>
      <sz val="9"/>
      <color rgb="FF000000"/>
      <name val="Garamond"/>
    </font>
    <font>
      <b/>
      <sz val="8"/>
      <color theme="1"/>
      <name val="Garamond"/>
    </font>
    <font>
      <b/>
      <sz val="9"/>
      <color rgb="FF000000"/>
      <name val="Garamond"/>
    </font>
    <font>
      <b/>
      <sz val="9"/>
      <color theme="0"/>
      <name val="Garamond"/>
    </font>
    <font>
      <b/>
      <sz val="9"/>
      <color theme="1"/>
      <name val="Garamond"/>
    </font>
    <font>
      <sz val="9"/>
      <color theme="1"/>
      <name val="Garamond"/>
    </font>
    <font>
      <b/>
      <sz val="9"/>
      <name val="Garamond"/>
    </font>
    <font>
      <sz val="11"/>
      <name val="Garamond"/>
    </font>
    <font>
      <sz val="8"/>
      <color theme="1"/>
      <name val="Garamond"/>
    </font>
    <font>
      <sz val="11"/>
      <color rgb="FF000000"/>
      <name val="Garamond"/>
    </font>
    <font>
      <u/>
      <sz val="11"/>
      <color theme="10"/>
      <name val="Garamond"/>
    </font>
    <font>
      <b/>
      <sz val="8"/>
      <color rgb="FF000000"/>
      <name val="Garamond"/>
    </font>
  </fonts>
  <fills count="15">
    <fill>
      <patternFill patternType="none"/>
    </fill>
    <fill>
      <patternFill patternType="gray125"/>
    </fill>
    <fill>
      <patternFill patternType="solid">
        <fgColor theme="0" tint="-4.9989318521683403E-2"/>
        <bgColor rgb="FFFF99CC"/>
      </patternFill>
    </fill>
    <fill>
      <patternFill patternType="solid">
        <fgColor theme="4" tint="0.59999389629810485"/>
        <bgColor indexed="64"/>
      </patternFill>
    </fill>
    <fill>
      <patternFill patternType="solid">
        <fgColor rgb="FFFFC000"/>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4"/>
        <bgColor rgb="FFFF99CC"/>
      </patternFill>
    </fill>
    <fill>
      <patternFill patternType="solid">
        <fgColor theme="0"/>
        <bgColor indexed="64"/>
      </patternFill>
    </fill>
    <fill>
      <patternFill patternType="solid">
        <fgColor theme="0"/>
        <bgColor rgb="FFFF99CC"/>
      </patternFill>
    </fill>
    <fill>
      <patternFill patternType="solid">
        <fgColor theme="3" tint="0.79998168889431442"/>
        <bgColor indexed="64"/>
      </patternFill>
    </fill>
    <fill>
      <patternFill patternType="solid">
        <fgColor rgb="FFF2F2F2"/>
        <bgColor rgb="FF000000"/>
      </patternFill>
    </fill>
    <fill>
      <patternFill patternType="solid">
        <fgColor rgb="FFFFFF0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style="thin">
        <color auto="1"/>
      </left>
      <right/>
      <top/>
      <bottom style="thin">
        <color rgb="FF000000"/>
      </bottom>
      <diagonal/>
    </border>
    <border>
      <left/>
      <right/>
      <top/>
      <bottom style="thin">
        <color rgb="FF000000"/>
      </bottom>
      <diagonal/>
    </border>
  </borders>
  <cellStyleXfs count="55">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7" fillId="0" borderId="0"/>
    <xf numFmtId="164" fontId="7" fillId="0" borderId="0" applyFont="0" applyFill="0" applyBorder="0" applyAlignment="0" applyProtection="0"/>
    <xf numFmtId="0" fontId="8" fillId="0" borderId="0" applyNumberFormat="0" applyFill="0" applyBorder="0" applyAlignment="0" applyProtection="0">
      <alignment vertical="top"/>
      <protection locked="0"/>
    </xf>
    <xf numFmtId="167" fontId="7" fillId="0" borderId="0" applyFont="0" applyFill="0" applyBorder="0" applyAlignment="0" applyProtection="0"/>
    <xf numFmtId="9" fontId="7" fillId="0" borderId="0" applyFont="0" applyFill="0" applyBorder="0" applyAlignment="0" applyProtection="0"/>
    <xf numFmtId="0" fontId="6" fillId="0" borderId="0"/>
    <xf numFmtId="9" fontId="6" fillId="0" borderId="0" applyFont="0" applyFill="0" applyBorder="0" applyAlignment="0" applyProtection="0"/>
    <xf numFmtId="0" fontId="9" fillId="0" borderId="0"/>
    <xf numFmtId="164" fontId="1" fillId="0" borderId="0" applyFont="0" applyFill="0" applyBorder="0" applyAlignment="0" applyProtection="0"/>
    <xf numFmtId="0" fontId="10" fillId="0" borderId="0"/>
    <xf numFmtId="9"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169" fontId="10" fillId="0" borderId="0" applyFont="0" applyFill="0" applyBorder="0" applyAlignment="0" applyProtection="0"/>
    <xf numFmtId="168" fontId="10" fillId="0" borderId="0" applyFont="0" applyFill="0" applyBorder="0" applyAlignment="0" applyProtection="0"/>
    <xf numFmtId="0" fontId="13" fillId="5" borderId="1" applyNumberFormat="0" applyProtection="0">
      <alignment horizontal="left" vertical="center"/>
    </xf>
    <xf numFmtId="0" fontId="12" fillId="6" borderId="0" applyNumberFormat="0" applyBorder="0" applyProtection="0">
      <alignment horizontal="center" vertical="center"/>
    </xf>
    <xf numFmtId="0" fontId="12" fillId="7" borderId="0" applyNumberFormat="0" applyBorder="0" applyProtection="0">
      <alignment horizontal="center" vertical="center"/>
    </xf>
    <xf numFmtId="0" fontId="12" fillId="5" borderId="0" applyNumberFormat="0" applyBorder="0" applyProtection="0">
      <alignment horizontal="center" vertical="center" wrapText="1"/>
    </xf>
    <xf numFmtId="0" fontId="12" fillId="5" borderId="0" applyNumberFormat="0" applyBorder="0" applyProtection="0">
      <alignment horizontal="right" vertical="center" wrapText="1"/>
    </xf>
    <xf numFmtId="0" fontId="12" fillId="8" borderId="0" applyNumberFormat="0" applyBorder="0" applyProtection="0">
      <alignment horizontal="center" vertical="center" wrapText="1"/>
    </xf>
    <xf numFmtId="0" fontId="11" fillId="8" borderId="0" applyNumberFormat="0" applyBorder="0" applyProtection="0">
      <alignment horizontal="right" vertical="center" wrapText="1"/>
    </xf>
    <xf numFmtId="49" fontId="11" fillId="0" borderId="0" applyFill="0" applyBorder="0" applyProtection="0">
      <alignment horizontal="left" vertical="center"/>
    </xf>
    <xf numFmtId="0" fontId="12" fillId="0" borderId="0" applyNumberFormat="0" applyFill="0" applyBorder="0" applyProtection="0">
      <alignment horizontal="left" vertical="center"/>
    </xf>
    <xf numFmtId="0" fontId="12" fillId="0" borderId="0" applyNumberFormat="0" applyFill="0" applyBorder="0" applyProtection="0">
      <alignment horizontal="right" vertical="center"/>
    </xf>
    <xf numFmtId="170" fontId="11" fillId="0" borderId="0" applyFill="0" applyBorder="0" applyProtection="0">
      <alignment horizontal="right" vertical="center"/>
    </xf>
    <xf numFmtId="14" fontId="11" fillId="0" borderId="0" applyFill="0" applyBorder="0" applyProtection="0">
      <alignment horizontal="right" vertical="center"/>
    </xf>
    <xf numFmtId="22" fontId="11" fillId="0" borderId="0" applyFill="0" applyBorder="0" applyProtection="0">
      <alignment horizontal="right" vertical="center"/>
    </xf>
    <xf numFmtId="3" fontId="11" fillId="0" borderId="0" applyFill="0" applyBorder="0" applyProtection="0">
      <alignment horizontal="right" vertical="center"/>
    </xf>
    <xf numFmtId="4" fontId="11" fillId="0" borderId="0" applyFill="0" applyBorder="0" applyProtection="0">
      <alignment horizontal="right" vertical="center"/>
    </xf>
    <xf numFmtId="0" fontId="11" fillId="0" borderId="1" applyNumberFormat="0" applyFill="0" applyProtection="0">
      <alignment horizontal="left" vertical="center"/>
    </xf>
    <xf numFmtId="170" fontId="11" fillId="0" borderId="1" applyFill="0" applyProtection="0">
      <alignment horizontal="right" vertical="center"/>
    </xf>
    <xf numFmtId="3" fontId="11" fillId="0" borderId="1" applyFill="0" applyProtection="0">
      <alignment horizontal="right" vertical="center"/>
    </xf>
    <xf numFmtId="4" fontId="11" fillId="0" borderId="1" applyFill="0" applyProtection="0">
      <alignment horizontal="right" vertical="center"/>
    </xf>
    <xf numFmtId="0" fontId="10" fillId="0" borderId="1" applyNumberFormat="0" applyFont="0" applyFill="0" applyAlignment="0" applyProtection="0"/>
    <xf numFmtId="165" fontId="10" fillId="0" borderId="0" applyFont="0" applyFill="0" applyBorder="0" applyAlignment="0" applyProtection="0"/>
    <xf numFmtId="164" fontId="10" fillId="0" borderId="0" applyFont="0" applyFill="0" applyBorder="0" applyAlignment="0" applyProtection="0"/>
    <xf numFmtId="43" fontId="10" fillId="0" borderId="0" applyFont="0" applyFill="0" applyBorder="0" applyAlignment="0" applyProtection="0"/>
    <xf numFmtId="41" fontId="10" fillId="0" borderId="0" applyFont="0" applyFill="0" applyBorder="0" applyAlignment="0" applyProtection="0"/>
    <xf numFmtId="43" fontId="10" fillId="0" borderId="0" applyFont="0" applyFill="0" applyBorder="0" applyAlignment="0" applyProtection="0"/>
    <xf numFmtId="0" fontId="12" fillId="6" borderId="0" applyNumberFormat="0" applyBorder="0" applyProtection="0">
      <alignment horizontal="center" vertical="center"/>
    </xf>
    <xf numFmtId="43" fontId="10" fillId="0" borderId="0" applyFont="0" applyFill="0" applyBorder="0" applyAlignment="0" applyProtection="0"/>
    <xf numFmtId="43"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0" fontId="1" fillId="0" borderId="0">
      <alignment vertical="center"/>
    </xf>
    <xf numFmtId="164"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1" fillId="0" borderId="0" applyFont="0" applyFill="0" applyBorder="0" applyAlignment="0" applyProtection="0"/>
  </cellStyleXfs>
  <cellXfs count="69">
    <xf numFmtId="0" fontId="0" fillId="0" borderId="0" xfId="0"/>
    <xf numFmtId="0" fontId="0" fillId="0" borderId="0" xfId="0" applyAlignment="1">
      <alignment horizontal="left"/>
    </xf>
    <xf numFmtId="0" fontId="3" fillId="0" borderId="0" xfId="0" applyFont="1" applyAlignment="1">
      <alignment horizontal="center"/>
    </xf>
    <xf numFmtId="0" fontId="0" fillId="0" borderId="1" xfId="0" applyBorder="1" applyAlignment="1">
      <alignment vertical="center" wrapText="1"/>
    </xf>
    <xf numFmtId="0" fontId="0" fillId="0" borderId="0" xfId="0" applyAlignment="1">
      <alignment vertical="center"/>
    </xf>
    <xf numFmtId="0" fontId="0" fillId="0" borderId="0" xfId="0" applyAlignment="1">
      <alignment horizontal="center" wrapText="1"/>
    </xf>
    <xf numFmtId="0" fontId="2" fillId="2" borderId="2"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166" fontId="2" fillId="2" borderId="2" xfId="0" applyNumberFormat="1" applyFont="1" applyFill="1" applyBorder="1" applyAlignment="1">
      <alignment horizontal="center" vertical="center" wrapText="1"/>
    </xf>
    <xf numFmtId="0" fontId="4" fillId="4" borderId="2" xfId="0" applyFont="1" applyFill="1" applyBorder="1" applyAlignment="1">
      <alignment horizontal="center" vertical="center" wrapText="1"/>
    </xf>
    <xf numFmtId="0" fontId="0" fillId="0" borderId="0" xfId="0" applyAlignment="1">
      <alignment horizontal="center"/>
    </xf>
    <xf numFmtId="0" fontId="14" fillId="0" borderId="1" xfId="0" applyFont="1" applyBorder="1" applyAlignment="1">
      <alignment horizontal="left" vertical="center" wrapText="1"/>
    </xf>
    <xf numFmtId="0" fontId="0" fillId="0" borderId="0" xfId="0" applyAlignment="1">
      <alignment wrapText="1"/>
    </xf>
    <xf numFmtId="0" fontId="7" fillId="0" borderId="0" xfId="13" applyFont="1" applyAlignment="1">
      <alignment horizontal="left" vertical="center" wrapText="1"/>
    </xf>
    <xf numFmtId="0" fontId="10" fillId="0" borderId="0" xfId="13" applyAlignment="1" applyProtection="1">
      <alignment wrapText="1"/>
      <protection locked="0"/>
    </xf>
    <xf numFmtId="10" fontId="0" fillId="0" borderId="1" xfId="2" applyNumberFormat="1" applyFont="1" applyBorder="1" applyAlignment="1">
      <alignment vertical="center" wrapText="1"/>
    </xf>
    <xf numFmtId="171" fontId="0" fillId="0" borderId="1" xfId="54" applyNumberFormat="1" applyFont="1" applyBorder="1" applyAlignment="1">
      <alignment vertical="center" wrapText="1"/>
    </xf>
    <xf numFmtId="0" fontId="14" fillId="10" borderId="1" xfId="0" applyFont="1" applyFill="1" applyBorder="1" applyAlignment="1">
      <alignment horizontal="center" vertical="center"/>
    </xf>
    <xf numFmtId="0" fontId="14" fillId="0" borderId="1" xfId="0" applyFont="1" applyBorder="1" applyAlignment="1">
      <alignment horizontal="center" vertical="center" wrapText="1"/>
    </xf>
    <xf numFmtId="166" fontId="14" fillId="10" borderId="1" xfId="0" applyNumberFormat="1" applyFont="1" applyFill="1" applyBorder="1" applyAlignment="1">
      <alignment horizontal="center" vertical="center"/>
    </xf>
    <xf numFmtId="0" fontId="0" fillId="0" borderId="0" xfId="0" applyAlignment="1">
      <alignment vertical="center" wrapText="1"/>
    </xf>
    <xf numFmtId="10" fontId="0" fillId="0" borderId="0" xfId="2" applyNumberFormat="1" applyFont="1" applyBorder="1" applyAlignment="1">
      <alignment vertical="center"/>
    </xf>
    <xf numFmtId="0" fontId="4" fillId="10" borderId="0" xfId="0" applyFont="1" applyFill="1" applyAlignment="1">
      <alignment horizontal="center" vertical="center" wrapText="1"/>
    </xf>
    <xf numFmtId="0" fontId="4" fillId="4" borderId="1" xfId="0" applyFont="1" applyFill="1" applyBorder="1" applyAlignment="1">
      <alignment horizontal="center" vertical="center" wrapText="1"/>
    </xf>
    <xf numFmtId="166" fontId="0" fillId="10" borderId="1" xfId="0" applyNumberFormat="1" applyFill="1" applyBorder="1" applyAlignment="1">
      <alignment horizontal="center" vertical="center"/>
    </xf>
    <xf numFmtId="0" fontId="16" fillId="0" borderId="0" xfId="0" applyFont="1" applyAlignment="1">
      <alignment horizontal="center"/>
    </xf>
    <xf numFmtId="0" fontId="17" fillId="0" borderId="0" xfId="0" applyFont="1"/>
    <xf numFmtId="0" fontId="17" fillId="0" borderId="0" xfId="0" applyFont="1" applyAlignment="1">
      <alignment horizontal="center"/>
    </xf>
    <xf numFmtId="0" fontId="18" fillId="12" borderId="0" xfId="0" applyFont="1" applyFill="1" applyAlignment="1">
      <alignment horizontal="center" vertical="center" wrapText="1"/>
    </xf>
    <xf numFmtId="0" fontId="19" fillId="13" borderId="0" xfId="0" applyFont="1" applyFill="1" applyAlignment="1">
      <alignment horizontal="center" vertical="center" wrapText="1"/>
    </xf>
    <xf numFmtId="0" fontId="19" fillId="0" borderId="0" xfId="0" applyFont="1" applyAlignment="1">
      <alignment horizontal="center" vertical="center" wrapText="1"/>
    </xf>
    <xf numFmtId="0" fontId="20" fillId="13" borderId="0" xfId="0" applyFont="1" applyFill="1" applyAlignment="1">
      <alignment horizontal="center" vertical="center" wrapText="1"/>
    </xf>
    <xf numFmtId="0" fontId="21" fillId="0" borderId="1" xfId="0" applyFont="1" applyBorder="1" applyAlignment="1">
      <alignment horizontal="center" vertical="center" wrapText="1"/>
    </xf>
    <xf numFmtId="0" fontId="21" fillId="0" borderId="0" xfId="0" applyFont="1" applyAlignment="1">
      <alignment horizontal="center" vertical="center" wrapText="1"/>
    </xf>
    <xf numFmtId="0" fontId="22" fillId="2" borderId="1" xfId="0" applyFont="1" applyFill="1" applyBorder="1" applyAlignment="1">
      <alignment horizontal="center" vertical="center" textRotation="90" wrapText="1"/>
    </xf>
    <xf numFmtId="0" fontId="22" fillId="2" borderId="1" xfId="0" applyFont="1" applyFill="1" applyBorder="1" applyAlignment="1">
      <alignment horizontal="center" vertical="center" wrapText="1"/>
    </xf>
    <xf numFmtId="166" fontId="22" fillId="2" borderId="2" xfId="0" applyNumberFormat="1" applyFont="1" applyFill="1" applyBorder="1" applyAlignment="1">
      <alignment horizontal="center" vertical="center" wrapText="1"/>
    </xf>
    <xf numFmtId="0" fontId="19" fillId="13" borderId="6" xfId="0" applyFont="1" applyFill="1" applyBorder="1" applyAlignment="1">
      <alignment horizontal="center" vertical="center" wrapText="1"/>
    </xf>
    <xf numFmtId="166" fontId="23" fillId="9" borderId="1" xfId="0" applyNumberFormat="1" applyFont="1" applyFill="1" applyBorder="1" applyAlignment="1">
      <alignment horizontal="center" vertical="center" wrapText="1"/>
    </xf>
    <xf numFmtId="0" fontId="24" fillId="3" borderId="1" xfId="0" applyFont="1" applyFill="1" applyBorder="1" applyAlignment="1">
      <alignment horizontal="center" vertical="center" wrapText="1"/>
    </xf>
    <xf numFmtId="0" fontId="25" fillId="0" borderId="0" xfId="0" applyFont="1"/>
    <xf numFmtId="0" fontId="17" fillId="0" borderId="1" xfId="0" applyFont="1" applyBorder="1" applyAlignment="1">
      <alignment horizontal="center" vertical="center"/>
    </xf>
    <xf numFmtId="0" fontId="26" fillId="0" borderId="6" xfId="4" applyFont="1" applyBorder="1" applyAlignment="1">
      <alignment vertical="center" wrapText="1"/>
    </xf>
    <xf numFmtId="0" fontId="27" fillId="0" borderId="6" xfId="4" applyFont="1" applyBorder="1" applyAlignment="1">
      <alignment horizontal="left" vertical="justify" wrapText="1"/>
    </xf>
    <xf numFmtId="0" fontId="28" fillId="0" borderId="1" xfId="0" applyFont="1" applyBorder="1" applyAlignment="1">
      <alignment horizontal="center" vertical="center"/>
    </xf>
    <xf numFmtId="0" fontId="20" fillId="0" borderId="6" xfId="4" applyFont="1" applyBorder="1" applyAlignment="1">
      <alignment horizontal="center" vertical="center" wrapText="1" shrinkToFit="1"/>
    </xf>
    <xf numFmtId="166" fontId="29" fillId="11" borderId="1" xfId="0" applyNumberFormat="1" applyFont="1" applyFill="1" applyBorder="1" applyAlignment="1">
      <alignment horizontal="center" vertical="center" wrapText="1"/>
    </xf>
    <xf numFmtId="166" fontId="17" fillId="10" borderId="1" xfId="1" applyNumberFormat="1" applyFont="1" applyFill="1" applyBorder="1" applyAlignment="1">
      <alignment horizontal="center" vertical="center"/>
    </xf>
    <xf numFmtId="166" fontId="17" fillId="0" borderId="1" xfId="1" applyNumberFormat="1" applyFont="1" applyBorder="1" applyAlignment="1">
      <alignment horizontal="center" vertical="center"/>
    </xf>
    <xf numFmtId="166" fontId="17" fillId="10" borderId="1" xfId="1" applyNumberFormat="1" applyFont="1" applyFill="1" applyBorder="1" applyAlignment="1">
      <alignment vertical="center"/>
    </xf>
    <xf numFmtId="166" fontId="17" fillId="10" borderId="1" xfId="0" applyNumberFormat="1" applyFont="1" applyFill="1" applyBorder="1" applyAlignment="1">
      <alignment horizontal="center" vertical="center" wrapText="1"/>
    </xf>
    <xf numFmtId="10" fontId="17" fillId="0" borderId="1" xfId="2" applyNumberFormat="1" applyFont="1" applyBorder="1" applyAlignment="1">
      <alignment horizontal="center" vertical="center" wrapText="1"/>
    </xf>
    <xf numFmtId="0" fontId="17" fillId="0" borderId="0" xfId="0" applyFont="1" applyAlignment="1">
      <alignment horizontal="center" wrapText="1"/>
    </xf>
    <xf numFmtId="1" fontId="17" fillId="0" borderId="1" xfId="0" applyNumberFormat="1" applyFont="1" applyBorder="1" applyAlignment="1">
      <alignment horizontal="center" vertical="center" wrapText="1"/>
    </xf>
    <xf numFmtId="9" fontId="17" fillId="0" borderId="1" xfId="0" applyNumberFormat="1" applyFont="1" applyBorder="1" applyAlignment="1">
      <alignment horizontal="center"/>
    </xf>
    <xf numFmtId="0" fontId="30" fillId="0" borderId="0" xfId="3" applyFont="1"/>
    <xf numFmtId="166" fontId="31" fillId="2" borderId="1" xfId="0" applyNumberFormat="1" applyFont="1" applyFill="1" applyBorder="1" applyAlignment="1">
      <alignment horizontal="center" vertical="center" wrapText="1"/>
    </xf>
    <xf numFmtId="166" fontId="29" fillId="2" borderId="1" xfId="0" applyNumberFormat="1" applyFont="1" applyFill="1" applyBorder="1" applyAlignment="1">
      <alignment horizontal="center" vertical="center" wrapText="1"/>
    </xf>
    <xf numFmtId="166" fontId="29" fillId="14" borderId="1" xfId="0" applyNumberFormat="1" applyFont="1" applyFill="1" applyBorder="1" applyAlignment="1">
      <alignment horizontal="center" vertical="center" wrapText="1"/>
    </xf>
    <xf numFmtId="0" fontId="3" fillId="0" borderId="0" xfId="0" applyFont="1" applyAlignment="1">
      <alignment horizontal="center"/>
    </xf>
    <xf numFmtId="0" fontId="15" fillId="0" borderId="1" xfId="0" applyFont="1" applyBorder="1" applyAlignment="1">
      <alignment horizontal="center" vertical="center"/>
    </xf>
    <xf numFmtId="0" fontId="16" fillId="0" borderId="0" xfId="0" applyFont="1" applyAlignment="1">
      <alignment horizontal="center"/>
    </xf>
    <xf numFmtId="0" fontId="18" fillId="12" borderId="3" xfId="0" applyFont="1" applyFill="1" applyBorder="1" applyAlignment="1">
      <alignment horizontal="center" vertical="center" wrapText="1"/>
    </xf>
    <xf numFmtId="0" fontId="18" fillId="12" borderId="4" xfId="0" applyFont="1" applyFill="1" applyBorder="1" applyAlignment="1">
      <alignment horizontal="center" vertical="center" wrapText="1"/>
    </xf>
    <xf numFmtId="0" fontId="18" fillId="12" borderId="5" xfId="0" applyFont="1" applyFill="1" applyBorder="1" applyAlignment="1">
      <alignment horizontal="center" vertical="center" wrapText="1"/>
    </xf>
    <xf numFmtId="0" fontId="18" fillId="12" borderId="7" xfId="0" applyFont="1" applyFill="1" applyBorder="1" applyAlignment="1">
      <alignment horizontal="center" vertical="center" wrapText="1"/>
    </xf>
    <xf numFmtId="0" fontId="18" fillId="12" borderId="0" xfId="0" applyFont="1" applyFill="1" applyAlignment="1">
      <alignment horizontal="center" vertical="center" wrapText="1"/>
    </xf>
    <xf numFmtId="0" fontId="21" fillId="0" borderId="8" xfId="0" applyFont="1" applyBorder="1" applyAlignment="1">
      <alignment horizontal="center" vertical="center" wrapText="1"/>
    </xf>
    <xf numFmtId="0" fontId="21" fillId="0" borderId="9" xfId="0" applyFont="1" applyBorder="1" applyAlignment="1">
      <alignment horizontal="center" vertical="center" wrapText="1"/>
    </xf>
  </cellXfs>
  <cellStyles count="55">
    <cellStyle name="BodyStyle" xfId="26" xr:uid="{147324C8-F5AC-4E10-8FE0-D73C8141D710}"/>
    <cellStyle name="BodyStyleBold" xfId="27" xr:uid="{0EDF842C-93FF-4FA9-ADEF-A4CDF114CE9C}"/>
    <cellStyle name="BodyStyleBoldRight" xfId="28" xr:uid="{42DA33C9-26D5-4FDB-AAA8-7C03EF241010}"/>
    <cellStyle name="BodyStyleWithBorder" xfId="34" xr:uid="{C7B0AFC3-C237-468B-9998-986BFEFEF954}"/>
    <cellStyle name="BorderThinBlack" xfId="38" xr:uid="{0C88AD75-AB5E-40B8-95E8-B1CA568A2F05}"/>
    <cellStyle name="Comma" xfId="17" xr:uid="{1D33637D-0FD0-4537-8565-441DA9D1D2D8}"/>
    <cellStyle name="Comma [0]" xfId="18" xr:uid="{20B9B04A-CAC6-4739-AA3B-C6CFBEEC2AE5}"/>
    <cellStyle name="Comma [0] 2" xfId="42" xr:uid="{C3F79D1A-04D6-4DB2-AA12-B80CE18C4A6A}"/>
    <cellStyle name="Comma 2" xfId="41" xr:uid="{6B08A92F-9F79-4AF7-9841-4A780B3B1A88}"/>
    <cellStyle name="Comma 3" xfId="43" xr:uid="{B2DE0EBE-E31C-4553-B234-EA19534949D0}"/>
    <cellStyle name="Comma 4" xfId="45" xr:uid="{B32BAE96-E242-4A5E-BB75-C408D9299F7A}"/>
    <cellStyle name="Comma 5" xfId="46" xr:uid="{9FDE8B67-0074-43AC-A7FB-335ACB5D9FBD}"/>
    <cellStyle name="Currency" xfId="15" xr:uid="{CC98B024-4AC9-4E34-A5E1-B89609C8EF66}"/>
    <cellStyle name="Currency [0]" xfId="16" xr:uid="{E582B8A9-8C79-42D8-97EE-F8097A5A3B66}"/>
    <cellStyle name="Currency [0] 2" xfId="40" xr:uid="{154A11E9-7058-4302-86D1-9FD8FF3D5687}"/>
    <cellStyle name="Currency 2" xfId="39" xr:uid="{E43A3679-259A-4AE0-B211-C4976838ACEF}"/>
    <cellStyle name="Currency 3" xfId="48" xr:uid="{AF7BE625-FFE4-4D35-9BCF-161548CA08B8}"/>
    <cellStyle name="Currency 4" xfId="47" xr:uid="{8B947A23-CADA-4548-B16B-95C65C3D7189}"/>
    <cellStyle name="Currency 5" xfId="49" xr:uid="{810DC5FC-FD0C-424A-8327-B887FC8FD8CE}"/>
    <cellStyle name="DateStyle" xfId="30" xr:uid="{96B694B8-4208-47AE-B369-5E96B3FC42BA}"/>
    <cellStyle name="DateTimeStyle" xfId="31" xr:uid="{4EFBA603-6C06-4B0A-A4D3-FC766C5D4D1F}"/>
    <cellStyle name="Decimal" xfId="33" xr:uid="{828F3747-8621-46C3-A3C9-F26EA63F1038}"/>
    <cellStyle name="DecimalWithBorder" xfId="37" xr:uid="{7FD35573-C4B3-483E-8372-ACE0E0C72088}"/>
    <cellStyle name="EuroCurrency" xfId="29" xr:uid="{4BF6F73C-BFD0-44A8-9B35-C910EACE6B00}"/>
    <cellStyle name="EuroCurrencyWithBorder" xfId="35" xr:uid="{D80DEB97-F021-41EC-8182-F4ADDD82829E}"/>
    <cellStyle name="HeaderStyle" xfId="20" xr:uid="{904E22EC-CBE4-4E30-884E-C6DCBFDAC556}"/>
    <cellStyle name="HeaderStyle 2" xfId="44" xr:uid="{E2D683F1-0646-42D4-9476-BE80AD19678A}"/>
    <cellStyle name="HeaderSubTop" xfId="24" xr:uid="{16F383DF-559D-4EFA-A978-646353544CCF}"/>
    <cellStyle name="HeaderSubTopNoBold" xfId="25" xr:uid="{C411BDCA-545A-4ED6-B545-AF1C7A9802F2}"/>
    <cellStyle name="HeaderTopBuyer" xfId="21" xr:uid="{7C2174ED-5008-412C-B4CA-E2FA48F0741B}"/>
    <cellStyle name="HeaderTopStyle" xfId="22" xr:uid="{772B1F53-8651-4D90-85E9-4448B5BD007B}"/>
    <cellStyle name="HeaderTopStyleAlignRight" xfId="23" xr:uid="{23476F62-FFCF-4717-A01D-2007D2833BFD}"/>
    <cellStyle name="Hipervínculo 2" xfId="6" xr:uid="{4784ADD0-2CEB-41A6-BFC7-7C2A9CCAEBDB}"/>
    <cellStyle name="Hyperlink" xfId="3" xr:uid="{C8969C8C-7F6D-45DB-88A0-951191EBFA6E}"/>
    <cellStyle name="MainTitle" xfId="19" xr:uid="{AD413710-47E3-49DE-A248-30DAFFD74494}"/>
    <cellStyle name="Millares 2" xfId="7" xr:uid="{7402ED4A-057B-4BC1-9DEB-A442D249E4BD}"/>
    <cellStyle name="Millares 3" xfId="52" xr:uid="{6FD5D7F9-C6F5-4720-B4B5-2B3A1581F99F}"/>
    <cellStyle name="Millares 5 3" xfId="53" xr:uid="{00B8BA95-0B1A-4DB8-A9B5-CFB7986C0892}"/>
    <cellStyle name="Moneda" xfId="54" builtinId="4"/>
    <cellStyle name="Moneda [0]" xfId="1" builtinId="7"/>
    <cellStyle name="Moneda [0] 2" xfId="5" xr:uid="{44EBA8D3-4819-4C0D-AB72-A9760C413C6C}"/>
    <cellStyle name="Moneda [0] 3" xfId="12" xr:uid="{71F845D0-E080-4411-9B35-ADC495D6B687}"/>
    <cellStyle name="Moneda [0] 4" xfId="51" xr:uid="{F1893741-A056-4FAA-8B8D-938ECD9CD110}"/>
    <cellStyle name="Normal" xfId="0" builtinId="0"/>
    <cellStyle name="Normal 2" xfId="4" xr:uid="{98B5615F-3B91-4DEA-8E80-743ADAED8B77}"/>
    <cellStyle name="Normal 2 2" xfId="50" xr:uid="{68752881-E28E-4147-B283-352CB711790D}"/>
    <cellStyle name="Normal 3" xfId="9" xr:uid="{0C655471-F7CD-4109-B3E9-29280363AC86}"/>
    <cellStyle name="Normal 4" xfId="11" xr:uid="{1CAF9937-3346-4B06-9A67-580E8FF32BF7}"/>
    <cellStyle name="Normal 5" xfId="13" xr:uid="{80B54815-574F-4C5D-98AE-E576B6F685F6}"/>
    <cellStyle name="Numeric" xfId="32" xr:uid="{714322AE-1A47-41BA-813E-4BEEEFF16588}"/>
    <cellStyle name="NumericWithBorder" xfId="36" xr:uid="{A85841C9-4799-47C4-9CEB-0E810373EEA1}"/>
    <cellStyle name="Percent" xfId="14" xr:uid="{3C33C855-06E3-4DC1-88BE-E751B7BA8711}"/>
    <cellStyle name="Porcentaje" xfId="2" builtinId="5"/>
    <cellStyle name="Porcentaje 2" xfId="8" xr:uid="{79703E13-81F0-4B5B-A052-4C84C48F33DC}"/>
    <cellStyle name="Porcentaje 3" xfId="10" xr:uid="{9C83F300-3B6E-4A25-BF03-C15252A6817C}"/>
  </cellStyles>
  <dxfs count="1">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CO"/>
              <a:t>COTIZACIONES POR CORREO ELECTRONICO</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autoTitleDeleted val="0"/>
    <c:plotArea>
      <c:layout/>
      <c:barChart>
        <c:barDir val="col"/>
        <c:grouping val="cluster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Hoja1!$C$5:$C$8</c:f>
              <c:strCache>
                <c:ptCount val="4"/>
                <c:pt idx="0">
                  <c:v>COTIZACIONES POR CORREO ELECTRONICO</c:v>
                </c:pt>
                <c:pt idx="2">
                  <c:v>PROVEEDORES</c:v>
                </c:pt>
                <c:pt idx="3">
                  <c:v>COTIZACIONES </c:v>
                </c:pt>
              </c:strCache>
            </c:strRef>
          </c:cat>
          <c:val>
            <c:numRef>
              <c:f>Hoja1!$D$5:$D$8</c:f>
              <c:numCache>
                <c:formatCode>General</c:formatCode>
                <c:ptCount val="4"/>
                <c:pt idx="2">
                  <c:v>3099</c:v>
                </c:pt>
                <c:pt idx="3">
                  <c:v>3</c:v>
                </c:pt>
              </c:numCache>
            </c:numRef>
          </c:val>
          <c:extLst>
            <c:ext xmlns:c16="http://schemas.microsoft.com/office/drawing/2014/chart" uri="{C3380CC4-5D6E-409C-BE32-E72D297353CC}">
              <c16:uniqueId val="{00000000-1105-403A-8BA3-8DDE01AA1AFA}"/>
            </c:ext>
          </c:extLst>
        </c:ser>
        <c:dLbls>
          <c:dLblPos val="inEnd"/>
          <c:showLegendKey val="0"/>
          <c:showVal val="1"/>
          <c:showCatName val="0"/>
          <c:showSerName val="0"/>
          <c:showPercent val="0"/>
          <c:showBubbleSize val="0"/>
        </c:dLbls>
        <c:gapWidth val="100"/>
        <c:overlap val="-24"/>
        <c:axId val="1396290464"/>
        <c:axId val="1334019600"/>
      </c:barChart>
      <c:catAx>
        <c:axId val="139629046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334019600"/>
        <c:crosses val="autoZero"/>
        <c:auto val="1"/>
        <c:lblAlgn val="ctr"/>
        <c:lblOffset val="100"/>
        <c:noMultiLvlLbl val="0"/>
      </c:catAx>
      <c:valAx>
        <c:axId val="1334019600"/>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39629046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0</xdr:colOff>
      <xdr:row>0</xdr:row>
      <xdr:rowOff>66675</xdr:rowOff>
    </xdr:from>
    <xdr:to>
      <xdr:col>14</xdr:col>
      <xdr:colOff>0</xdr:colOff>
      <xdr:row>5</xdr:row>
      <xdr:rowOff>106114</xdr:rowOff>
    </xdr:to>
    <xdr:pic>
      <xdr:nvPicPr>
        <xdr:cNvPr id="2" name="Imagen 1">
          <a:extLst>
            <a:ext uri="{FF2B5EF4-FFF2-40B4-BE49-F238E27FC236}">
              <a16:creationId xmlns:a16="http://schemas.microsoft.com/office/drawing/2014/main" id="{32617CD1-4936-4247-B655-E7946A353C94}"/>
            </a:ext>
          </a:extLst>
        </xdr:cNvPr>
        <xdr:cNvPicPr>
          <a:picLocks noChangeAspect="1"/>
        </xdr:cNvPicPr>
      </xdr:nvPicPr>
      <xdr:blipFill>
        <a:blip xmlns:r="http://schemas.openxmlformats.org/officeDocument/2006/relationships" r:embed="rId1"/>
        <a:stretch>
          <a:fillRect/>
        </a:stretch>
      </xdr:blipFill>
      <xdr:spPr>
        <a:xfrm>
          <a:off x="16421100" y="66675"/>
          <a:ext cx="523876" cy="9792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536575</xdr:colOff>
      <xdr:row>2</xdr:row>
      <xdr:rowOff>38100</xdr:rowOff>
    </xdr:from>
    <xdr:to>
      <xdr:col>10</xdr:col>
      <xdr:colOff>536575</xdr:colOff>
      <xdr:row>17</xdr:row>
      <xdr:rowOff>19050</xdr:rowOff>
    </xdr:to>
    <xdr:graphicFrame macro="">
      <xdr:nvGraphicFramePr>
        <xdr:cNvPr id="2" name="Gráfico 1">
          <a:extLst>
            <a:ext uri="{FF2B5EF4-FFF2-40B4-BE49-F238E27FC236}">
              <a16:creationId xmlns:a16="http://schemas.microsoft.com/office/drawing/2014/main" id="{D14E8649-1469-4992-A092-5E9C448E938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31</xdr:col>
      <xdr:colOff>142875</xdr:colOff>
      <xdr:row>0</xdr:row>
      <xdr:rowOff>19050</xdr:rowOff>
    </xdr:from>
    <xdr:to>
      <xdr:col>33</xdr:col>
      <xdr:colOff>266701</xdr:colOff>
      <xdr:row>5</xdr:row>
      <xdr:rowOff>554324</xdr:rowOff>
    </xdr:to>
    <xdr:pic>
      <xdr:nvPicPr>
        <xdr:cNvPr id="2" name="Imagen 1">
          <a:extLst>
            <a:ext uri="{FF2B5EF4-FFF2-40B4-BE49-F238E27FC236}">
              <a16:creationId xmlns:a16="http://schemas.microsoft.com/office/drawing/2014/main" id="{6777A202-6D96-4C5A-9F71-1D0D41B892F4}"/>
            </a:ext>
          </a:extLst>
        </xdr:cNvPr>
        <xdr:cNvPicPr>
          <a:picLocks noChangeAspect="1"/>
        </xdr:cNvPicPr>
      </xdr:nvPicPr>
      <xdr:blipFill>
        <a:blip xmlns:r="http://schemas.openxmlformats.org/officeDocument/2006/relationships" r:embed="rId1"/>
        <a:stretch>
          <a:fillRect/>
        </a:stretch>
      </xdr:blipFill>
      <xdr:spPr>
        <a:xfrm>
          <a:off x="21409025" y="19050"/>
          <a:ext cx="523876" cy="91130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hyperlink" Target="https://community.secop.gov.co/Public/Tendering/OpportunityDetail/Index?noticeUID=CO1.NTC.10374619" TargetMode="External"/><Relationship Id="rId3" Type="http://schemas.openxmlformats.org/officeDocument/2006/relationships/hyperlink" Target="https://community.secop.gov.co/Public/Tendering/OpportunityDetail/Index?isFromPublicArea=True&amp;noticeUID=CO1.NTC.10647701&amp;utm_source=chatgpt.com" TargetMode="External"/><Relationship Id="rId7" Type="http://schemas.openxmlformats.org/officeDocument/2006/relationships/hyperlink" Target="https://community.secop.gov.co/Public/Tendering/OpportunityDetail/Index?noticeUID=CO1.NTC.10374619" TargetMode="External"/><Relationship Id="rId12" Type="http://schemas.openxmlformats.org/officeDocument/2006/relationships/drawing" Target="../drawings/drawing3.xml"/><Relationship Id="rId2" Type="http://schemas.openxmlformats.org/officeDocument/2006/relationships/hyperlink" Target="https://community.secop.gov.co/Public/Tendering/OpportunityDetail/Index?isFromPublicArea=True&amp;noticeUID=CO1.NTC.10647701&amp;utm_source=chatgpt.com" TargetMode="External"/><Relationship Id="rId1" Type="http://schemas.openxmlformats.org/officeDocument/2006/relationships/hyperlink" Target="https://community.secop.gov.co/Public/Tendering/OpportunityDetail/Index?isFromPublicArea=True&amp;noticeUID=CO1.NTC.10647701&amp;utm_source=chatgpt.com" TargetMode="External"/><Relationship Id="rId6" Type="http://schemas.openxmlformats.org/officeDocument/2006/relationships/hyperlink" Target="https://community.secop.gov.co/Public/Tendering/OpportunityDetail/Index?isFromPublicArea=True&amp;noticeUID=CO1.NTC.10647701&amp;utm_source=chatgpt.com" TargetMode="External"/><Relationship Id="rId11" Type="http://schemas.openxmlformats.org/officeDocument/2006/relationships/printerSettings" Target="../printerSettings/printerSettings2.bin"/><Relationship Id="rId5" Type="http://schemas.openxmlformats.org/officeDocument/2006/relationships/hyperlink" Target="https://community.secop.gov.co/Public/Tendering/OpportunityDetail/Index?isFromPublicArea=True&amp;noticeUID=CO1.NTC.10647701&amp;utm_source=chatgpt.com" TargetMode="External"/><Relationship Id="rId10" Type="http://schemas.openxmlformats.org/officeDocument/2006/relationships/hyperlink" Target="https://community.secop.gov.co/Public/Tendering/OpportunityDetail/Index?noticeUID=CO1.NTC.8369892" TargetMode="External"/><Relationship Id="rId4" Type="http://schemas.openxmlformats.org/officeDocument/2006/relationships/hyperlink" Target="https://community.secop.gov.co/Public/Tendering/OpportunityDetail/Index?isFromPublicArea=True&amp;noticeUID=CO1.NTC.10647701&amp;utm_source=chatgpt.com" TargetMode="External"/><Relationship Id="rId9" Type="http://schemas.openxmlformats.org/officeDocument/2006/relationships/hyperlink" Target="https://community.secop.gov.co/Public/Tendering/OpportunityDetail/Index?noticeUID=CO1.NTC.930842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D58CF-3979-416C-AAEF-616B0D02DE17}">
  <dimension ref="A3:P78"/>
  <sheetViews>
    <sheetView showGridLines="0" tabSelected="1" topLeftCell="A36" zoomScale="67" workbookViewId="0">
      <selection activeCell="A48" sqref="A48:XFD55"/>
    </sheetView>
  </sheetViews>
  <sheetFormatPr defaultColWidth="0" defaultRowHeight="15" customHeight="1"/>
  <cols>
    <col min="1" max="1" width="6.42578125" customWidth="1"/>
    <col min="2" max="2" width="5" style="10" customWidth="1"/>
    <col min="3" max="3" width="34.140625" style="12" customWidth="1"/>
    <col min="4" max="4" width="42.140625" style="12" customWidth="1"/>
    <col min="5" max="5" width="50.140625" style="5" customWidth="1"/>
    <col min="6" max="6" width="9.42578125" style="10" customWidth="1"/>
    <col min="7" max="7" width="9.140625" style="10" customWidth="1"/>
    <col min="8" max="8" width="12.7109375" customWidth="1"/>
    <col min="9" max="9" width="18.42578125" customWidth="1"/>
    <col min="10" max="10" width="39.28515625" customWidth="1"/>
    <col min="11" max="11" width="17.28515625" customWidth="1"/>
    <col min="12" max="14" width="12.140625" customWidth="1"/>
    <col min="15" max="16" width="0" hidden="1" customWidth="1"/>
    <col min="17" max="16384" width="11.42578125" hidden="1"/>
  </cols>
  <sheetData>
    <row r="3" spans="2:14" ht="18.95">
      <c r="B3" s="59" t="str">
        <f>+CosteoIndividual2!B2</f>
        <v>RESUMEN COTIZACIONES DE PRECIOS - Matriz de Calculo - FDLB-ES-C-086-2026</v>
      </c>
      <c r="C3" s="59"/>
      <c r="D3" s="59"/>
      <c r="E3" s="59"/>
      <c r="F3" s="59"/>
      <c r="G3" s="59"/>
      <c r="H3" s="59"/>
      <c r="I3" s="59"/>
      <c r="J3" s="59"/>
      <c r="K3" s="59"/>
      <c r="L3" s="59"/>
      <c r="M3" s="2"/>
      <c r="N3" s="2"/>
    </row>
    <row r="5" spans="2:14" ht="60">
      <c r="B5" s="6" t="s">
        <v>0</v>
      </c>
      <c r="C5" s="7" t="s">
        <v>1</v>
      </c>
      <c r="D5" s="7" t="s">
        <v>2</v>
      </c>
      <c r="E5" s="7" t="s">
        <v>3</v>
      </c>
      <c r="F5" s="7" t="s">
        <v>4</v>
      </c>
      <c r="G5" s="7" t="s">
        <v>5</v>
      </c>
      <c r="H5" s="8" t="s">
        <v>6</v>
      </c>
      <c r="I5" s="8" t="s">
        <v>7</v>
      </c>
      <c r="J5" s="9" t="s">
        <v>8</v>
      </c>
      <c r="K5" s="9" t="s">
        <v>9</v>
      </c>
      <c r="L5" s="23" t="s">
        <v>10</v>
      </c>
      <c r="M5" s="23" t="s">
        <v>11</v>
      </c>
      <c r="N5" s="22"/>
    </row>
    <row r="6" spans="2:14" s="4" customFormat="1" ht="28.5" customHeight="1">
      <c r="B6" s="17">
        <f>CosteoIndividual2!B7</f>
        <v>1</v>
      </c>
      <c r="C6" s="11" t="str">
        <f>CosteoIndividual2!C7</f>
        <v>Alquiler de salón de eventos 100 personas</v>
      </c>
      <c r="D6" s="11" t="str">
        <f>CosteoIndividual2!D7</f>
        <v>Servicio de alquiler de un (1) salón para el desarrollo de eventos, que cuente con espacio para la atención de mínimo cien (100) personas sentadas, dotado con las condiciones físicas elementos estructurales, técnicos y logísticos tales como tarima, zonas de entrada y recepción, iluminación en pasillos, áreas de circulación, escaleras, zonas de cambio de nivel, baños, halls de entrada y recepciones, zonas de oficinas, en caso de ser necesario iluminación para espéctalos, servicio de sonido que garantice la calidad y cubrimiento de todo el espacio, sillas plásticas sin brazos de color blanco, mesas cuadradas y rectangulares con mantel de color blanco, señalización y todos los elementos que garanticen la atención de emergencias. El tiempo de alquiler del servicio tendrá una duración de ocho (8) horas.</v>
      </c>
      <c r="E6" s="11" t="str">
        <f>CosteoIndividual2!E7</f>
        <v>N/A</v>
      </c>
      <c r="F6" s="18" t="str">
        <f>CosteoIndividual2!F7</f>
        <v>UN</v>
      </c>
      <c r="G6" s="18">
        <f>CosteoIndividual2!G7</f>
        <v>1</v>
      </c>
      <c r="H6" s="19">
        <f>CosteoIndividual2!AA7</f>
        <v>1577348</v>
      </c>
      <c r="I6" s="19">
        <f>CosteoIndividual2!AB7</f>
        <v>1577348</v>
      </c>
      <c r="J6" s="18" t="str">
        <f>+CosteoIndividual2!AC7</f>
        <v>FDLB-ES-C-048-2026</v>
      </c>
      <c r="K6" s="16">
        <f>CosteoIndividual2!AD7</f>
        <v>1456524.2967857805</v>
      </c>
      <c r="L6" s="15">
        <f>CosteoIndividual2!AE7</f>
        <v>0.64849197723070995</v>
      </c>
      <c r="M6" s="3" t="str">
        <f>IF(L6="","",IF(L6&lt;0.15,"Promedio","Mediana"))</f>
        <v>Mediana</v>
      </c>
      <c r="N6" s="20"/>
    </row>
    <row r="7" spans="2:14" s="4" customFormat="1" ht="28.5" customHeight="1">
      <c r="B7" s="17">
        <f>CosteoIndividual2!B8</f>
        <v>2</v>
      </c>
      <c r="C7" s="11" t="str">
        <f>CosteoIndividual2!C8</f>
        <v>Alquiler de videobeam tipo 1</v>
      </c>
      <c r="D7" s="11" t="str">
        <f>CosteoIndividual2!D8</f>
        <v>Servicio de alquiler de Video Beam de cuatro mil (4000) lumens de resolución 4K y entradas HDMI Y Display Port, conectividad inalámbrica y todos los accesorios que garanticen su correcto funcionamiento, debe incluir debe incluir telón para proyecciones entre cien (100) y ciento veinte (120) pulgadas (") para izar o con base para piso transporte de carga, personal técnico uniformados con todos los elementos de seguridad e identificado para su instalación, operación y desmontaje conforme a la programación establecida por la Alcaldía Local de Bosa.El tiempo de alquiler del servicio tendrá una duración de diez (10) horas.</v>
      </c>
      <c r="E7" s="11" t="str">
        <f>CosteoIndividual2!E8</f>
        <v>N/A</v>
      </c>
      <c r="F7" s="18" t="str">
        <f>CosteoIndividual2!F8</f>
        <v>UN</v>
      </c>
      <c r="G7" s="18">
        <f>CosteoIndividual2!G8</f>
        <v>1</v>
      </c>
      <c r="H7" s="19">
        <f>CosteoIndividual2!AA8</f>
        <v>356451</v>
      </c>
      <c r="I7" s="19">
        <f>CosteoIndividual2!AB8</f>
        <v>356451</v>
      </c>
      <c r="J7" s="18" t="str">
        <f>+CosteoIndividual2!AC8</f>
        <v>FDLB-ES-C-048-2026</v>
      </c>
      <c r="K7" s="16">
        <f>CosteoIndividual2!AD8</f>
        <v>4059069.1087308046</v>
      </c>
      <c r="L7" s="15">
        <f>CosteoIndividual2!AE8</f>
        <v>1.7188395687261624</v>
      </c>
      <c r="M7" s="3" t="str">
        <f t="shared" ref="M7:M47" si="0">IF(L7="","",IF(L7&lt;0.15,"Promedio","Mediana"))</f>
        <v>Mediana</v>
      </c>
      <c r="N7" s="21"/>
    </row>
    <row r="8" spans="2:14" s="4" customFormat="1" ht="28.5" customHeight="1">
      <c r="B8" s="17">
        <f>CosteoIndividual2!B9</f>
        <v>3</v>
      </c>
      <c r="C8" s="11" t="str">
        <f>CosteoIndividual2!C9</f>
        <v>Suministro Impresión de volantes</v>
      </c>
      <c r="D8" s="11" t="str">
        <f>CosteoIndividual2!D9</f>
        <v>Impresión de mil (1000) volantes en tamaño media carta trece (13) centímetros x veintiún 21 centímetros a full color por dos caras (4x4) en propalcote de ciento quince (115) gramos conforme al diseño establecido por la Alcaldía Local de Bosa</v>
      </c>
      <c r="E8" s="11" t="str">
        <f>CosteoIndividual2!E9</f>
        <v>Debe contener como mínimo la siguiente información: Logos de la Alcaldía Local de Bosa (ALB), información de la convocatoria, código QR que dirija al formulario de inscripción y lo demás que disponga el Comité Técnico de Seguimiento y Control</v>
      </c>
      <c r="F8" s="18" t="str">
        <f>CosteoIndividual2!F9</f>
        <v>UN</v>
      </c>
      <c r="G8" s="18">
        <f>CosteoIndividual2!G9</f>
        <v>1</v>
      </c>
      <c r="H8" s="19">
        <f>CosteoIndividual2!AA9</f>
        <v>419304</v>
      </c>
      <c r="I8" s="19">
        <f>CosteoIndividual2!AB9</f>
        <v>419304</v>
      </c>
      <c r="J8" s="18" t="str">
        <f>+CosteoIndividual2!AC9</f>
        <v>FDLB-ES-C-048-2026</v>
      </c>
      <c r="K8" s="16">
        <f>CosteoIndividual2!AD9</f>
        <v>6264495.4082478909</v>
      </c>
      <c r="L8" s="15">
        <f>CosteoIndividual2!AE9</f>
        <v>1.7744290846690749</v>
      </c>
      <c r="M8" s="3" t="str">
        <f t="shared" si="0"/>
        <v>Mediana</v>
      </c>
      <c r="N8" s="21"/>
    </row>
    <row r="9" spans="2:14" s="4" customFormat="1" ht="28.5" customHeight="1">
      <c r="B9" s="17">
        <f>CosteoIndividual2!B10</f>
        <v>4</v>
      </c>
      <c r="C9" s="11" t="str">
        <f>CosteoIndividual2!C10</f>
        <v>Suministro Impresión de certificado/diploma</v>
      </c>
      <c r="D9" s="11" t="str">
        <f>CosteoIndividual2!D10</f>
        <v>Impresión de certificados / Diplomas en tamaño carta a Full Color en Sutratato En Opalina O Propalcote 200 G para ser entregados conforme a la programación establecida por la Alcaldía Local de Bosa</v>
      </c>
      <c r="E9" s="11" t="str">
        <f>CosteoIndividual2!E10</f>
        <v>Deben contener la siguiente información: Logos de la Alcaldía Local de Bosa y Presupuestos participativos, la información del proyecto (nombre del proyecto, número del contrato, fecha realización), datos de identificación del/la participante (nombre y cédula), fecha de entrega, entre otros que sean acordados en los Comités</v>
      </c>
      <c r="F9" s="18" t="str">
        <f>CosteoIndividual2!F10</f>
        <v>UN</v>
      </c>
      <c r="G9" s="18">
        <f>CosteoIndividual2!G10</f>
        <v>1</v>
      </c>
      <c r="H9" s="19">
        <f>CosteoIndividual2!AA10</f>
        <v>376808</v>
      </c>
      <c r="I9" s="19">
        <f>CosteoIndividual2!AB10</f>
        <v>376808</v>
      </c>
      <c r="J9" s="18" t="str">
        <f>+CosteoIndividual2!AC10</f>
        <v>FDLB-ES-C-048-2026</v>
      </c>
      <c r="K9" s="16">
        <f>CosteoIndividual2!AD10</f>
        <v>5650046.0308343107</v>
      </c>
      <c r="L9" s="15">
        <f>CosteoIndividual2!AE10</f>
        <v>2.0002114448094126</v>
      </c>
      <c r="M9" s="3" t="str">
        <f t="shared" si="0"/>
        <v>Mediana</v>
      </c>
      <c r="N9" s="21"/>
    </row>
    <row r="10" spans="2:14" s="4" customFormat="1" ht="28.5" customHeight="1">
      <c r="B10" s="17">
        <f>CosteoIndividual2!B11</f>
        <v>5</v>
      </c>
      <c r="C10" s="11" t="str">
        <f>CosteoIndividual2!C11</f>
        <v>Suministro Resma de papel Carta</v>
      </c>
      <c r="D10" s="11" t="str">
        <f>CosteoIndividual2!D11</f>
        <v>Suministro de resma de papel blanco multiuso en tamaño carta (216 x 279 mm), gramaje 75 g/m² ( 500 hojas por resma) opacidad ≥ 90 %, uso impresión y copiado láser e inyección para ser sumisnitrado conforme a la programacion establecida por la Alcaldia Local de Bosa</v>
      </c>
      <c r="E10" s="11" t="str">
        <f>CosteoIndividual2!E11</f>
        <v>N/A</v>
      </c>
      <c r="F10" s="18" t="str">
        <f>CosteoIndividual2!F11</f>
        <v>UN</v>
      </c>
      <c r="G10" s="18">
        <f>CosteoIndividual2!G11</f>
        <v>1</v>
      </c>
      <c r="H10" s="19">
        <f>CosteoIndividual2!AA11</f>
        <v>24408</v>
      </c>
      <c r="I10" s="19">
        <f>CosteoIndividual2!AB11</f>
        <v>24408</v>
      </c>
      <c r="J10" s="18" t="str">
        <f>+CosteoIndividual2!AC11</f>
        <v>FDLB-ES-C-048-2026</v>
      </c>
      <c r="K10" s="16">
        <f>CosteoIndividual2!AD11</f>
        <v>39541.579314065006</v>
      </c>
      <c r="L10" s="15">
        <f>CosteoIndividual2!AE11</f>
        <v>0.79066907771945827</v>
      </c>
      <c r="M10" s="3" t="str">
        <f t="shared" si="0"/>
        <v>Mediana</v>
      </c>
      <c r="N10" s="21"/>
    </row>
    <row r="11" spans="2:14" s="4" customFormat="1" ht="28.5" customHeight="1">
      <c r="B11" s="17">
        <f>CosteoIndividual2!B12</f>
        <v>6</v>
      </c>
      <c r="C11" s="11" t="str">
        <f>CosteoIndividual2!C12</f>
        <v>Suministro Bolígrafo negro semi gel</v>
      </c>
      <c r="D11" s="11" t="str">
        <f>CosteoIndividual2!D12</f>
        <v xml:space="preserve">Suministro de caja con doce (12) unidades de Bolígrafo tinta negra tipo semi-gel, punta 0,7 mm, cuerpo plástico para ser entregado conforme a la programacion establecida por la Alcaldia Local de Bosa </v>
      </c>
      <c r="E11" s="11" t="str">
        <f>CosteoIndividual2!E12</f>
        <v>Debe tener el logo de la ALB, el nombre de "PROCEDAS 2025", y el nombre de "Presupuestos participativos" cuando corresponda</v>
      </c>
      <c r="F11" s="18" t="str">
        <f>CosteoIndividual2!F12</f>
        <v>UN</v>
      </c>
      <c r="G11" s="18">
        <f>CosteoIndividual2!G12</f>
        <v>1</v>
      </c>
      <c r="H11" s="19">
        <f>CosteoIndividual2!AA12</f>
        <v>15520</v>
      </c>
      <c r="I11" s="19">
        <f>CosteoIndividual2!AB12</f>
        <v>15520</v>
      </c>
      <c r="J11" s="18" t="str">
        <f>+CosteoIndividual2!AC12</f>
        <v>FDLB-ES-C-048-2026</v>
      </c>
      <c r="K11" s="16">
        <f>CosteoIndividual2!AD12</f>
        <v>2162279.0439677997</v>
      </c>
      <c r="L11" s="15">
        <f>CosteoIndividual2!AE12</f>
        <v>1.9734427589145633</v>
      </c>
      <c r="M11" s="3" t="str">
        <f t="shared" si="0"/>
        <v>Mediana</v>
      </c>
      <c r="N11" s="21"/>
    </row>
    <row r="12" spans="2:14" s="4" customFormat="1" ht="28.5" customHeight="1">
      <c r="B12" s="17">
        <f>CosteoIndividual2!B13</f>
        <v>7</v>
      </c>
      <c r="C12" s="11" t="str">
        <f>CosteoIndividual2!C13</f>
        <v>Suministro Agenda ecológica</v>
      </c>
      <c r="D12" s="11" t="str">
        <f>CosteoIndividual2!D13</f>
        <v xml:space="preserve">Agenda con esfero ecológico y con 80 hojas rayadas. Alto 18,1 cm Ancho 13 cm Largo Esfero: 14 cm Profundidad 1,4 cm para ser entregado conforme a la programacion establecida por la Alcaldia Local de Bosa </v>
      </c>
      <c r="E12" s="11" t="str">
        <f>CosteoIndividual2!E13</f>
        <v>Debe tener el logo de la ALB, el nombre de "PROCEDAS 2025", y el nombre de "Presupuestos participativos" cuando corresponda</v>
      </c>
      <c r="F12" s="18" t="str">
        <f>CosteoIndividual2!F13</f>
        <v>UN</v>
      </c>
      <c r="G12" s="18">
        <f>CosteoIndividual2!G13</f>
        <v>1</v>
      </c>
      <c r="H12" s="19">
        <f>CosteoIndividual2!AA13</f>
        <v>35000</v>
      </c>
      <c r="I12" s="19">
        <f>CosteoIndividual2!AB13</f>
        <v>35000</v>
      </c>
      <c r="J12" s="18" t="str">
        <f>+CosteoIndividual2!AC13</f>
        <v>FDLB-ES-C-048-2026</v>
      </c>
      <c r="K12" s="16">
        <f>CosteoIndividual2!AD13</f>
        <v>230689.03006599963</v>
      </c>
      <c r="L12" s="15">
        <f>CosteoIndividual2!AE13</f>
        <v>1.444528384885535</v>
      </c>
      <c r="M12" s="3" t="str">
        <f t="shared" si="0"/>
        <v>Mediana</v>
      </c>
      <c r="N12" s="21"/>
    </row>
    <row r="13" spans="2:14" s="4" customFormat="1" ht="28.5" customHeight="1">
      <c r="B13" s="17">
        <f>CosteoIndividual2!B14</f>
        <v>8</v>
      </c>
      <c r="C13" s="11" t="str">
        <f>CosteoIndividual2!C14</f>
        <v>Suministro Bolsa ecológica</v>
      </c>
      <c r="D13" s="11" t="str">
        <f>CosteoIndividual2!D14</f>
        <v>Suministro de paquete con cincuenta (50) unidades de bolsas ecológicas fabricadas en 100% algodón orgánico de cincuenta (50) centímetros de largo x cuarenta y cinco (45) cm de ancho en colores variados marcadas por los dos (2) costados conforme al diseño establecido por la Alcaldía Local de Bosa.</v>
      </c>
      <c r="E13" s="11" t="str">
        <f>CosteoIndividual2!E14</f>
        <v>Debe tener el logo de la ALB, el nombre de "PROCEDAS 2025", y el nombre de "Presupuestos participativos" cuando corresponda</v>
      </c>
      <c r="F13" s="18" t="str">
        <f>CosteoIndividual2!F14</f>
        <v>PAC</v>
      </c>
      <c r="G13" s="18">
        <f>CosteoIndividual2!G14</f>
        <v>1</v>
      </c>
      <c r="H13" s="19">
        <f>CosteoIndividual2!AA14</f>
        <v>6230</v>
      </c>
      <c r="I13" s="19">
        <f>CosteoIndividual2!AB14</f>
        <v>6230</v>
      </c>
      <c r="J13" s="18" t="str">
        <f>+CosteoIndividual2!AC14</f>
        <v>FDLB-ES-C-048-2026</v>
      </c>
      <c r="K13" s="16">
        <f>CosteoIndividual2!AD14</f>
        <v>740389.28466218291</v>
      </c>
      <c r="L13" s="15">
        <f>CosteoIndividual2!AE14</f>
        <v>1.9435538951553948</v>
      </c>
      <c r="M13" s="3" t="str">
        <f t="shared" si="0"/>
        <v>Mediana</v>
      </c>
      <c r="N13" s="21"/>
    </row>
    <row r="14" spans="2:14" s="4" customFormat="1" ht="28.5" customHeight="1">
      <c r="B14" s="17">
        <f>CosteoIndividual2!B15</f>
        <v>9</v>
      </c>
      <c r="C14" s="11" t="str">
        <f>CosteoIndividual2!C15</f>
        <v>Suministro Refrigerio tipo 1</v>
      </c>
      <c r="D14" s="11" t="str">
        <f>CosteoIndividual2!D15</f>
        <v>Suministro de Refrigerio compuesto por un (1) pastel de pollo o un (1) pastel de carne o un (1) pastel gloria o un (1) sándwich con dos (2) rebanadas de pan, una (1) tajada de jamón y una (1) tajada de queso, una (1) fruta entera y un (1) jugo en envase pet o Tetrapak doscientos (200) ml, una (1) fruta (manzana, pera, durazno, banano, mandarina, o ciruela), todos los alimentos relacionados en esta descripción técnica deberán estar en empaques desechables biodegradables aptos para el almacenamiento y transporte de alimentos, para ser entregados conforme a la programación establecida por la Alcaldía Local de Bosa. el servicio de alquiler por diez (10) horas</v>
      </c>
      <c r="E14" s="11" t="str">
        <f>CosteoIndividual2!E15</f>
        <v>El servicio de refrigerio debe incluir transporte y personal en el lugar y horario establecido por la Alcaldía Local de Bosa. La entidad ejecutora se compromete a suministrar al FDLB los documentos donde consten la formalización del proveedor lo que incluye entre otros, los cursos de manipulación de alimentos de los operarios.</v>
      </c>
      <c r="F14" s="18" t="str">
        <f>CosteoIndividual2!F15</f>
        <v>UN</v>
      </c>
      <c r="G14" s="18">
        <f>CosteoIndividual2!G15</f>
        <v>1</v>
      </c>
      <c r="H14" s="19">
        <f>CosteoIndividual2!AA15</f>
        <v>13571</v>
      </c>
      <c r="I14" s="19">
        <f>CosteoIndividual2!AB15</f>
        <v>13571</v>
      </c>
      <c r="J14" s="18" t="str">
        <f>+CosteoIndividual2!AC15</f>
        <v>FDLB-ES-C-048-2026</v>
      </c>
      <c r="K14" s="16">
        <f>CosteoIndividual2!AD15</f>
        <v>1686.0337076642613</v>
      </c>
      <c r="L14" s="15">
        <f>CosteoIndividual2!AE15</f>
        <v>8.8726702064699139E-2</v>
      </c>
      <c r="M14" s="3" t="str">
        <f t="shared" si="0"/>
        <v>Promedio</v>
      </c>
      <c r="N14" s="21"/>
    </row>
    <row r="15" spans="2:14" s="4" customFormat="1" ht="28.5" customHeight="1">
      <c r="B15" s="17">
        <f>CosteoIndividual2!B16</f>
        <v>10</v>
      </c>
      <c r="C15" s="11" t="str">
        <f>CosteoIndividual2!C16</f>
        <v>Suministro Refrigerio tipo 3</v>
      </c>
      <c r="D15" s="11" t="str">
        <f>CosteoIndividual2!D16</f>
        <v xml:space="preserve">Servicio de refrigerio compuesto por un (1) sándwich de pan baguette que contenga con pollo, queso, lechuga, tomate y salsa, una (1) bebida de 400 ml, una (1) fruta y un (1) dulce, todos los alimentos relacionados en esta descripción técnica deberán estar en empaques desechables biodegradables aptos para el almacenamiento y transporte de alimentos, para ser entregados conforme a la programación establecida por la Alcaldía Local de Bosa. </v>
      </c>
      <c r="E15" s="11" t="str">
        <f>CosteoIndividual2!E16</f>
        <v>El servicio de refrigerio debe incluir transporte y personal en el lugar y horario establecido por la Alcaldía Local de Bosa. La entidad ejecutora se compromete a suministrar al FDLB los documentos donde consten la formalización del proveedor lo que incluye entre otros, los cursos de manipulación de alimentos de los operarios.</v>
      </c>
      <c r="F15" s="18" t="str">
        <f>CosteoIndividual2!F16</f>
        <v>UN</v>
      </c>
      <c r="G15" s="18">
        <f>CosteoIndividual2!G16</f>
        <v>1</v>
      </c>
      <c r="H15" s="19">
        <f>CosteoIndividual2!AA16</f>
        <v>16938</v>
      </c>
      <c r="I15" s="19">
        <f>CosteoIndividual2!AB16</f>
        <v>16938</v>
      </c>
      <c r="J15" s="18" t="str">
        <f>+CosteoIndividual2!AC16</f>
        <v>FDLB-ES-C-048-2026</v>
      </c>
      <c r="K15" s="16">
        <f>CosteoIndividual2!AD16</f>
        <v>1788.9582397768727</v>
      </c>
      <c r="L15" s="15">
        <f>CosteoIndividual2!AE16</f>
        <v>7.0899656538406949E-2</v>
      </c>
      <c r="M15" s="3" t="str">
        <f t="shared" si="0"/>
        <v>Promedio</v>
      </c>
      <c r="N15" s="21"/>
    </row>
    <row r="16" spans="2:14" s="4" customFormat="1" ht="28.5" customHeight="1">
      <c r="B16" s="17">
        <f>CosteoIndividual2!B17</f>
        <v>11</v>
      </c>
      <c r="C16" s="11" t="str">
        <f>CosteoIndividual2!C17</f>
        <v>Suministro Almuerzo tipo 1</v>
      </c>
      <c r="D16" s="11" t="str">
        <f>CosteoIndividual2!D17</f>
        <v>Servicio de almuerzo compuesto por una (1) porción de proteína de ciento cincuenta (150) gramos, una (1) porción de ensalada fresca de ciento cincuenta (150) gramos, una (1) porción de arroz blanco de ochenta (80) gramos, una (1) porción de verdura de cien (100) gramos, una (1) porción de papa en cascos de ochenta (80) gramos y una bebida de jugo natural de doscientos (200) mililitros, todos los alimentos relacionados en esta descripción técnica deberán estar en empaques desechables biodegradables aptos para el almacenamiento y transporte de alimentos preparados que incluya cuchara, tenedor, cuchillo y servilleta, para ser entregados de manera individual conforme a la programación establecida por la Alcaldía Local de Bosa.</v>
      </c>
      <c r="E16" s="11" t="str">
        <f>CosteoIndividual2!E17</f>
        <v>Incluye empaque y transporte a lugares definidos por la alcaldía. Los empaques y contenedores deben ser reciclables (no icopor) o compostables y se debe incluir su manejo post-consumo</v>
      </c>
      <c r="F16" s="18" t="str">
        <f>CosteoIndividual2!F17</f>
        <v>UN</v>
      </c>
      <c r="G16" s="18">
        <f>CosteoIndividual2!G17</f>
        <v>1</v>
      </c>
      <c r="H16" s="19">
        <f>CosteoIndividual2!AA17</f>
        <v>32833</v>
      </c>
      <c r="I16" s="19">
        <f>CosteoIndividual2!AB17</f>
        <v>32833</v>
      </c>
      <c r="J16" s="18" t="str">
        <f>+CosteoIndividual2!AC17</f>
        <v>FDLB-ES-C-048-2026</v>
      </c>
      <c r="K16" s="16">
        <f>CosteoIndividual2!AD17</f>
        <v>3527.3515933797862</v>
      </c>
      <c r="L16" s="15">
        <f>CosteoIndividual2!AE17</f>
        <v>0.10743401629941694</v>
      </c>
      <c r="M16" s="3" t="str">
        <f t="shared" si="0"/>
        <v>Promedio</v>
      </c>
      <c r="N16" s="21"/>
    </row>
    <row r="17" spans="2:14" s="4" customFormat="1" ht="28.5" customHeight="1">
      <c r="B17" s="17">
        <f>CosteoIndividual2!B18</f>
        <v>12</v>
      </c>
      <c r="C17" s="11" t="str">
        <f>CosteoIndividual2!C18</f>
        <v xml:space="preserve">Suministro Video clip </v>
      </c>
      <c r="D17" s="11" t="str">
        <f>CosteoIndividual2!D18</f>
        <v>Produccion y edición de video clip que contenga y recopile el proceso de implementación de los PROCEDAS  de maximo 10 minutos</v>
      </c>
      <c r="E17" s="11" t="str">
        <f>CosteoIndividual2!E18</f>
        <v>N/A</v>
      </c>
      <c r="F17" s="18" t="str">
        <f>CosteoIndividual2!F18</f>
        <v>UN</v>
      </c>
      <c r="G17" s="18">
        <f>CosteoIndividual2!G18</f>
        <v>1</v>
      </c>
      <c r="H17" s="19">
        <f>CosteoIndividual2!AA18</f>
        <v>1190574</v>
      </c>
      <c r="I17" s="19">
        <f>CosteoIndividual2!AB18</f>
        <v>1190574</v>
      </c>
      <c r="J17" s="18" t="str">
        <f>+CosteoIndividual2!AC18</f>
        <v>FDLB-ES-C-086-2026</v>
      </c>
      <c r="K17" s="16">
        <f>CosteoIndividual2!AD18</f>
        <v>23879431.603980161</v>
      </c>
      <c r="L17" s="15">
        <f>CosteoIndividual2!AE18</f>
        <v>1.36665726756359</v>
      </c>
      <c r="M17" s="3" t="str">
        <f t="shared" si="0"/>
        <v>Mediana</v>
      </c>
      <c r="N17" s="21"/>
    </row>
    <row r="18" spans="2:14" s="4" customFormat="1" ht="28.5" customHeight="1">
      <c r="B18" s="17">
        <f>CosteoIndividual2!B19</f>
        <v>13</v>
      </c>
      <c r="C18" s="11" t="str">
        <f>CosteoIndividual2!C19</f>
        <v>Suministro Plegable tipo fanzi</v>
      </c>
      <c r="D18" s="11" t="str">
        <f>CosteoIndividual2!D19</f>
        <v>Plegable tipo fanzin en tamaño tabloide, impresión 4x4 a cuatricromía en ambas caras, papel esmaltado C2S Gloss de 115 g/m2 (de acuerdo con la guía de contratación sostenible)</v>
      </c>
      <c r="E18" s="11" t="str">
        <f>CosteoIndividual2!E19</f>
        <v>Debe contener como mínimo la siguiente información: Logos de la Alcaldía Local de Bosa (ALB), información de la convocatoria, código QR que dirija al formulario de inscripción y lo demás que disponga el Comité Técnico de Seguimiento y Control</v>
      </c>
      <c r="F18" s="18" t="str">
        <f>CosteoIndividual2!F19</f>
        <v>UN</v>
      </c>
      <c r="G18" s="18">
        <f>CosteoIndividual2!G19</f>
        <v>1</v>
      </c>
      <c r="H18" s="19">
        <f>CosteoIndividual2!AA19</f>
        <v>9607</v>
      </c>
      <c r="I18" s="19">
        <f>CosteoIndividual2!AB19</f>
        <v>9607</v>
      </c>
      <c r="J18" s="18" t="str">
        <f>+CosteoIndividual2!AC19</f>
        <v>FDLB-ES-C-086-2026</v>
      </c>
      <c r="K18" s="16">
        <f>CosteoIndividual2!AD19</f>
        <v>357.95716689756802</v>
      </c>
      <c r="L18" s="15">
        <f>CosteoIndividual2!AE19</f>
        <v>3.7261328962272869E-2</v>
      </c>
      <c r="M18" s="3" t="str">
        <f t="shared" si="0"/>
        <v>Promedio</v>
      </c>
      <c r="N18" s="21"/>
    </row>
    <row r="19" spans="2:14" s="4" customFormat="1" ht="28.5" customHeight="1">
      <c r="B19" s="17">
        <f>CosteoIndividual2!B20</f>
        <v>14</v>
      </c>
      <c r="C19" s="11" t="str">
        <f>CosteoIndividual2!C20</f>
        <v>PROFESIONAL EN EDUCACIÓN AMBIENTAL</v>
      </c>
      <c r="D19" s="11" t="str">
        <f>CosteoIndividual2!D20</f>
        <v>FORMACIÓN ACADÉMICA: TÍTULO PROFESIONAL EN LICENCIATURA EN CIENCIAS NATURALES Y/O EDUCACIÓN AMBIENTAL Y/O INGENIERÍA AMBIENTAL Y/O INGENIERÍA SANITARIA Y AMBIENTAL Y/O ADMINISTRACIÓN AMBIENTAL Y/O AFINES SEGÚN SNIES.
EXPERIENCIA: MÍNIMO VEINTITRÉS (23) MESES DE EXPERIENCIA LABORAL GENERAL A PARTIR DE LA EXPEDICIÓN DE LA TARJETA PROFESIONAL, CON EXPERIENCIA ESPECÍFICA DE MÍNIMO UN (1) AÑO EN GESTIÓN E IMPLEMENTACIÓN DE PROYECTOS AMBIENTALES.
DEDICACIÓN: SIETE (7) MESES DE EJECUCIÓN TÉCNICA.</v>
      </c>
      <c r="E19" s="11" t="str">
        <f>CosteoIndividual2!E20</f>
        <v>Titulo profesional relacionado con los servicios a contratar con experiencia minima de 1 año</v>
      </c>
      <c r="F19" s="18" t="str">
        <f>CosteoIndividual2!F20</f>
        <v>UN</v>
      </c>
      <c r="G19" s="18">
        <f>CosteoIndividual2!G20</f>
        <v>1</v>
      </c>
      <c r="H19" s="19">
        <f>CosteoIndividual2!AA20</f>
        <v>52740000</v>
      </c>
      <c r="I19" s="19">
        <f>CosteoIndividual2!AB20</f>
        <v>52740000</v>
      </c>
      <c r="J19" s="18" t="str">
        <f>+CosteoIndividual2!AC20</f>
        <v>RESOLUCION</v>
      </c>
      <c r="K19" s="16" t="str">
        <f>CosteoIndividual2!AD20</f>
        <v/>
      </c>
      <c r="L19" s="15" t="str">
        <f>CosteoIndividual2!AE20</f>
        <v/>
      </c>
      <c r="M19" s="3" t="str">
        <f t="shared" si="0"/>
        <v/>
      </c>
      <c r="N19" s="21"/>
    </row>
    <row r="20" spans="2:14" s="4" customFormat="1" ht="28.5" customHeight="1">
      <c r="B20" s="17">
        <f>CosteoIndividual2!B21</f>
        <v>15</v>
      </c>
      <c r="C20" s="11" t="str">
        <f>CosteoIndividual2!C21</f>
        <v>COORDINADOR/A DEL PROYECTO</v>
      </c>
      <c r="D20" s="11" t="str">
        <f>CosteoIndividual2!D21</f>
        <v>FORMACIÓN ACADÉMICA: TÍTULO PROFESIONAL EN ECOLOGÍA Y/O BIOLOGÍA Y/O INGENIERÍA AMBIENTAL Y/O FORESTAL, O AFINES SEGÚN SNIES.
EXPERIENCIA: MÍNIMO TRES (3) AÑOS DE EXPERIENCIA GENERAL A PARTIR DE LA EXPEDICIÓN DE LA TARJETA PROFESIONAL, CON EXPERIENCIA ESPECÍFICA DE MÍNIMO DOS (2) AÑOS EN EDUCACIÓN AMBIENTAL Y/O FORMULACIÓN DE PROYECTOS AMBIENTALES Y/O SISTEMAS DE INFORMACIÓN GEOGRÁFICA (SIG).
DEDICACIÓN: NUEVE (9) MESES.</v>
      </c>
      <c r="E20" s="11">
        <f>CosteoIndividual2!E21</f>
        <v>0</v>
      </c>
      <c r="F20" s="18" t="str">
        <f>CosteoIndividual2!F21</f>
        <v>UN</v>
      </c>
      <c r="G20" s="18">
        <f>CosteoIndividual2!G21</f>
        <v>1</v>
      </c>
      <c r="H20" s="19">
        <f>CosteoIndividual2!AA21</f>
        <v>41020000</v>
      </c>
      <c r="I20" s="19">
        <f>CosteoIndividual2!AB21</f>
        <v>41020000</v>
      </c>
      <c r="J20" s="18" t="str">
        <f>+CosteoIndividual2!AC21</f>
        <v>RESOLUCION</v>
      </c>
      <c r="K20" s="16">
        <f>CosteoIndividual2!AD21</f>
        <v>0</v>
      </c>
      <c r="L20" s="15">
        <f>CosteoIndividual2!AE21</f>
        <v>0</v>
      </c>
      <c r="M20" s="3" t="str">
        <f t="shared" si="0"/>
        <v>Promedio</v>
      </c>
      <c r="N20" s="21"/>
    </row>
    <row r="21" spans="2:14" s="4" customFormat="1" ht="28.5" customHeight="1">
      <c r="B21" s="17">
        <f>CosteoIndividual2!B22</f>
        <v>16</v>
      </c>
      <c r="C21" s="11" t="str">
        <f>CosteoIndividual2!C22</f>
        <v>ASISTENTE ADMINISTRATIVO</v>
      </c>
      <c r="D21" s="11" t="str">
        <f>CosteoIndividual2!D22</f>
        <v>FORMACIÓN ACADÉMICA: TÍTULO BACHILLER Y CERTIFICADO DE APTITUD OCUPACIONAL, O TÍTULO DE EDUCACIÓN PARA EL TRABAJO Y EL DESARROLLO HUMANO, O TÍTULO DE FORMACIÓN TÉCNICA LABORAL EN ÁREAS ADMINISTRATIVAS Y/O AFINES.
EXPERIENCIA: MÍNIMO TRES (3) AÑOS DE EXPERIENCIA LABORAL DEBIDAMENTE CERTIFICADA.
DEDICACIÓN: SIETE (7) MESES DE EJECUCIÓN TÉCNICA.</v>
      </c>
      <c r="E21" s="11">
        <f>CosteoIndividual2!E22</f>
        <v>0</v>
      </c>
      <c r="F21" s="18" t="str">
        <f>CosteoIndividual2!F22</f>
        <v>UN</v>
      </c>
      <c r="G21" s="18">
        <f>CosteoIndividual2!G22</f>
        <v>1</v>
      </c>
      <c r="H21" s="19">
        <f>CosteoIndividual2!AA22</f>
        <v>41020000</v>
      </c>
      <c r="I21" s="19">
        <f>CosteoIndividual2!AB22</f>
        <v>41020000</v>
      </c>
      <c r="J21" s="18" t="str">
        <f>+CosteoIndividual2!AC22</f>
        <v>RESOLUCION</v>
      </c>
      <c r="K21" s="16">
        <f>CosteoIndividual2!AD22</f>
        <v>0</v>
      </c>
      <c r="L21" s="15">
        <f>CosteoIndividual2!AE22</f>
        <v>0</v>
      </c>
      <c r="M21" s="3" t="str">
        <f t="shared" si="0"/>
        <v>Promedio</v>
      </c>
      <c r="N21" s="21"/>
    </row>
    <row r="22" spans="2:14" s="4" customFormat="1" ht="28.5" customHeight="1">
      <c r="B22" s="17">
        <f>CosteoIndividual2!B23</f>
        <v>17</v>
      </c>
      <c r="C22" s="11" t="str">
        <f>CosteoIndividual2!C23</f>
        <v>Sabedor(a)</v>
      </c>
      <c r="D22" s="11" t="str">
        <f>CosteoIndividual2!D23</f>
        <v>Sabedores/ras de Medicina Ancestral Tipo 1</v>
      </c>
      <c r="E22" s="11" t="str">
        <f>CosteoIndividual2!E23</f>
        <v>Persona con pertenencia a los pueblos indígenas con un (1) año de experiencia práctica y reconocimiento en cada uno de sus pueblos. Perfil debe ser avalados por la Mesa Indígena de la localidad de Bosa, dando prioridad a los habitantes de Bosa, aportando aval por parte de la Mesa indígena. </v>
      </c>
      <c r="F22" s="18" t="str">
        <f>CosteoIndividual2!F23</f>
        <v>UN</v>
      </c>
      <c r="G22" s="18">
        <f>CosteoIndividual2!G23</f>
        <v>1</v>
      </c>
      <c r="H22" s="19">
        <f>CosteoIndividual2!AA23</f>
        <v>89433</v>
      </c>
      <c r="I22" s="19">
        <f>CosteoIndividual2!AB23</f>
        <v>89433</v>
      </c>
      <c r="J22" s="18" t="str">
        <f>+CosteoIndividual2!AC23</f>
        <v>FDLB-ES-C-086-2026</v>
      </c>
      <c r="K22" s="16">
        <f>CosteoIndividual2!AD23</f>
        <v>9190.3935352809203</v>
      </c>
      <c r="L22" s="15">
        <f>CosteoIndividual2!AE23</f>
        <v>0.10276250691704347</v>
      </c>
      <c r="M22" s="3" t="str">
        <f t="shared" si="0"/>
        <v>Promedio</v>
      </c>
      <c r="N22" s="21"/>
    </row>
    <row r="23" spans="2:14" s="4" customFormat="1" ht="28.5" customHeight="1">
      <c r="B23" s="17">
        <f>CosteoIndividual2!B24</f>
        <v>18</v>
      </c>
      <c r="C23" s="11" t="str">
        <f>CosteoIndividual2!C24</f>
        <v>Alquiler de carpa tipo kiosco 4 x 4</v>
      </c>
      <c r="D23" s="11" t="str">
        <f>CosteoIndividual2!D24</f>
        <v>Alquiler de Carpa tipo kiosco de cuatro (4) metros de acho x cuatro (4) metros de profundidad y dos metros con veinte (2,20) centímetros de altura recubierta en su totalidad por lona de color blanco con laterales, la carpa debe estar en buen estado estético y de funcionamiento e incluir contrapesos, accesorios, transporte de carga y personal para ser instaladas y desinstaladas en el lugar dispuesto por la Alcaldía Local de Bosa.
El tiempo de alquiler del servicio tendrá una duración de un día</v>
      </c>
      <c r="E23" s="11" t="str">
        <f>CosteoIndividual2!E24</f>
        <v>Carpa modular de estructura metálica reforzada (acero o aluminio), con dimensiones de 4 x 4 metros, cubierta en lona impermeable tipo poliéster o PVC de alta resistencia, color blanco o institucional. Debe contar con protección contra lluvia y radiación solar, sistema de anclaje seguro (estacas o contrapesos), y encontrarse en óptimas condiciones físicas y de limpieza. Incluye transporte, montaje y desmontaje en el lugar del evento, con instalación previa mínima de dos (2) horas antes del inicio de la actividad.</v>
      </c>
      <c r="F23" s="18" t="str">
        <f>CosteoIndividual2!F24</f>
        <v>UN</v>
      </c>
      <c r="G23" s="18">
        <f>CosteoIndividual2!G24</f>
        <v>1</v>
      </c>
      <c r="H23" s="19">
        <f>CosteoIndividual2!AA24</f>
        <v>400830</v>
      </c>
      <c r="I23" s="19">
        <f>CosteoIndividual2!AB24</f>
        <v>400830</v>
      </c>
      <c r="J23" s="18" t="str">
        <f>+CosteoIndividual2!AC24</f>
        <v>FDLB-ES-C-048-2026</v>
      </c>
      <c r="K23" s="16">
        <f>CosteoIndividual2!AD24</f>
        <v>101442.2805136073</v>
      </c>
      <c r="L23" s="15">
        <f>CosteoIndividual2!AE24</f>
        <v>0.21937809183503917</v>
      </c>
      <c r="M23" s="3" t="str">
        <f t="shared" si="0"/>
        <v>Mediana</v>
      </c>
      <c r="N23" s="21"/>
    </row>
    <row r="24" spans="2:14" s="4" customFormat="1" ht="28.5" customHeight="1">
      <c r="B24" s="17">
        <f>CosteoIndividual2!B25</f>
        <v>19</v>
      </c>
      <c r="C24" s="11" t="str">
        <f>CosteoIndividual2!C25</f>
        <v>Suministro Azadon</v>
      </c>
      <c r="D24" s="11" t="str">
        <f>CosteoIndividual2!D25</f>
        <v>Azadon de cabeza forjada de acero templado con mango de madera resistente entre 120 cm y 145 cm</v>
      </c>
      <c r="E24" s="11" t="str">
        <f>CosteoIndividual2!E25</f>
        <v>Herramienta para cavar, remover tierra y cortar raíces</v>
      </c>
      <c r="F24" s="18" t="str">
        <f>CosteoIndividual2!F25</f>
        <v>UN</v>
      </c>
      <c r="G24" s="18">
        <f>CosteoIndividual2!G25</f>
        <v>1</v>
      </c>
      <c r="H24" s="19">
        <f>CosteoIndividual2!AA25</f>
        <v>103533</v>
      </c>
      <c r="I24" s="19">
        <f>CosteoIndividual2!AB25</f>
        <v>103533</v>
      </c>
      <c r="J24" s="18" t="str">
        <f>+CosteoIndividual2!AC25</f>
        <v>FDLB-ES-C-086-2026</v>
      </c>
      <c r="K24" s="16">
        <f>CosteoIndividual2!AD25</f>
        <v>4965.2123150307816</v>
      </c>
      <c r="L24" s="15">
        <f>CosteoIndividual2!AE25</f>
        <v>4.7957620557283788E-2</v>
      </c>
      <c r="M24" s="3" t="str">
        <f t="shared" si="0"/>
        <v>Promedio</v>
      </c>
      <c r="N24" s="21"/>
    </row>
    <row r="25" spans="2:14" s="4" customFormat="1" ht="28.5" customHeight="1">
      <c r="B25" s="17">
        <f>CosteoIndividual2!B26</f>
        <v>20</v>
      </c>
      <c r="C25" s="11" t="str">
        <f>CosteoIndividual2!C26</f>
        <v xml:space="preserve">Suministro Palin </v>
      </c>
      <c r="D25" s="11" t="str">
        <f>CosteoIndividual2!D26</f>
        <v xml:space="preserve">Palin de cabeza cuadrada con diámetro de cubo de 34.5 mm, sistema de enmangado remachado y mango tipo anilla en madera, con una longitud de 53 cm y diámetro de 38 mm. </v>
      </c>
      <c r="E25" s="11" t="str">
        <f>CosteoIndividual2!E26</f>
        <v>Herramienta apta para jardinería y agricultura,</v>
      </c>
      <c r="F25" s="18" t="str">
        <f>CosteoIndividual2!F26</f>
        <v>UN</v>
      </c>
      <c r="G25" s="18">
        <f>CosteoIndividual2!G26</f>
        <v>1</v>
      </c>
      <c r="H25" s="19">
        <f>CosteoIndividual2!AA26</f>
        <v>79450</v>
      </c>
      <c r="I25" s="19">
        <f>CosteoIndividual2!AB26</f>
        <v>79450</v>
      </c>
      <c r="J25" s="18" t="str">
        <f>+CosteoIndividual2!AC26</f>
        <v>FDLB-ES-C-086-2026</v>
      </c>
      <c r="K25" s="16">
        <f>CosteoIndividual2!AD26</f>
        <v>2357.4350468252564</v>
      </c>
      <c r="L25" s="15">
        <f>CosteoIndividual2!AE26</f>
        <v>2.9671932622092591E-2</v>
      </c>
      <c r="M25" s="3" t="str">
        <f t="shared" si="0"/>
        <v>Promedio</v>
      </c>
      <c r="N25" s="21"/>
    </row>
    <row r="26" spans="2:14" s="4" customFormat="1" ht="28.5" customHeight="1">
      <c r="B26" s="17">
        <f>CosteoIndividual2!B27</f>
        <v>21</v>
      </c>
      <c r="C26" s="11" t="str">
        <f>CosteoIndividual2!C27</f>
        <v>Suministro Regadera</v>
      </c>
      <c r="D26" s="11" t="str">
        <f>CosteoIndividual2!D27</f>
        <v>Regadera Plástica de 1,75 Litros Dimensiones: 7,5x33x24,5cm</v>
      </c>
      <c r="E26" s="11" t="str">
        <f>CosteoIndividual2!E27</f>
        <v>N/A</v>
      </c>
      <c r="F26" s="18" t="str">
        <f>CosteoIndividual2!F27</f>
        <v>UN</v>
      </c>
      <c r="G26" s="18">
        <f>CosteoIndividual2!G27</f>
        <v>1</v>
      </c>
      <c r="H26" s="19">
        <f>CosteoIndividual2!AA27</f>
        <v>32417</v>
      </c>
      <c r="I26" s="19">
        <f>CosteoIndividual2!AB27</f>
        <v>32417</v>
      </c>
      <c r="J26" s="18" t="str">
        <f>+CosteoIndividual2!AC27</f>
        <v>FDLB-ES-C-086-2026</v>
      </c>
      <c r="K26" s="16">
        <f>CosteoIndividual2!AD27</f>
        <v>2625.9918760981218</v>
      </c>
      <c r="L26" s="15">
        <f>CosteoIndividual2!AE27</f>
        <v>8.100746147346391E-2</v>
      </c>
      <c r="M26" s="3" t="str">
        <f t="shared" si="0"/>
        <v>Promedio</v>
      </c>
      <c r="N26" s="21"/>
    </row>
    <row r="27" spans="2:14" s="4" customFormat="1" ht="28.5" customHeight="1">
      <c r="B27" s="17">
        <f>CosteoIndividual2!B28</f>
        <v>22</v>
      </c>
      <c r="C27" s="11" t="str">
        <f>CosteoIndividual2!C28</f>
        <v xml:space="preserve">Suministro Plantulas </v>
      </c>
      <c r="D27" s="11" t="str">
        <f>CosteoIndividual2!D28</f>
        <v xml:space="preserve">Plantulas para siembra Aromáticas, Hortalizas y frutales </v>
      </c>
      <c r="E27" s="11" t="str">
        <f>CosteoIndividual2!E28</f>
        <v>N/A</v>
      </c>
      <c r="F27" s="18" t="str">
        <f>CosteoIndividual2!F28</f>
        <v>UN</v>
      </c>
      <c r="G27" s="18">
        <f>CosteoIndividual2!G28</f>
        <v>1</v>
      </c>
      <c r="H27" s="19">
        <f>CosteoIndividual2!AA28</f>
        <v>9250</v>
      </c>
      <c r="I27" s="19">
        <f>CosteoIndividual2!AB28</f>
        <v>9250</v>
      </c>
      <c r="J27" s="18" t="str">
        <f>+CosteoIndividual2!AC28</f>
        <v>FDLB-ES-C-086-2026</v>
      </c>
      <c r="K27" s="16">
        <f>CosteoIndividual2!AD28</f>
        <v>2852.3187497192525</v>
      </c>
      <c r="L27" s="15">
        <f>CosteoIndividual2!AE28</f>
        <v>0.35579489814691145</v>
      </c>
      <c r="M27" s="3" t="str">
        <f t="shared" si="0"/>
        <v>Mediana</v>
      </c>
      <c r="N27" s="21"/>
    </row>
    <row r="28" spans="2:14" s="4" customFormat="1" ht="28.5" customHeight="1">
      <c r="B28" s="17">
        <f>CosteoIndividual2!B29</f>
        <v>23</v>
      </c>
      <c r="C28" s="11" t="str">
        <f>CosteoIndividual2!C29</f>
        <v xml:space="preserve">Suministro semillas </v>
      </c>
      <c r="D28" s="11" t="str">
        <f>CosteoIndividual2!D29</f>
        <v>Semillas forestales, semillas frutales, hortalizas</v>
      </c>
      <c r="E28" s="11" t="str">
        <f>CosteoIndividual2!E29</f>
        <v>N/A</v>
      </c>
      <c r="F28" s="18" t="str">
        <f>CosteoIndividual2!F29</f>
        <v>UN</v>
      </c>
      <c r="G28" s="18">
        <f>CosteoIndividual2!G29</f>
        <v>1</v>
      </c>
      <c r="H28" s="19">
        <f>CosteoIndividual2!AA29</f>
        <v>11593</v>
      </c>
      <c r="I28" s="19">
        <f>CosteoIndividual2!AB29</f>
        <v>11593</v>
      </c>
      <c r="J28" s="18" t="str">
        <f>+CosteoIndividual2!AC29</f>
        <v>FDLB-ES-C-086-2026</v>
      </c>
      <c r="K28" s="16">
        <f>CosteoIndividual2!AD29</f>
        <v>2278.4458884657906</v>
      </c>
      <c r="L28" s="15">
        <f>CosteoIndividual2!AE29</f>
        <v>0.19948744809926811</v>
      </c>
      <c r="M28" s="3" t="str">
        <f t="shared" si="0"/>
        <v>Mediana</v>
      </c>
      <c r="N28" s="21"/>
    </row>
    <row r="29" spans="2:14" s="4" customFormat="1" ht="28.5" customHeight="1">
      <c r="B29" s="17">
        <f>CosteoIndividual2!B30</f>
        <v>24</v>
      </c>
      <c r="C29" s="11" t="str">
        <f>CosteoIndividual2!C30</f>
        <v>Suministro de guantes de nitrilo</v>
      </c>
      <c r="D29" s="11" t="str">
        <f>CosteoIndividual2!D30</f>
        <v>Guantes de Nitrilo. 100% libres de Látex x 50 pares.</v>
      </c>
      <c r="E29" s="11" t="str">
        <f>CosteoIndividual2!E30</f>
        <v>Guantes desechables o reutilizables, resistentes, talla estándar o surtida, destinados a la protección de manos durante manipulación de residuos sólidos no peligrosos.</v>
      </c>
      <c r="F29" s="18" t="str">
        <f>CosteoIndividual2!F30</f>
        <v>UN</v>
      </c>
      <c r="G29" s="18">
        <f>CosteoIndividual2!G30</f>
        <v>1</v>
      </c>
      <c r="H29" s="19">
        <f>CosteoIndividual2!AA30</f>
        <v>29300</v>
      </c>
      <c r="I29" s="19">
        <f>CosteoIndividual2!AB30</f>
        <v>29300</v>
      </c>
      <c r="J29" s="18" t="str">
        <f>+CosteoIndividual2!AC30</f>
        <v>FDLB-ES-C-086-2026</v>
      </c>
      <c r="K29" s="16">
        <f>CosteoIndividual2!AD30</f>
        <v>1126.9427669584645</v>
      </c>
      <c r="L29" s="15">
        <f>CosteoIndividual2!AE30</f>
        <v>3.8462210476398105E-2</v>
      </c>
      <c r="M29" s="3" t="str">
        <f t="shared" si="0"/>
        <v>Promedio</v>
      </c>
      <c r="N29" s="21"/>
    </row>
    <row r="30" spans="2:14" s="4" customFormat="1" ht="28.5" customHeight="1">
      <c r="B30" s="17">
        <f>CosteoIndividual2!B31</f>
        <v>25</v>
      </c>
      <c r="C30" s="11" t="str">
        <f>CosteoIndividual2!C31</f>
        <v xml:space="preserve">Suministro de Elementos de aseo </v>
      </c>
      <c r="D30" s="11" t="str">
        <f>CosteoIndividual2!D31</f>
        <v>Bolsas de basura</v>
      </c>
      <c r="E30" s="11" t="str">
        <f>CosteoIndividual2!E31</f>
        <v>Bolsas plásticas de alta resistencia (mínimo calibre 1.5 o superior), capacidad entre 30 y 50 galones, aptas para recolección de residuos ordinarios en jornadas comunitarias. Deben soportar peso y evitar rupturas.</v>
      </c>
      <c r="F30" s="18" t="str">
        <f>CosteoIndividual2!F31</f>
        <v>UN</v>
      </c>
      <c r="G30" s="18">
        <f>CosteoIndividual2!G31</f>
        <v>1</v>
      </c>
      <c r="H30" s="19">
        <f>CosteoIndividual2!AA31</f>
        <v>1663</v>
      </c>
      <c r="I30" s="19">
        <f>CosteoIndividual2!AB31</f>
        <v>1663</v>
      </c>
      <c r="J30" s="18" t="str">
        <f>+CosteoIndividual2!AC31</f>
        <v>FDLB-ES-C-086-2026</v>
      </c>
      <c r="K30" s="16">
        <f>CosteoIndividual2!AD31</f>
        <v>212.21058723196043</v>
      </c>
      <c r="L30" s="15">
        <f>CosteoIndividual2!AE31</f>
        <v>0.1275815153699161</v>
      </c>
      <c r="M30" s="3" t="str">
        <f t="shared" si="0"/>
        <v>Promedio</v>
      </c>
      <c r="N30" s="21"/>
    </row>
    <row r="31" spans="2:14" s="4" customFormat="1" ht="28.5" customHeight="1">
      <c r="B31" s="17">
        <f>CosteoIndividual2!B32</f>
        <v>26</v>
      </c>
      <c r="C31" s="11" t="str">
        <f>CosteoIndividual2!C32</f>
        <v>Suministro Bolsas de lona en polipropileno</v>
      </c>
      <c r="D31" s="11" t="str">
        <f>CosteoIndividual2!D32</f>
        <v>Empaque De Lona  Blanco Polipropileno</v>
      </c>
      <c r="E31" s="11" t="str">
        <f>CosteoIndividual2!E32</f>
        <v>Lonas plásticas o de polipropileno reutilizables, resistentes al peso y a la humedad, utilizadas para acopio temporal de residuos o material vegetal durante jornadas de limpieza ambiental.</v>
      </c>
      <c r="F31" s="18" t="str">
        <f>CosteoIndividual2!F32</f>
        <v>UN</v>
      </c>
      <c r="G31" s="18">
        <f>CosteoIndividual2!G32</f>
        <v>1</v>
      </c>
      <c r="H31" s="19">
        <f>CosteoIndividual2!AA32</f>
        <v>2850</v>
      </c>
      <c r="I31" s="19">
        <f>CosteoIndividual2!AB32</f>
        <v>2850</v>
      </c>
      <c r="J31" s="18" t="str">
        <f>+CosteoIndividual2!AC32</f>
        <v>FDLB-ES-C-086-2026</v>
      </c>
      <c r="K31" s="16">
        <f>CosteoIndividual2!AD32</f>
        <v>86.602540378443862</v>
      </c>
      <c r="L31" s="15">
        <f>CosteoIndividual2!AE32</f>
        <v>3.0386856273138196E-2</v>
      </c>
      <c r="M31" s="3" t="str">
        <f t="shared" si="0"/>
        <v>Promedio</v>
      </c>
      <c r="N31" s="21"/>
    </row>
    <row r="32" spans="2:14" s="4" customFormat="1" ht="28.5" customHeight="1">
      <c r="B32" s="17">
        <f>CosteoIndividual2!B33</f>
        <v>27</v>
      </c>
      <c r="C32" s="11" t="str">
        <f>CosteoIndividual2!C33</f>
        <v xml:space="preserve">Suministro Elementos de aseo </v>
      </c>
      <c r="D32" s="11" t="str">
        <f>CosteoIndividual2!D33</f>
        <v>Recogedor Con Banda y Palo</v>
      </c>
      <c r="E32" s="11" t="str">
        <f>CosteoIndividual2!E33</f>
        <v>Recogedor plástico o metálico de alta resistencia, con mango largo o corto, adecuado para la recolección de residuos sólidos durante jornadas de limpieza.</v>
      </c>
      <c r="F32" s="18" t="str">
        <f>CosteoIndividual2!F33</f>
        <v>UN</v>
      </c>
      <c r="G32" s="18">
        <f>CosteoIndividual2!G33</f>
        <v>1</v>
      </c>
      <c r="H32" s="19">
        <f>CosteoIndividual2!AA33</f>
        <v>44000</v>
      </c>
      <c r="I32" s="19">
        <f>CosteoIndividual2!AB33</f>
        <v>44000</v>
      </c>
      <c r="J32" s="18" t="str">
        <f>+CosteoIndividual2!AC33</f>
        <v>FDLB-ES-C-086-2026</v>
      </c>
      <c r="K32" s="16">
        <f>CosteoIndividual2!AD33</f>
        <v>1000</v>
      </c>
      <c r="L32" s="15">
        <f>CosteoIndividual2!AE33</f>
        <v>2.2727272727272728E-2</v>
      </c>
      <c r="M32" s="3" t="str">
        <f t="shared" si="0"/>
        <v>Promedio</v>
      </c>
      <c r="N32" s="21"/>
    </row>
    <row r="33" spans="2:14" s="4" customFormat="1" ht="28.5" customHeight="1">
      <c r="B33" s="17">
        <f>CosteoIndividual2!B34</f>
        <v>28</v>
      </c>
      <c r="C33" s="11" t="str">
        <f>CosteoIndividual2!C34</f>
        <v>Suministro Rastrillo</v>
      </c>
      <c r="D33" s="11" t="str">
        <f>CosteoIndividual2!D34</f>
        <v>Escoba Plástica De 18 Dientes Con Mango</v>
      </c>
      <c r="E33" s="11" t="str">
        <f>CosteoIndividual2!E34</f>
        <v>Rastrillo metálico o plástico reforzado, con mango resistente, adecuado para nivelación de suelo y recolección de hojas o material vegetal.</v>
      </c>
      <c r="F33" s="18" t="str">
        <f>CosteoIndividual2!F34</f>
        <v>UN</v>
      </c>
      <c r="G33" s="18">
        <f>CosteoIndividual2!G34</f>
        <v>1</v>
      </c>
      <c r="H33" s="19">
        <f>CosteoIndividual2!AA34</f>
        <v>46700</v>
      </c>
      <c r="I33" s="19">
        <f>CosteoIndividual2!AB34</f>
        <v>46700</v>
      </c>
      <c r="J33" s="18" t="str">
        <f>+CosteoIndividual2!AC34</f>
        <v>FDLB-ES-C-086-2026</v>
      </c>
      <c r="K33" s="16">
        <f>CosteoIndividual2!AD34</f>
        <v>1609.3476939431082</v>
      </c>
      <c r="L33" s="15">
        <f>CosteoIndividual2!AE34</f>
        <v>3.4461406722550499E-2</v>
      </c>
      <c r="M33" s="3" t="str">
        <f t="shared" si="0"/>
        <v>Promedio</v>
      </c>
      <c r="N33" s="21"/>
    </row>
    <row r="34" spans="2:14" s="4" customFormat="1" ht="28.5" customHeight="1">
      <c r="B34" s="17">
        <f>CosteoIndividual2!B35</f>
        <v>29</v>
      </c>
      <c r="C34" s="11" t="str">
        <f>CosteoIndividual2!C35</f>
        <v>Intérprete de lenguaje de señas</v>
      </c>
      <c r="D34" s="11" t="str">
        <f>CosteoIndividual2!D35</f>
        <v>Servicio de interprete de señas con perfil como Tecnologo, tecnico o bachiller y que acredite ser intérprete de lengua de señas que cuente mínimo con dos (2) años de experiencia como intérprete. La prestacion del servicio se requiere por ocho (8) horas.</v>
      </c>
      <c r="E34" s="11" t="str">
        <f>CosteoIndividual2!E35</f>
        <v>Intérprete certificado en Lengua de Señas Colombiana (LSC), con experiencia en eventos comunitarios e institucionales, garantizando accesibilidad e inclusión de personas sordas.</v>
      </c>
      <c r="F34" s="18" t="str">
        <f>CosteoIndividual2!F35</f>
        <v>UN</v>
      </c>
      <c r="G34" s="18">
        <f>CosteoIndividual2!G35</f>
        <v>1</v>
      </c>
      <c r="H34" s="19">
        <f>CosteoIndividual2!AA35</f>
        <v>581974</v>
      </c>
      <c r="I34" s="19">
        <f>CosteoIndividual2!AB35</f>
        <v>581974</v>
      </c>
      <c r="J34" s="18" t="str">
        <f>+CosteoIndividual2!AC35</f>
        <v>FDLB-ES-C-048-2026</v>
      </c>
      <c r="K34" s="16">
        <f>CosteoIndividual2!AD35</f>
        <v>309738.43746556051</v>
      </c>
      <c r="L34" s="15">
        <f>CosteoIndividual2!AE35</f>
        <v>0.65580336057135713</v>
      </c>
      <c r="M34" s="3" t="str">
        <f t="shared" si="0"/>
        <v>Mediana</v>
      </c>
      <c r="N34" s="21"/>
    </row>
    <row r="35" spans="2:14" s="4" customFormat="1" ht="28.5" customHeight="1">
      <c r="B35" s="17">
        <f>CosteoIndividual2!B36</f>
        <v>30</v>
      </c>
      <c r="C35" s="11" t="str">
        <f>CosteoIndividual2!C36</f>
        <v>Suministro Brocha de 2"</v>
      </c>
      <c r="D35" s="11" t="str">
        <f>CosteoIndividual2!D36</f>
        <v>Suministro de una (1) brocha plana de dos (2) pulgadas (") para ser entregados conforme a la programacion establecida por la Alcaldia Local de Bosa</v>
      </c>
      <c r="E35" s="11" t="str">
        <f>CosteoIndividual2!E36</f>
        <v>Brochas de cerdas sintéticas o mixtas, resistentes a pintura vinílica o acrílica, en diferentes pulgadas (2” a 4”), aptas para acabados y detalles en superficies lisas o rugosas.</v>
      </c>
      <c r="F35" s="18" t="str">
        <f>CosteoIndividual2!F36</f>
        <v>UN</v>
      </c>
      <c r="G35" s="18">
        <f>CosteoIndividual2!G36</f>
        <v>1</v>
      </c>
      <c r="H35" s="19">
        <f>CosteoIndividual2!AA36</f>
        <v>12499</v>
      </c>
      <c r="I35" s="19">
        <f>CosteoIndividual2!AB36</f>
        <v>12499</v>
      </c>
      <c r="J35" s="18" t="str">
        <f>+CosteoIndividual2!AC36</f>
        <v>FDLB-ES-C-048-2026</v>
      </c>
      <c r="K35" s="16">
        <f>CosteoIndividual2!AD36</f>
        <v>11245.241040115849</v>
      </c>
      <c r="L35" s="15">
        <f>CosteoIndividual2!AE36</f>
        <v>0.65481273089179748</v>
      </c>
      <c r="M35" s="3" t="str">
        <f t="shared" si="0"/>
        <v>Mediana</v>
      </c>
      <c r="N35" s="21"/>
    </row>
    <row r="36" spans="2:14" s="4" customFormat="1" ht="28.5" customHeight="1">
      <c r="B36" s="17">
        <f>CosteoIndividual2!B37</f>
        <v>31</v>
      </c>
      <c r="C36" s="11" t="str">
        <f>CosteoIndividual2!C37</f>
        <v>Suministro Brocha de 4"</v>
      </c>
      <c r="D36" s="11" t="str">
        <f>CosteoIndividual2!D37</f>
        <v>Suministro de una (1) brocha plana de cuatro (4) pulgadas (") para ser entregados conforme a la programacion establecida por la Alcaldia Local de Bosa</v>
      </c>
      <c r="E36" s="11" t="str">
        <f>CosteoIndividual2!E37</f>
        <v>Brochas de cerdas sintéticas o mixtas, resistentes a pintura vinílica o acrílica, en diferentes pulgadas (2” a 4”), aptas para acabados y detalles en superficies lisas o rugosas.</v>
      </c>
      <c r="F36" s="18" t="str">
        <f>CosteoIndividual2!F37</f>
        <v>UN</v>
      </c>
      <c r="G36" s="18">
        <f>CosteoIndividual2!G37</f>
        <v>1</v>
      </c>
      <c r="H36" s="19">
        <f>CosteoIndividual2!AA37</f>
        <v>27484</v>
      </c>
      <c r="I36" s="19">
        <f>CosteoIndividual2!AB37</f>
        <v>27484</v>
      </c>
      <c r="J36" s="18" t="str">
        <f>+CosteoIndividual2!AC37</f>
        <v>FDLB-ES-C-048-2026</v>
      </c>
      <c r="K36" s="16">
        <f>CosteoIndividual2!AD37</f>
        <v>24147.980826650211</v>
      </c>
      <c r="L36" s="15">
        <f>CosteoIndividual2!AE37</f>
        <v>0.6320713053494772</v>
      </c>
      <c r="M36" s="3" t="str">
        <f t="shared" si="0"/>
        <v>Mediana</v>
      </c>
      <c r="N36" s="21"/>
    </row>
    <row r="37" spans="2:14" s="4" customFormat="1" ht="28.5" customHeight="1">
      <c r="B37" s="17">
        <f>CosteoIndividual2!B38</f>
        <v>32</v>
      </c>
      <c r="C37" s="11" t="str">
        <f>CosteoIndividual2!C38</f>
        <v>Suministro Rodillo 4"</v>
      </c>
      <c r="D37" s="11" t="str">
        <f>CosteoIndividual2!D38</f>
        <v>Suministro de rodillo de cuatro (4) pulgadas (") de felpa acrilica para ser entregado conforme a la programacion establecida por la Alcladia Local de Bosa</v>
      </c>
      <c r="E37" s="11" t="str">
        <f>CosteoIndividual2!E38</f>
        <v>Rodillos con felpa de buena absorción y estructura metálica resistente, adecuados para superficies amplias (muros, paredes), compatibles con pintura base agua.</v>
      </c>
      <c r="F37" s="18" t="str">
        <f>CosteoIndividual2!F38</f>
        <v>UN</v>
      </c>
      <c r="G37" s="18">
        <f>CosteoIndividual2!G38</f>
        <v>1</v>
      </c>
      <c r="H37" s="19">
        <f>CosteoIndividual2!AA38</f>
        <v>17749</v>
      </c>
      <c r="I37" s="19">
        <f>CosteoIndividual2!AB38</f>
        <v>17749</v>
      </c>
      <c r="J37" s="18" t="str">
        <f>+CosteoIndividual2!AC38</f>
        <v>FDLB-ES-C-048-2026</v>
      </c>
      <c r="K37" s="16">
        <f>CosteoIndividual2!AD38</f>
        <v>13661.99583246914</v>
      </c>
      <c r="L37" s="15">
        <f>CosteoIndividual2!AE38</f>
        <v>0.5862008246232715</v>
      </c>
      <c r="M37" s="3" t="str">
        <f t="shared" si="0"/>
        <v>Mediana</v>
      </c>
      <c r="N37" s="21"/>
    </row>
    <row r="38" spans="2:14" s="4" customFormat="1" ht="28.5" customHeight="1">
      <c r="B38" s="17">
        <f>CosteoIndividual2!B39</f>
        <v>33</v>
      </c>
      <c r="C38" s="11" t="str">
        <f>CosteoIndividual2!C39</f>
        <v xml:space="preserve">Suministro Guantes de carnaza </v>
      </c>
      <c r="D38" s="11" t="str">
        <f>CosteoIndividual2!D39</f>
        <v xml:space="preserve">Guantes de carnaza </v>
      </c>
      <c r="E38" s="11" t="str">
        <f>CosteoIndividual2!E39</f>
        <v>Guantes  material resistente a pinturas base agua o base solvente, talla estándar o surtida, que garanticen protección de manos durante jornadas de embellecimiento o intervención comunitaria.</v>
      </c>
      <c r="F38" s="18" t="str">
        <f>CosteoIndividual2!F39</f>
        <v>UN</v>
      </c>
      <c r="G38" s="18">
        <f>CosteoIndividual2!G39</f>
        <v>1</v>
      </c>
      <c r="H38" s="19">
        <f>CosteoIndividual2!AA39</f>
        <v>36417</v>
      </c>
      <c r="I38" s="19">
        <f>CosteoIndividual2!AB39</f>
        <v>36417</v>
      </c>
      <c r="J38" s="18" t="str">
        <f>+CosteoIndividual2!AC39</f>
        <v>FDLB-ES-C-086-2026</v>
      </c>
      <c r="K38" s="16">
        <f>CosteoIndividual2!AD39</f>
        <v>520.41649986653317</v>
      </c>
      <c r="L38" s="15">
        <f>CosteoIndividual2!AE39</f>
        <v>1.429061326864622E-2</v>
      </c>
      <c r="M38" s="3" t="str">
        <f t="shared" si="0"/>
        <v>Promedio</v>
      </c>
      <c r="N38" s="21"/>
    </row>
    <row r="39" spans="2:14" s="4" customFormat="1" ht="28.5" customHeight="1">
      <c r="B39" s="17">
        <f>CosteoIndividual2!B40</f>
        <v>34</v>
      </c>
      <c r="C39" s="11" t="str">
        <f>CosteoIndividual2!C40</f>
        <v xml:space="preserve">Suministro Pala </v>
      </c>
      <c r="D39" s="11" t="str">
        <f>CosteoIndividual2!D40</f>
        <v>Pala cuadrada con mango</v>
      </c>
      <c r="E39" s="11" t="str">
        <f>CosteoIndividual2!E40</f>
        <v>Pala metálica con mango de madera o fibra resistente, apta para remoción de tierra, residuos o material vegetal en actividades de recuperación ambiental.</v>
      </c>
      <c r="F39" s="18" t="str">
        <f>CosteoIndividual2!F40</f>
        <v>UN</v>
      </c>
      <c r="G39" s="18">
        <f>CosteoIndividual2!G40</f>
        <v>1</v>
      </c>
      <c r="H39" s="19">
        <f>CosteoIndividual2!AA40</f>
        <v>52300</v>
      </c>
      <c r="I39" s="19">
        <f>CosteoIndividual2!AB40</f>
        <v>52300</v>
      </c>
      <c r="J39" s="18" t="str">
        <f>+CosteoIndividual2!AC40</f>
        <v>FDLB-ES-C-086-2026</v>
      </c>
      <c r="K39" s="16">
        <f>CosteoIndividual2!AD40</f>
        <v>2563.2011235952596</v>
      </c>
      <c r="L39" s="15">
        <f>CosteoIndividual2!AE40</f>
        <v>4.9009581713102476E-2</v>
      </c>
      <c r="M39" s="3" t="str">
        <f t="shared" si="0"/>
        <v>Promedio</v>
      </c>
      <c r="N39" s="21"/>
    </row>
    <row r="40" spans="2:14" s="4" customFormat="1" ht="28.5" customHeight="1">
      <c r="B40" s="17">
        <f>CosteoIndividual2!B41</f>
        <v>35</v>
      </c>
      <c r="C40" s="11" t="str">
        <f>CosteoIndividual2!C41</f>
        <v>Suministro Utensilios de cocina</v>
      </c>
      <c r="D40" s="11" t="str">
        <f>CosteoIndividual2!D41</f>
        <v>Utensilios de cocina ollas medianas</v>
      </c>
      <c r="E40" s="11" t="str">
        <f>CosteoIndividual2!E41</f>
        <v>Elementos aptos para preparación de alimentos comunitarios, en acero inoxidable o material resistente.</v>
      </c>
      <c r="F40" s="18" t="str">
        <f>CosteoIndividual2!F41</f>
        <v>UN</v>
      </c>
      <c r="G40" s="18">
        <f>CosteoIndividual2!G41</f>
        <v>1</v>
      </c>
      <c r="H40" s="19">
        <f>CosteoIndividual2!AA41</f>
        <v>167633</v>
      </c>
      <c r="I40" s="19">
        <f>CosteoIndividual2!AB41</f>
        <v>167633</v>
      </c>
      <c r="J40" s="18" t="str">
        <f>+CosteoIndividual2!AC41</f>
        <v>FDLB-ES-C-086-2026</v>
      </c>
      <c r="K40" s="16">
        <f>CosteoIndividual2!AD41</f>
        <v>4012.8958787057177</v>
      </c>
      <c r="L40" s="15">
        <f>CosteoIndividual2!AE41</f>
        <v>2.3938531787864689E-2</v>
      </c>
      <c r="M40" s="3" t="str">
        <f t="shared" si="0"/>
        <v>Promedio</v>
      </c>
      <c r="N40" s="21"/>
    </row>
    <row r="41" spans="2:14" s="4" customFormat="1" ht="28.5" customHeight="1">
      <c r="B41" s="17">
        <f>CosteoIndividual2!B42</f>
        <v>36</v>
      </c>
      <c r="C41" s="11" t="str">
        <f>CosteoIndividual2!C42</f>
        <v>Suministro Utensilios de cocina</v>
      </c>
      <c r="D41" s="11" t="str">
        <f>CosteoIndividual2!D42</f>
        <v xml:space="preserve">Utensilios de cocina cucharones grandes </v>
      </c>
      <c r="E41" s="11" t="str">
        <f>CosteoIndividual2!E42</f>
        <v>Elementos aptos para preparación de alimentos comunitarios, en acero inoxidable o material resistente.</v>
      </c>
      <c r="F41" s="18" t="str">
        <f>CosteoIndividual2!F42</f>
        <v>UN</v>
      </c>
      <c r="G41" s="18">
        <f>CosteoIndividual2!G42</f>
        <v>1</v>
      </c>
      <c r="H41" s="19">
        <f>CosteoIndividual2!AA42</f>
        <v>66867</v>
      </c>
      <c r="I41" s="19">
        <f>CosteoIndividual2!AB42</f>
        <v>66867</v>
      </c>
      <c r="J41" s="18" t="str">
        <f>+CosteoIndividual2!AC42</f>
        <v>FDLB-ES-C-086-2026</v>
      </c>
      <c r="K41" s="16">
        <f>CosteoIndividual2!AD42</f>
        <v>1789.7858344878398</v>
      </c>
      <c r="L41" s="15">
        <f>CosteoIndividual2!AE42</f>
        <v>2.6766488053158122E-2</v>
      </c>
      <c r="M41" s="3" t="str">
        <f t="shared" si="0"/>
        <v>Promedio</v>
      </c>
      <c r="N41" s="21"/>
    </row>
    <row r="42" spans="2:14" s="4" customFormat="1" ht="28.5" customHeight="1">
      <c r="B42" s="17">
        <f>CosteoIndividual2!B43</f>
        <v>37</v>
      </c>
      <c r="C42" s="11" t="str">
        <f>CosteoIndividual2!C43</f>
        <v>Suministro Utensilios de cocina</v>
      </c>
      <c r="D42" s="11" t="str">
        <f>CosteoIndividual2!D43</f>
        <v xml:space="preserve">Utensilios de cocina cuchillos kit de 3 de cocina </v>
      </c>
      <c r="E42" s="11" t="str">
        <f>CosteoIndividual2!E43</f>
        <v>Elementos aptos para preparación de alimentos comunitarios, en acero inoxidable o material resistente.</v>
      </c>
      <c r="F42" s="18" t="str">
        <f>CosteoIndividual2!F43</f>
        <v>UN</v>
      </c>
      <c r="G42" s="18">
        <f>CosteoIndividual2!G43</f>
        <v>1</v>
      </c>
      <c r="H42" s="19">
        <f>CosteoIndividual2!AA43</f>
        <v>121325</v>
      </c>
      <c r="I42" s="19">
        <f>CosteoIndividual2!AB43</f>
        <v>121325</v>
      </c>
      <c r="J42" s="18" t="str">
        <f>+CosteoIndividual2!AC43</f>
        <v>FDLB-ES-C-086-2026</v>
      </c>
      <c r="K42" s="16">
        <f>CosteoIndividual2!AD43</f>
        <v>3822.8752268417029</v>
      </c>
      <c r="L42" s="15">
        <f>CosteoIndividual2!AE43</f>
        <v>3.1509377513634473E-2</v>
      </c>
      <c r="M42" s="3" t="str">
        <f t="shared" si="0"/>
        <v>Promedio</v>
      </c>
      <c r="N42" s="21"/>
    </row>
    <row r="43" spans="2:14" s="4" customFormat="1" ht="28.5" customHeight="1">
      <c r="B43" s="17">
        <f>CosteoIndividual2!B44</f>
        <v>38</v>
      </c>
      <c r="C43" s="11" t="str">
        <f>CosteoIndividual2!C44</f>
        <v>Suministro Señalética</v>
      </c>
      <c r="D43" s="11" t="str">
        <f>CosteoIndividual2!D44</f>
        <v>Señaléticas en madera o madera plástica con braille</v>
      </c>
      <c r="E43" s="11" t="str">
        <f>CosteoIndividual2!E44</f>
        <v>Señales informativas resistentes a la intemperie, con texto en alto relieve y transcripción en sistema braille, instaladas en puntos estratégicos.</v>
      </c>
      <c r="F43" s="18" t="str">
        <f>CosteoIndividual2!F44</f>
        <v>UN</v>
      </c>
      <c r="G43" s="18">
        <f>CosteoIndividual2!G44</f>
        <v>1</v>
      </c>
      <c r="H43" s="19">
        <f>CosteoIndividual2!AA44</f>
        <v>291133</v>
      </c>
      <c r="I43" s="19">
        <f>CosteoIndividual2!AB44</f>
        <v>291133</v>
      </c>
      <c r="J43" s="18" t="str">
        <f>+CosteoIndividual2!AC44</f>
        <v>FDLB-ES-C-086-2026</v>
      </c>
      <c r="K43" s="16">
        <f>CosteoIndividual2!AD44</f>
        <v>10190.845565179237</v>
      </c>
      <c r="L43" s="15">
        <f>CosteoIndividual2!AE44</f>
        <v>3.5004049342268966E-2</v>
      </c>
      <c r="M43" s="3" t="str">
        <f t="shared" si="0"/>
        <v>Promedio</v>
      </c>
      <c r="N43" s="21"/>
    </row>
    <row r="44" spans="2:14" s="4" customFormat="1" ht="28.5" customHeight="1">
      <c r="B44" s="17">
        <f>CosteoIndividual2!B45</f>
        <v>39</v>
      </c>
      <c r="C44" s="11" t="str">
        <f>CosteoIndividual2!C45</f>
        <v>Suministro Servicio de tallerista - Profesional</v>
      </c>
      <c r="D44" s="11" t="str">
        <f>CosteoIndividual2!D45</f>
        <v>Prestación de servicios profesionales para el diseño, preparación, ejecución y evaluación de talleres pedagógicos, lúdicos o formativos, orientados al fortalecimiento de capacidades establecidas por la Alcaldia local de Bosa que atienda a la población objetivo del proyecto</v>
      </c>
      <c r="E44" s="11" t="str">
        <f>CosteoIndividual2!E45</f>
        <v>Profesional o líder comunitario con experiencia comprobada en metodologías participativas, encargado de orientar actividades formativas y prácticas con enfoque diferencial.</v>
      </c>
      <c r="F44" s="18" t="str">
        <f>CosteoIndividual2!F45</f>
        <v>UN</v>
      </c>
      <c r="G44" s="18">
        <f>CosteoIndividual2!G45</f>
        <v>1</v>
      </c>
      <c r="H44" s="19">
        <f>CosteoIndividual2!AA45</f>
        <v>2070600</v>
      </c>
      <c r="I44" s="19">
        <f>CosteoIndividual2!AB45</f>
        <v>2070600</v>
      </c>
      <c r="J44" s="18" t="str">
        <f>+CosteoIndividual2!AC45</f>
        <v>FDLB-ES-C-048-2026</v>
      </c>
      <c r="K44" s="16">
        <f>CosteoIndividual2!AD45</f>
        <v>1351821.3947968236</v>
      </c>
      <c r="L44" s="15">
        <f>CosteoIndividual2!AE45</f>
        <v>0.68344447717567758</v>
      </c>
      <c r="M44" s="3" t="str">
        <f t="shared" si="0"/>
        <v>Mediana</v>
      </c>
      <c r="N44" s="21"/>
    </row>
    <row r="45" spans="2:14" s="4" customFormat="1" ht="28.5" customHeight="1">
      <c r="B45" s="17">
        <f>CosteoIndividual2!B46</f>
        <v>40</v>
      </c>
      <c r="C45" s="11" t="str">
        <f>CosteoIndividual2!C46</f>
        <v>Compartir de alimento propio </v>
      </c>
      <c r="D45" s="11" t="str">
        <f>CosteoIndividual2!D46</f>
        <v>Alimento preparado por cada comunidad de acuerdo a los usos y costumbres propios</v>
      </c>
      <c r="E45" s="11" t="str">
        <f>CosteoIndividual2!E46</f>
        <v>Servicio de alimentación compuesto por preparaciones representativas del proceso cultural o comunitario desarrollado en el marco del proyecto, elaboradas con ingredientes aptos para el consumo humano y adquiridos a proveedores formalmente constituidos. La preparación, manipulación, almacenamiento y transporte deberán cumplir con la normatividad sanitaria vigente en materia de inocuidad alimentaria.</v>
      </c>
      <c r="F45" s="18" t="str">
        <f>CosteoIndividual2!F46</f>
        <v>UN</v>
      </c>
      <c r="G45" s="18">
        <f>CosteoIndividual2!G46</f>
        <v>1</v>
      </c>
      <c r="H45" s="19">
        <f>CosteoIndividual2!AA46</f>
        <v>42667</v>
      </c>
      <c r="I45" s="19">
        <f>CosteoIndividual2!AB46</f>
        <v>42667</v>
      </c>
      <c r="J45" s="18" t="str">
        <f>+CosteoIndividual2!AC46</f>
        <v>FDLB-ES-C-086-2026</v>
      </c>
      <c r="K45" s="16">
        <f>CosteoIndividual2!AD46</f>
        <v>2516.6114784235833</v>
      </c>
      <c r="L45" s="15">
        <f>CosteoIndividual2!AE46</f>
        <v>5.898308152555274E-2</v>
      </c>
      <c r="M45" s="3" t="str">
        <f t="shared" si="0"/>
        <v>Promedio</v>
      </c>
      <c r="N45" s="21"/>
    </row>
    <row r="46" spans="2:14" s="4" customFormat="1" ht="28.5" customHeight="1">
      <c r="B46" s="17">
        <f>CosteoIndividual2!B47</f>
        <v>41</v>
      </c>
      <c r="C46" s="11" t="str">
        <f>CosteoIndividual2!C47</f>
        <v>Suministro Gorras</v>
      </c>
      <c r="D46" s="11" t="str">
        <f>CosteoIndividual2!D47</f>
        <v>Gorra con parte frontal en poliéster blanco o el color requerido, cascos en malla en la parte trasera, cierre plástico. Tipo de Impresión Bordado en el Frente o impresión según indique el diseño que entregue la Alcaldía Local.</v>
      </c>
      <c r="E46" s="11" t="str">
        <f>CosteoIndividual2!E47</f>
        <v xml:space="preserve"> Incluye entrega en Bosa, Incluye gastos de entrega e impuestos (si aplica)</v>
      </c>
      <c r="F46" s="18" t="str">
        <f>CosteoIndividual2!F47</f>
        <v>UN</v>
      </c>
      <c r="G46" s="18">
        <f>CosteoIndividual2!G47</f>
        <v>1</v>
      </c>
      <c r="H46" s="19">
        <f>CosteoIndividual2!AA47</f>
        <v>12100</v>
      </c>
      <c r="I46" s="19">
        <f>CosteoIndividual2!AB47</f>
        <v>12100</v>
      </c>
      <c r="J46" s="18" t="str">
        <f>+CosteoIndividual2!AC47</f>
        <v>FDLB-ES-C-048-2026</v>
      </c>
      <c r="K46" s="16">
        <f>CosteoIndividual2!AD47</f>
        <v>252932.16133253445</v>
      </c>
      <c r="L46" s="15">
        <f>CosteoIndividual2!AE47</f>
        <v>1.588004067445848</v>
      </c>
      <c r="M46" s="3" t="str">
        <f t="shared" si="0"/>
        <v>Mediana</v>
      </c>
      <c r="N46" s="21"/>
    </row>
    <row r="47" spans="2:14" s="4" customFormat="1" ht="28.5" customHeight="1">
      <c r="B47" s="17">
        <f>CosteoIndividual2!B48</f>
        <v>42</v>
      </c>
      <c r="C47" s="11" t="str">
        <f>CosteoIndividual2!C48</f>
        <v>SUMINISTRO AFICHES</v>
      </c>
      <c r="D47" s="11" t="str">
        <f>CosteoIndividual2!D48</f>
        <v>SUMINISTRO  DE MIL (1.000) AFICHES EN TAMAÑO 33 CM DE ANCHO X 48 CM DE ALTO, IMPRESIÓN A CUATRICROMÍA (4X0) EN PAPEL PROPALCOLTE DE  DOSCIENTOS (200) GRAMOS SEGÚN EL DISEÑO ENTREGADO POR LA ALCALDÍA LOCAL DE BOSA. LA IMPRESIÓN DEBE SER DE ALTA CALIDAD GARANTIZANDO QUE LOS DETALLES SEAN NÍTIDOS, CON BUENOS CORTES EN LOS PERFILES Y EXCELENTE PRESENTACIÓN ESTÉTICA.</v>
      </c>
      <c r="E47" s="11" t="str">
        <f>CosteoIndividual2!E48</f>
        <v xml:space="preserve"> Incluye entrega en Bosa, Incluye gastos de entrega e impuestos (si aplica)</v>
      </c>
      <c r="F47" s="18" t="str">
        <f>CosteoIndividual2!F48</f>
        <v>UN</v>
      </c>
      <c r="G47" s="18">
        <f>CosteoIndividual2!G48</f>
        <v>1</v>
      </c>
      <c r="H47" s="19">
        <f>CosteoIndividual2!AA48</f>
        <v>2521984</v>
      </c>
      <c r="I47" s="19">
        <f>CosteoIndividual2!AB48</f>
        <v>2521984</v>
      </c>
      <c r="J47" s="18" t="str">
        <f>+CosteoIndividual2!AC48</f>
        <v>FDLB-ES-C-048-2026</v>
      </c>
      <c r="K47" s="16">
        <f>CosteoIndividual2!AD48</f>
        <v>0</v>
      </c>
      <c r="L47" s="15">
        <f>CosteoIndividual2!AE48</f>
        <v>0</v>
      </c>
      <c r="M47" s="3" t="str">
        <f t="shared" si="0"/>
        <v>Promedio</v>
      </c>
      <c r="N47" s="21"/>
    </row>
    <row r="48" spans="2:14" ht="27" customHeight="1">
      <c r="C48" s="13"/>
      <c r="G48" s="60" t="s">
        <v>12</v>
      </c>
      <c r="H48" s="60"/>
      <c r="I48" s="24">
        <f>SUM(I6:I47)</f>
        <v>145728343</v>
      </c>
      <c r="M48" s="1"/>
      <c r="N48" s="1"/>
    </row>
    <row r="49" spans="3:14" ht="15" customHeight="1">
      <c r="C49" s="13"/>
      <c r="J49" s="1"/>
      <c r="K49" s="1"/>
      <c r="L49" s="1"/>
      <c r="M49" s="1"/>
      <c r="N49" s="1"/>
    </row>
    <row r="50" spans="3:14" ht="15" customHeight="1">
      <c r="C50" s="13"/>
    </row>
    <row r="51" spans="3:14" ht="15" customHeight="1">
      <c r="C51" s="13"/>
      <c r="H51" s="12"/>
      <c r="I51" s="5"/>
      <c r="J51" s="12"/>
      <c r="K51" s="5"/>
      <c r="L51" s="12"/>
      <c r="M51" s="5"/>
    </row>
    <row r="52" spans="3:14" ht="15" customHeight="1">
      <c r="C52" s="14"/>
      <c r="H52" s="12"/>
      <c r="I52" s="5"/>
      <c r="J52" s="12"/>
      <c r="K52" s="5"/>
      <c r="L52" s="12"/>
      <c r="M52" s="5"/>
    </row>
    <row r="53" spans="3:14" ht="15" customHeight="1">
      <c r="C53" s="14"/>
      <c r="H53" s="12"/>
      <c r="I53" s="5"/>
      <c r="J53" s="12"/>
      <c r="K53" s="5"/>
      <c r="L53" s="12"/>
      <c r="M53" s="5"/>
    </row>
    <row r="54" spans="3:14" ht="15" customHeight="1">
      <c r="C54" s="14"/>
      <c r="H54" s="12"/>
      <c r="I54" s="5"/>
      <c r="J54" s="12"/>
      <c r="K54" s="5"/>
      <c r="L54" s="12"/>
      <c r="M54" s="5"/>
    </row>
    <row r="55" spans="3:14" ht="15" customHeight="1">
      <c r="C55" s="14"/>
      <c r="H55" s="12"/>
      <c r="I55" s="5"/>
      <c r="J55" s="12"/>
      <c r="K55" s="5"/>
      <c r="L55" s="12"/>
      <c r="M55" s="5"/>
    </row>
    <row r="56" spans="3:14" ht="15" customHeight="1">
      <c r="C56" s="14"/>
      <c r="H56" s="12"/>
      <c r="I56" s="5"/>
      <c r="J56" s="12"/>
      <c r="K56" s="5"/>
      <c r="L56" s="12"/>
      <c r="M56" s="5"/>
    </row>
    <row r="57" spans="3:14" ht="15" customHeight="1">
      <c r="C57" s="14"/>
      <c r="H57" s="12"/>
      <c r="I57" s="5"/>
      <c r="J57" s="12"/>
      <c r="K57" s="5"/>
      <c r="L57" s="12"/>
      <c r="M57" s="5"/>
    </row>
    <row r="58" spans="3:14" ht="15" customHeight="1">
      <c r="C58" s="14"/>
      <c r="H58" s="12"/>
      <c r="I58" s="5"/>
      <c r="J58" s="12"/>
      <c r="K58" s="5"/>
      <c r="L58" s="12"/>
      <c r="M58" s="5"/>
    </row>
    <row r="59" spans="3:14" ht="15" customHeight="1">
      <c r="C59" s="14"/>
      <c r="H59" s="12"/>
      <c r="I59" s="5"/>
      <c r="J59" s="12"/>
      <c r="K59" s="5"/>
      <c r="L59" s="12"/>
      <c r="M59" s="5"/>
    </row>
    <row r="60" spans="3:14" ht="15" customHeight="1">
      <c r="C60" s="14"/>
      <c r="H60" s="12"/>
      <c r="I60" s="5"/>
      <c r="J60" s="12"/>
      <c r="K60" s="5"/>
      <c r="L60" s="12"/>
      <c r="M60" s="5"/>
    </row>
    <row r="61" spans="3:14" ht="15" customHeight="1">
      <c r="C61" s="14"/>
      <c r="H61" s="12"/>
      <c r="I61" s="5"/>
      <c r="J61" s="12"/>
      <c r="K61" s="5"/>
      <c r="L61" s="12"/>
      <c r="M61" s="5"/>
    </row>
    <row r="62" spans="3:14" ht="15" customHeight="1">
      <c r="C62" s="14"/>
      <c r="H62" s="12"/>
      <c r="I62" s="5"/>
      <c r="J62" s="12"/>
      <c r="K62" s="5"/>
      <c r="L62" s="12"/>
      <c r="M62" s="5"/>
    </row>
    <row r="63" spans="3:14" ht="15" customHeight="1">
      <c r="C63" s="14"/>
      <c r="H63" s="12"/>
      <c r="I63" s="5"/>
      <c r="J63" s="12"/>
      <c r="K63" s="5"/>
      <c r="L63" s="12"/>
      <c r="M63" s="5"/>
    </row>
    <row r="64" spans="3:14" ht="15" customHeight="1">
      <c r="C64" s="14"/>
      <c r="H64" s="12"/>
      <c r="I64" s="5"/>
      <c r="J64" s="12"/>
      <c r="K64" s="5"/>
      <c r="L64" s="12"/>
      <c r="M64" s="5"/>
    </row>
    <row r="65" spans="3:13" ht="15" customHeight="1">
      <c r="C65" s="14"/>
      <c r="H65" s="12"/>
      <c r="I65" s="5"/>
      <c r="J65" s="12"/>
      <c r="K65" s="5"/>
      <c r="L65" s="12"/>
      <c r="M65" s="5"/>
    </row>
    <row r="66" spans="3:13" ht="15" customHeight="1">
      <c r="C66" s="14"/>
      <c r="H66" s="12"/>
      <c r="I66" s="5"/>
      <c r="J66" s="12"/>
      <c r="K66" s="5"/>
      <c r="L66" s="12"/>
      <c r="M66" s="5"/>
    </row>
    <row r="67" spans="3:13" ht="15" customHeight="1">
      <c r="C67" s="14"/>
      <c r="H67" s="12"/>
      <c r="I67" s="5"/>
      <c r="J67" s="12"/>
      <c r="K67" s="5"/>
      <c r="L67" s="12"/>
      <c r="M67" s="5"/>
    </row>
    <row r="68" spans="3:13" ht="15" customHeight="1">
      <c r="C68" s="14"/>
      <c r="H68" s="12"/>
      <c r="I68" s="5"/>
      <c r="J68" s="12"/>
      <c r="K68" s="5"/>
      <c r="L68" s="12"/>
      <c r="M68" s="5"/>
    </row>
    <row r="69" spans="3:13" ht="15" customHeight="1">
      <c r="C69" s="14"/>
      <c r="H69" s="12"/>
      <c r="I69" s="5"/>
      <c r="J69" s="12"/>
      <c r="K69" s="5"/>
      <c r="L69" s="12"/>
      <c r="M69" s="5"/>
    </row>
    <row r="70" spans="3:13" ht="15" customHeight="1">
      <c r="C70" s="14"/>
      <c r="H70" s="12"/>
      <c r="I70" s="5"/>
      <c r="J70" s="12"/>
      <c r="K70" s="5"/>
      <c r="L70" s="12"/>
      <c r="M70" s="5"/>
    </row>
    <row r="71" spans="3:13" ht="15" customHeight="1">
      <c r="C71" s="14"/>
      <c r="H71" s="12"/>
      <c r="I71" s="5"/>
      <c r="J71" s="12"/>
      <c r="K71" s="5"/>
      <c r="L71" s="12"/>
      <c r="M71" s="5"/>
    </row>
    <row r="72" spans="3:13" ht="15" customHeight="1">
      <c r="C72" s="14"/>
      <c r="H72" s="12"/>
      <c r="I72" s="5"/>
      <c r="J72" s="12"/>
      <c r="K72" s="5"/>
      <c r="L72" s="12"/>
      <c r="M72" s="5"/>
    </row>
    <row r="73" spans="3:13" ht="15" customHeight="1">
      <c r="C73" s="14"/>
      <c r="H73" s="12"/>
      <c r="I73" s="5"/>
      <c r="J73" s="12"/>
      <c r="K73" s="5"/>
      <c r="L73" s="12"/>
      <c r="M73" s="5"/>
    </row>
    <row r="74" spans="3:13" ht="15" customHeight="1">
      <c r="C74" s="14"/>
      <c r="H74" s="12"/>
      <c r="I74" s="5"/>
      <c r="J74" s="12"/>
      <c r="K74" s="5"/>
      <c r="L74" s="12"/>
      <c r="M74" s="5"/>
    </row>
    <row r="75" spans="3:13" ht="15" customHeight="1">
      <c r="C75" s="14"/>
      <c r="H75" s="12"/>
      <c r="I75" s="5"/>
      <c r="J75" s="12"/>
      <c r="K75" s="5"/>
      <c r="L75" s="12"/>
      <c r="M75" s="5"/>
    </row>
    <row r="76" spans="3:13" ht="15" customHeight="1">
      <c r="C76" s="14"/>
      <c r="H76" s="12"/>
      <c r="I76" s="5"/>
      <c r="J76" s="12"/>
      <c r="K76" s="5"/>
      <c r="L76" s="12"/>
      <c r="M76" s="5"/>
    </row>
    <row r="77" spans="3:13" ht="15" customHeight="1">
      <c r="C77" s="14"/>
      <c r="H77" s="12"/>
      <c r="I77" s="5"/>
      <c r="J77" s="12"/>
      <c r="K77" s="5"/>
      <c r="L77" s="12"/>
      <c r="M77" s="5"/>
    </row>
    <row r="78" spans="3:13" ht="15" customHeight="1">
      <c r="C78" s="14"/>
    </row>
  </sheetData>
  <mergeCells count="2">
    <mergeCell ref="B3:L3"/>
    <mergeCell ref="G48:H4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CA0BB-21F5-4158-A596-347656B864D6}">
  <dimension ref="C5:D8"/>
  <sheetViews>
    <sheetView workbookViewId="0">
      <selection activeCell="F2" sqref="F2"/>
    </sheetView>
  </sheetViews>
  <sheetFormatPr defaultColWidth="11.42578125" defaultRowHeight="15"/>
  <sheetData>
    <row r="5" spans="3:4">
      <c r="C5" t="s">
        <v>13</v>
      </c>
    </row>
    <row r="7" spans="3:4">
      <c r="C7" t="s">
        <v>14</v>
      </c>
      <c r="D7">
        <v>3099</v>
      </c>
    </row>
    <row r="8" spans="3:4">
      <c r="C8" t="s">
        <v>15</v>
      </c>
      <c r="D8">
        <v>3</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CBD6-7FA1-4CF5-8185-35E416DF0528}">
  <dimension ref="B2:AO48"/>
  <sheetViews>
    <sheetView showGridLines="0" topLeftCell="U8" zoomScale="131" zoomScaleNormal="60" workbookViewId="0">
      <selection activeCell="AA9" sqref="AA9:AB9"/>
    </sheetView>
  </sheetViews>
  <sheetFormatPr defaultColWidth="11.42578125" defaultRowHeight="15"/>
  <cols>
    <col min="1" max="1" width="5.42578125" style="26" customWidth="1"/>
    <col min="2" max="2" width="6.7109375" style="26" bestFit="1" customWidth="1"/>
    <col min="3" max="3" width="25.42578125" style="26" customWidth="1"/>
    <col min="4" max="4" width="37.85546875" style="26" customWidth="1"/>
    <col min="5" max="5" width="33.140625" style="26" customWidth="1"/>
    <col min="6" max="6" width="8.42578125" style="26" customWidth="1"/>
    <col min="7" max="7" width="11.42578125" style="26"/>
    <col min="8" max="8" width="11.42578125" style="26" customWidth="1"/>
    <col min="9" max="9" width="17" style="26" customWidth="1"/>
    <col min="10" max="26" width="18.42578125" style="26" customWidth="1"/>
    <col min="27" max="27" width="24" style="26" customWidth="1"/>
    <col min="28" max="28" width="21.5703125" style="26" bestFit="1" customWidth="1"/>
    <col min="29" max="29" width="40.85546875" style="26" customWidth="1"/>
    <col min="30" max="30" width="13.140625" style="27" customWidth="1"/>
    <col min="31" max="31" width="7.85546875" style="27" customWidth="1"/>
    <col min="32" max="32" width="3.7109375" style="26" customWidth="1"/>
    <col min="33" max="33" width="2.28515625" style="27" bestFit="1" customWidth="1"/>
    <col min="34" max="34" width="9.42578125" style="27" bestFit="1" customWidth="1"/>
    <col min="35" max="35" width="11.42578125" style="26"/>
    <col min="36" max="36" width="14.7109375" style="26" bestFit="1" customWidth="1"/>
    <col min="37" max="16384" width="11.42578125" style="26"/>
  </cols>
  <sheetData>
    <row r="2" spans="2:41" ht="18.75">
      <c r="B2" s="61" t="s">
        <v>16</v>
      </c>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row>
    <row r="3" spans="2:41" ht="18.75">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2:41" ht="18.75" customHeight="1">
      <c r="B4" s="25"/>
      <c r="C4" s="25"/>
      <c r="D4" s="25"/>
      <c r="E4" s="25"/>
      <c r="F4" s="25"/>
      <c r="G4" s="25"/>
      <c r="H4" s="25"/>
      <c r="I4" s="62" t="s">
        <v>17</v>
      </c>
      <c r="J4" s="63"/>
      <c r="K4" s="64"/>
      <c r="L4" s="65" t="s">
        <v>18</v>
      </c>
      <c r="M4" s="66"/>
      <c r="N4" s="66"/>
      <c r="O4" s="66"/>
      <c r="P4" s="28"/>
      <c r="Q4" s="28"/>
      <c r="R4" s="28"/>
      <c r="S4" s="28"/>
      <c r="T4" s="28"/>
      <c r="U4" s="28"/>
      <c r="V4" s="28"/>
      <c r="W4" s="28"/>
      <c r="X4" s="28"/>
      <c r="Y4" s="28"/>
      <c r="Z4" s="28"/>
      <c r="AA4" s="25"/>
      <c r="AB4" s="25"/>
      <c r="AC4" s="25"/>
      <c r="AD4" s="25"/>
      <c r="AE4" s="25"/>
    </row>
    <row r="5" spans="2:41" ht="52.5" customHeight="1">
      <c r="I5" s="29" t="s">
        <v>19</v>
      </c>
      <c r="J5" s="30" t="s">
        <v>20</v>
      </c>
      <c r="K5" s="30" t="s">
        <v>21</v>
      </c>
      <c r="L5" s="31" t="s">
        <v>22</v>
      </c>
      <c r="M5" s="31" t="s">
        <v>23</v>
      </c>
      <c r="N5" s="31" t="s">
        <v>24</v>
      </c>
      <c r="O5" s="31" t="s">
        <v>25</v>
      </c>
      <c r="P5" s="32" t="s">
        <v>26</v>
      </c>
      <c r="Q5" s="32" t="s">
        <v>27</v>
      </c>
      <c r="R5" s="32" t="s">
        <v>28</v>
      </c>
      <c r="S5" s="32" t="s">
        <v>29</v>
      </c>
      <c r="T5" s="67" t="s">
        <v>30</v>
      </c>
      <c r="U5" s="68"/>
      <c r="V5" s="68"/>
      <c r="W5" s="68"/>
      <c r="X5" s="33"/>
      <c r="Y5" s="31"/>
      <c r="Z5" s="31"/>
    </row>
    <row r="6" spans="2:41" ht="61.5" customHeight="1">
      <c r="B6" s="34" t="s">
        <v>0</v>
      </c>
      <c r="C6" s="35" t="s">
        <v>1</v>
      </c>
      <c r="D6" s="35" t="s">
        <v>31</v>
      </c>
      <c r="E6" s="35" t="s">
        <v>31</v>
      </c>
      <c r="F6" s="35" t="s">
        <v>4</v>
      </c>
      <c r="G6" s="35" t="s">
        <v>5</v>
      </c>
      <c r="H6" s="35" t="s">
        <v>32</v>
      </c>
      <c r="I6" s="36" t="s">
        <v>33</v>
      </c>
      <c r="J6" s="36" t="s">
        <v>34</v>
      </c>
      <c r="K6" s="36" t="s">
        <v>35</v>
      </c>
      <c r="L6" s="36" t="s">
        <v>36</v>
      </c>
      <c r="M6" s="36" t="s">
        <v>37</v>
      </c>
      <c r="N6" s="36" t="s">
        <v>38</v>
      </c>
      <c r="O6" s="36" t="s">
        <v>39</v>
      </c>
      <c r="P6" s="36" t="s">
        <v>40</v>
      </c>
      <c r="Q6" s="36" t="s">
        <v>41</v>
      </c>
      <c r="R6" s="36" t="s">
        <v>42</v>
      </c>
      <c r="S6" s="36" t="s">
        <v>43</v>
      </c>
      <c r="T6" s="37" t="s">
        <v>20</v>
      </c>
      <c r="U6" s="37" t="s">
        <v>44</v>
      </c>
      <c r="V6" s="37" t="s">
        <v>21</v>
      </c>
      <c r="W6" s="37" t="s">
        <v>19</v>
      </c>
      <c r="X6" s="36" t="s">
        <v>45</v>
      </c>
      <c r="Y6" s="36" t="s">
        <v>46</v>
      </c>
      <c r="Z6" s="36" t="s">
        <v>47</v>
      </c>
      <c r="AA6" s="38" t="s">
        <v>6</v>
      </c>
      <c r="AB6" s="38" t="s">
        <v>7</v>
      </c>
      <c r="AC6" s="39" t="s">
        <v>8</v>
      </c>
      <c r="AD6" s="39" t="s">
        <v>9</v>
      </c>
      <c r="AE6" s="39" t="s">
        <v>10</v>
      </c>
      <c r="AF6" s="40"/>
      <c r="AG6" s="39" t="s">
        <v>48</v>
      </c>
      <c r="AH6" s="39" t="s">
        <v>49</v>
      </c>
      <c r="AJ6" s="36" t="s">
        <v>50</v>
      </c>
      <c r="AK6" s="36" t="s">
        <v>51</v>
      </c>
      <c r="AL6" s="36" t="s">
        <v>52</v>
      </c>
    </row>
    <row r="7" spans="2:41" ht="24.95" customHeight="1">
      <c r="B7" s="41">
        <v>1</v>
      </c>
      <c r="C7" s="42" t="s">
        <v>53</v>
      </c>
      <c r="D7" s="43" t="s">
        <v>54</v>
      </c>
      <c r="E7" s="43" t="s">
        <v>55</v>
      </c>
      <c r="F7" s="44" t="s">
        <v>56</v>
      </c>
      <c r="G7" s="45">
        <v>1</v>
      </c>
      <c r="H7" s="45"/>
      <c r="I7" s="46"/>
      <c r="J7" s="46"/>
      <c r="K7" s="46"/>
      <c r="L7" s="46">
        <v>1410210</v>
      </c>
      <c r="M7" s="46">
        <v>1420796.7984</v>
      </c>
      <c r="N7" s="47">
        <v>1733900</v>
      </c>
      <c r="O7" s="47">
        <v>4419163</v>
      </c>
      <c r="P7" s="47"/>
      <c r="Q7" s="47"/>
      <c r="R7" s="47"/>
      <c r="S7" s="47"/>
      <c r="T7" s="47"/>
      <c r="U7" s="47"/>
      <c r="V7" s="47"/>
      <c r="W7" s="47"/>
      <c r="X7" s="47"/>
      <c r="Y7" s="47"/>
      <c r="Z7" s="48"/>
      <c r="AA7" s="49">
        <f>IFERROR(IF(AE7&gt;(0.15),ROUND(MEDIAN(I7:Y7),0),ROUND(AVERAGE(I7:Y7),0)),"")</f>
        <v>1577348</v>
      </c>
      <c r="AB7" s="49">
        <f>+AA7*G7</f>
        <v>1577348</v>
      </c>
      <c r="AC7" s="50" t="s">
        <v>18</v>
      </c>
      <c r="AD7" s="47">
        <f>IFERROR(STDEV(I7:Y7),"")</f>
        <v>1456524.2967857805</v>
      </c>
      <c r="AE7" s="51">
        <f>IFERROR(AD7/AVERAGE(I7:Y7),"")</f>
        <v>0.64849197723070995</v>
      </c>
      <c r="AF7" s="52"/>
      <c r="AG7" s="53">
        <f>COUNTIF(I7:Y7,"&gt;0")</f>
        <v>4</v>
      </c>
      <c r="AH7" s="54">
        <f>1-(MIN(I7:Y7)/AA7)</f>
        <v>0.10596139849925312</v>
      </c>
      <c r="AJ7" s="47">
        <v>2697000</v>
      </c>
      <c r="AK7" s="26" t="s">
        <v>57</v>
      </c>
      <c r="AL7" s="55" t="s">
        <v>58</v>
      </c>
    </row>
    <row r="8" spans="2:41" ht="24.95" customHeight="1">
      <c r="B8" s="41">
        <v>2</v>
      </c>
      <c r="C8" s="42" t="s">
        <v>59</v>
      </c>
      <c r="D8" s="43" t="s">
        <v>60</v>
      </c>
      <c r="E8" s="43" t="s">
        <v>55</v>
      </c>
      <c r="F8" s="44" t="s">
        <v>56</v>
      </c>
      <c r="G8" s="45">
        <v>1</v>
      </c>
      <c r="H8" s="45"/>
      <c r="I8" s="46"/>
      <c r="J8" s="46"/>
      <c r="K8" s="46"/>
      <c r="L8" s="46">
        <v>8449732.8000000007</v>
      </c>
      <c r="M8" s="46">
        <v>319401.7746</v>
      </c>
      <c r="N8" s="47">
        <v>393500</v>
      </c>
      <c r="O8" s="47">
        <v>283434</v>
      </c>
      <c r="P8" s="47"/>
      <c r="Q8" s="47"/>
      <c r="R8" s="47"/>
      <c r="S8" s="47"/>
      <c r="T8" s="47"/>
      <c r="U8" s="47"/>
      <c r="V8" s="47"/>
      <c r="W8" s="47"/>
      <c r="X8" s="47"/>
      <c r="Y8" s="47"/>
      <c r="Z8" s="48">
        <v>477492</v>
      </c>
      <c r="AA8" s="49">
        <f>IFERROR(IF(AE8&gt;(0.15),ROUND(MEDIAN(I8:Y8),0),ROUND(AVERAGE(I8:Y8),0)),"")</f>
        <v>356451</v>
      </c>
      <c r="AB8" s="49">
        <f>+AA8*G8</f>
        <v>356451</v>
      </c>
      <c r="AC8" s="50" t="s">
        <v>18</v>
      </c>
      <c r="AD8" s="47">
        <f t="shared" ref="AD8:AD47" si="0">IFERROR(STDEV(I8:Y8),"")</f>
        <v>4059069.1087308046</v>
      </c>
      <c r="AE8" s="51">
        <f>IFERROR(AD8/AVERAGE(I8:Y8),"")</f>
        <v>1.7188395687261624</v>
      </c>
      <c r="AF8" s="52"/>
      <c r="AG8" s="53">
        <f t="shared" ref="AG8:AG47" si="1">COUNTIF(I8:Y8,"&gt;0")</f>
        <v>4</v>
      </c>
      <c r="AH8" s="54">
        <f>1-(MIN(I8:Y8)/AA8)</f>
        <v>0.20484442461937269</v>
      </c>
      <c r="AJ8" s="47"/>
    </row>
    <row r="9" spans="2:41" ht="24.95" customHeight="1">
      <c r="B9" s="41">
        <v>3</v>
      </c>
      <c r="C9" s="42" t="s">
        <v>61</v>
      </c>
      <c r="D9" s="43" t="s">
        <v>62</v>
      </c>
      <c r="E9" s="43" t="s">
        <v>63</v>
      </c>
      <c r="F9" s="44" t="s">
        <v>56</v>
      </c>
      <c r="G9" s="45">
        <v>1</v>
      </c>
      <c r="H9" s="45"/>
      <c r="I9" s="46"/>
      <c r="J9" s="46"/>
      <c r="K9" s="46"/>
      <c r="L9" s="46">
        <v>12926921.699999999</v>
      </c>
      <c r="M9" s="46">
        <v>376808.15381599998</v>
      </c>
      <c r="N9" s="47">
        <v>461800</v>
      </c>
      <c r="O9" s="47">
        <v>356185.04</v>
      </c>
      <c r="P9" s="47"/>
      <c r="Q9" s="47"/>
      <c r="R9" s="47"/>
      <c r="S9" s="47"/>
      <c r="T9" s="47"/>
      <c r="U9" s="47"/>
      <c r="V9" s="47"/>
      <c r="W9" s="47"/>
      <c r="X9" s="47"/>
      <c r="Y9" s="47"/>
      <c r="Z9" s="48"/>
      <c r="AA9" s="49">
        <f>IFERROR(IF(AE9&gt;(0.15),ROUND(MEDIAN(I9:Y9),0),ROUND(AVERAGE(I9:Y9),0)),"")</f>
        <v>419304</v>
      </c>
      <c r="AB9" s="49">
        <f>+AA9*G9</f>
        <v>419304</v>
      </c>
      <c r="AC9" s="50" t="s">
        <v>18</v>
      </c>
      <c r="AD9" s="47">
        <f t="shared" si="0"/>
        <v>6264495.4082478909</v>
      </c>
      <c r="AE9" s="51">
        <f>IFERROR(AD9/AVERAGE(I9:Y9),"")</f>
        <v>1.7744290846690749</v>
      </c>
      <c r="AF9" s="52"/>
      <c r="AG9" s="53">
        <f t="shared" si="1"/>
        <v>4</v>
      </c>
      <c r="AH9" s="54">
        <f>1-(MIN(I9:Y9)/AA9)</f>
        <v>0.15053269227100152</v>
      </c>
      <c r="AJ9" s="47"/>
    </row>
    <row r="10" spans="2:41" ht="24.95" customHeight="1">
      <c r="B10" s="41">
        <v>4</v>
      </c>
      <c r="C10" s="42" t="s">
        <v>64</v>
      </c>
      <c r="D10" s="43" t="s">
        <v>65</v>
      </c>
      <c r="E10" s="43" t="s">
        <v>66</v>
      </c>
      <c r="F10" s="44" t="s">
        <v>56</v>
      </c>
      <c r="G10" s="45">
        <v>1</v>
      </c>
      <c r="H10" s="45"/>
      <c r="I10" s="46"/>
      <c r="J10" s="46"/>
      <c r="K10" s="46"/>
      <c r="L10" s="46">
        <v>12926921.699999999</v>
      </c>
      <c r="M10" s="46">
        <v>376808.15381599998</v>
      </c>
      <c r="N10" s="47">
        <v>461800</v>
      </c>
      <c r="O10" s="47">
        <v>356185.04</v>
      </c>
      <c r="P10" s="47"/>
      <c r="Q10" s="47"/>
      <c r="R10" s="47"/>
      <c r="S10" s="47"/>
      <c r="T10" s="47"/>
      <c r="U10" s="47"/>
      <c r="V10" s="47"/>
      <c r="W10" s="47"/>
      <c r="X10" s="47">
        <v>1907</v>
      </c>
      <c r="Y10" s="47"/>
      <c r="Z10" s="48"/>
      <c r="AA10" s="49">
        <f>IFERROR(IF(AE10&gt;(0.15),ROUND(MEDIAN(I10:Y10),0),ROUND(AVERAGE(I10:Y10),0)),"")</f>
        <v>376808</v>
      </c>
      <c r="AB10" s="49">
        <f>+AA10*G10</f>
        <v>376808</v>
      </c>
      <c r="AC10" s="50" t="s">
        <v>18</v>
      </c>
      <c r="AD10" s="47">
        <f t="shared" si="0"/>
        <v>5650046.0308343107</v>
      </c>
      <c r="AE10" s="51">
        <f>IFERROR(AD10/AVERAGE(I10:Y10),"")</f>
        <v>2.0002114448094126</v>
      </c>
      <c r="AF10" s="52"/>
      <c r="AG10" s="53">
        <f t="shared" si="1"/>
        <v>5</v>
      </c>
      <c r="AH10" s="54">
        <f>1-(MIN(I10:Y10)/AA10)</f>
        <v>0.99493906711110169</v>
      </c>
      <c r="AJ10" s="47">
        <v>1907</v>
      </c>
      <c r="AK10" s="26" t="s">
        <v>67</v>
      </c>
      <c r="AL10" s="55" t="s">
        <v>68</v>
      </c>
    </row>
    <row r="11" spans="2:41" ht="24.95" customHeight="1">
      <c r="B11" s="41">
        <v>5</v>
      </c>
      <c r="C11" s="42" t="s">
        <v>69</v>
      </c>
      <c r="D11" s="43" t="s">
        <v>70</v>
      </c>
      <c r="E11" s="43" t="s">
        <v>55</v>
      </c>
      <c r="F11" s="44" t="s">
        <v>56</v>
      </c>
      <c r="G11" s="45">
        <v>1</v>
      </c>
      <c r="H11" s="45"/>
      <c r="I11" s="46"/>
      <c r="J11" s="46"/>
      <c r="K11" s="46"/>
      <c r="L11" s="46">
        <v>135235.1</v>
      </c>
      <c r="M11" s="46">
        <v>65885.413195368004</v>
      </c>
      <c r="N11" s="47">
        <v>80200</v>
      </c>
      <c r="O11" s="47">
        <v>59560.127639999999</v>
      </c>
      <c r="P11" s="47"/>
      <c r="Q11" s="47"/>
      <c r="R11" s="47"/>
      <c r="S11" s="47"/>
      <c r="T11" s="56">
        <v>23956</v>
      </c>
      <c r="U11" s="56">
        <v>24408</v>
      </c>
      <c r="V11" s="56">
        <v>20114</v>
      </c>
      <c r="W11" s="56">
        <v>21922</v>
      </c>
      <c r="X11" s="48">
        <f>17899*1.051</f>
        <v>18811.848999999998</v>
      </c>
      <c r="Y11" s="47"/>
      <c r="Z11" s="48"/>
      <c r="AA11" s="49">
        <f>IFERROR(IF(AE11&gt;(0.15),ROUND(MEDIAN(I11:Y11),0),ROUND(AVERAGE(I11:Y11),0)),"")</f>
        <v>24408</v>
      </c>
      <c r="AB11" s="49">
        <f>+AA11*G11</f>
        <v>24408</v>
      </c>
      <c r="AC11" s="50" t="s">
        <v>18</v>
      </c>
      <c r="AD11" s="47">
        <f t="shared" si="0"/>
        <v>39541.579314065006</v>
      </c>
      <c r="AE11" s="51">
        <f>IFERROR(AD11/AVERAGE(I11:Y11),"")</f>
        <v>0.79066907771945827</v>
      </c>
      <c r="AF11" s="52"/>
      <c r="AG11" s="53">
        <f t="shared" si="1"/>
        <v>9</v>
      </c>
      <c r="AH11" s="54">
        <f>1-(MIN(I11:Y11)/AA11)</f>
        <v>0.22927527859718133</v>
      </c>
      <c r="AJ11" s="48">
        <f>17899*1.051</f>
        <v>18811.848999999998</v>
      </c>
      <c r="AK11" s="26" t="s">
        <v>71</v>
      </c>
      <c r="AL11" s="55" t="s">
        <v>72</v>
      </c>
      <c r="AN11" s="26" t="s">
        <v>73</v>
      </c>
      <c r="AO11" s="55" t="s">
        <v>74</v>
      </c>
    </row>
    <row r="12" spans="2:41" ht="24.95" customHeight="1">
      <c r="B12" s="41">
        <v>6</v>
      </c>
      <c r="C12" s="42" t="s">
        <v>75</v>
      </c>
      <c r="D12" s="43" t="s">
        <v>76</v>
      </c>
      <c r="E12" s="43" t="s">
        <v>77</v>
      </c>
      <c r="F12" s="44" t="s">
        <v>56</v>
      </c>
      <c r="G12" s="45">
        <v>1</v>
      </c>
      <c r="H12" s="45"/>
      <c r="I12" s="46"/>
      <c r="J12" s="46"/>
      <c r="K12" s="46"/>
      <c r="L12" s="46">
        <v>4339106.4000000004</v>
      </c>
      <c r="M12" s="46">
        <v>14440.308896</v>
      </c>
      <c r="N12" s="47">
        <v>16600</v>
      </c>
      <c r="O12" s="47">
        <v>12608.32</v>
      </c>
      <c r="P12" s="47"/>
      <c r="Q12" s="47"/>
      <c r="R12" s="47"/>
      <c r="S12" s="47"/>
      <c r="T12" s="47"/>
      <c r="U12" s="47"/>
      <c r="V12" s="47"/>
      <c r="W12" s="47"/>
      <c r="X12" s="47"/>
      <c r="Y12" s="47"/>
      <c r="Z12" s="48"/>
      <c r="AA12" s="49">
        <f>IFERROR(IF(AE12&gt;(0.15),ROUND(MEDIAN(I12:Y12),0),ROUND(AVERAGE(I12:Y12),0)),"")</f>
        <v>15520</v>
      </c>
      <c r="AB12" s="49">
        <f>+AA12*G12</f>
        <v>15520</v>
      </c>
      <c r="AC12" s="50" t="s">
        <v>18</v>
      </c>
      <c r="AD12" s="47">
        <f t="shared" si="0"/>
        <v>2162279.0439677997</v>
      </c>
      <c r="AE12" s="51">
        <f>IFERROR(AD12/AVERAGE(I12:Y12),"")</f>
        <v>1.9734427589145633</v>
      </c>
      <c r="AF12" s="52"/>
      <c r="AG12" s="53">
        <f t="shared" si="1"/>
        <v>4</v>
      </c>
      <c r="AH12" s="54">
        <f>1-(MIN(I12:Y12)/AA12)</f>
        <v>0.18760824742268045</v>
      </c>
      <c r="AJ12" s="47"/>
    </row>
    <row r="13" spans="2:41" ht="24.95" customHeight="1">
      <c r="B13" s="41">
        <v>7</v>
      </c>
      <c r="C13" s="42" t="s">
        <v>78</v>
      </c>
      <c r="D13" s="43" t="s">
        <v>79</v>
      </c>
      <c r="E13" s="43" t="s">
        <v>77</v>
      </c>
      <c r="F13" s="44" t="s">
        <v>56</v>
      </c>
      <c r="G13" s="45">
        <v>1</v>
      </c>
      <c r="H13" s="45"/>
      <c r="I13" s="46"/>
      <c r="J13" s="46"/>
      <c r="K13" s="46"/>
      <c r="L13" s="46">
        <f>25285032.3/50</f>
        <v>505700.64600000001</v>
      </c>
      <c r="M13" s="46">
        <f>2181617.6096/50</f>
        <v>43632.352191999998</v>
      </c>
      <c r="N13" s="47">
        <f>2424200/50</f>
        <v>48484</v>
      </c>
      <c r="O13" s="47">
        <f>2048852/50</f>
        <v>40977.040000000001</v>
      </c>
      <c r="P13" s="47"/>
      <c r="Q13" s="47"/>
      <c r="R13" s="47"/>
      <c r="S13" s="47"/>
      <c r="T13" s="47"/>
      <c r="U13" s="47"/>
      <c r="V13" s="47"/>
      <c r="W13" s="47"/>
      <c r="X13" s="47"/>
      <c r="Y13" s="47"/>
      <c r="Z13" s="48">
        <v>35000</v>
      </c>
      <c r="AA13" s="49">
        <f>Z13</f>
        <v>35000</v>
      </c>
      <c r="AB13" s="49">
        <f>+AA13*G13</f>
        <v>35000</v>
      </c>
      <c r="AC13" s="50" t="s">
        <v>18</v>
      </c>
      <c r="AD13" s="47">
        <f t="shared" si="0"/>
        <v>230689.03006599963</v>
      </c>
      <c r="AE13" s="51">
        <f>IFERROR(AD13/AVERAGE(I13:Y13),"")</f>
        <v>1.444528384885535</v>
      </c>
      <c r="AF13" s="52"/>
      <c r="AG13" s="53">
        <f t="shared" si="1"/>
        <v>4</v>
      </c>
      <c r="AH13" s="54">
        <f>1-(MIN(I13:Y13)/AA13)</f>
        <v>-0.1707725714285715</v>
      </c>
      <c r="AI13" s="26" t="s">
        <v>80</v>
      </c>
      <c r="AJ13" s="47">
        <v>31640</v>
      </c>
      <c r="AK13" s="26" t="s">
        <v>57</v>
      </c>
      <c r="AL13" s="55" t="s">
        <v>58</v>
      </c>
    </row>
    <row r="14" spans="2:41" ht="24.95" customHeight="1">
      <c r="B14" s="41">
        <v>8</v>
      </c>
      <c r="C14" s="42" t="s">
        <v>81</v>
      </c>
      <c r="D14" s="43" t="s">
        <v>82</v>
      </c>
      <c r="E14" s="43" t="s">
        <v>77</v>
      </c>
      <c r="F14" s="44" t="s">
        <v>83</v>
      </c>
      <c r="G14" s="45">
        <v>1</v>
      </c>
      <c r="H14" s="45"/>
      <c r="I14" s="46"/>
      <c r="J14" s="46"/>
      <c r="K14" s="46"/>
      <c r="L14" s="46">
        <v>1491528.5</v>
      </c>
      <c r="M14" s="46">
        <v>10407.916799999999</v>
      </c>
      <c r="N14" s="47">
        <v>12400</v>
      </c>
      <c r="O14" s="47">
        <v>9448</v>
      </c>
      <c r="P14" s="47"/>
      <c r="Q14" s="47"/>
      <c r="R14" s="47"/>
      <c r="S14" s="47"/>
      <c r="T14" s="47"/>
      <c r="U14" s="47"/>
      <c r="V14" s="47"/>
      <c r="W14" s="47"/>
      <c r="X14" s="47"/>
      <c r="Y14" s="47"/>
      <c r="Z14" s="48">
        <v>6230</v>
      </c>
      <c r="AA14" s="49">
        <f>Z14</f>
        <v>6230</v>
      </c>
      <c r="AB14" s="49">
        <f>+AA14*G14</f>
        <v>6230</v>
      </c>
      <c r="AC14" s="50" t="s">
        <v>18</v>
      </c>
      <c r="AD14" s="47">
        <f t="shared" si="0"/>
        <v>740389.28466218291</v>
      </c>
      <c r="AE14" s="51">
        <f>IFERROR(AD14/AVERAGE(I14:Y14),"")</f>
        <v>1.9435538951553948</v>
      </c>
      <c r="AF14" s="52"/>
      <c r="AG14" s="53">
        <f t="shared" si="1"/>
        <v>4</v>
      </c>
      <c r="AH14" s="54">
        <f>1-(MIN(I14:Y14)/AA14)</f>
        <v>-0.51653290529695028</v>
      </c>
      <c r="AJ14" s="47"/>
    </row>
    <row r="15" spans="2:41" ht="24.95" customHeight="1">
      <c r="B15" s="41">
        <v>9</v>
      </c>
      <c r="C15" s="42" t="s">
        <v>84</v>
      </c>
      <c r="D15" s="43" t="s">
        <v>85</v>
      </c>
      <c r="E15" s="43" t="s">
        <v>86</v>
      </c>
      <c r="F15" s="44" t="s">
        <v>56</v>
      </c>
      <c r="G15" s="45">
        <v>1</v>
      </c>
      <c r="H15" s="45"/>
      <c r="I15" s="46"/>
      <c r="J15" s="46"/>
      <c r="K15" s="46"/>
      <c r="L15" s="46">
        <v>18591.099999999999</v>
      </c>
      <c r="M15" s="46">
        <v>16789.105199999998</v>
      </c>
      <c r="N15" s="47">
        <v>20400</v>
      </c>
      <c r="O15" s="47">
        <v>20230</v>
      </c>
      <c r="P15" s="47"/>
      <c r="Q15" s="47"/>
      <c r="R15" s="47"/>
      <c r="S15" s="47"/>
      <c r="T15" s="47"/>
      <c r="U15" s="47"/>
      <c r="V15" s="47"/>
      <c r="W15" s="47"/>
      <c r="X15" s="47"/>
      <c r="Y15" s="47"/>
      <c r="Z15" s="48">
        <v>13571</v>
      </c>
      <c r="AA15" s="49">
        <f>Z15</f>
        <v>13571</v>
      </c>
      <c r="AB15" s="49">
        <f>+AA15*G15</f>
        <v>13571</v>
      </c>
      <c r="AC15" s="50" t="s">
        <v>18</v>
      </c>
      <c r="AD15" s="47">
        <f t="shared" si="0"/>
        <v>1686.0337076642613</v>
      </c>
      <c r="AE15" s="51">
        <f>IFERROR(AD15/AVERAGE(I15:Y15),"")</f>
        <v>8.8726702064699139E-2</v>
      </c>
      <c r="AF15" s="52"/>
      <c r="AG15" s="53">
        <f t="shared" si="1"/>
        <v>4</v>
      </c>
      <c r="AH15" s="54">
        <f>1-(MIN(I15:Y15)/AA15)</f>
        <v>-0.23713102940092834</v>
      </c>
      <c r="AJ15" s="47">
        <v>16415</v>
      </c>
      <c r="AK15" s="26" t="s">
        <v>67</v>
      </c>
      <c r="AL15" s="55" t="s">
        <v>68</v>
      </c>
    </row>
    <row r="16" spans="2:41" ht="24.95" customHeight="1">
      <c r="B16" s="41">
        <v>10</v>
      </c>
      <c r="C16" s="42" t="s">
        <v>87</v>
      </c>
      <c r="D16" s="43" t="s">
        <v>88</v>
      </c>
      <c r="E16" s="43" t="s">
        <v>86</v>
      </c>
      <c r="F16" s="44" t="s">
        <v>56</v>
      </c>
      <c r="G16" s="45">
        <v>1</v>
      </c>
      <c r="H16" s="45"/>
      <c r="I16" s="46"/>
      <c r="J16" s="46"/>
      <c r="K16" s="46"/>
      <c r="L16" s="46">
        <v>26827.200000000001</v>
      </c>
      <c r="M16" s="46">
        <v>22811.821499999998</v>
      </c>
      <c r="N16" s="47">
        <v>26300</v>
      </c>
      <c r="O16" s="47">
        <v>24990</v>
      </c>
      <c r="P16" s="47"/>
      <c r="Q16" s="47"/>
      <c r="R16" s="47"/>
      <c r="S16" s="47"/>
      <c r="T16" s="47"/>
      <c r="U16" s="47"/>
      <c r="V16" s="47"/>
      <c r="W16" s="47"/>
      <c r="X16" s="47"/>
      <c r="Y16" s="47"/>
      <c r="Z16" s="48">
        <v>16938</v>
      </c>
      <c r="AA16" s="49">
        <f>Z16</f>
        <v>16938</v>
      </c>
      <c r="AB16" s="49">
        <f>+AA16*G16</f>
        <v>16938</v>
      </c>
      <c r="AC16" s="50" t="s">
        <v>18</v>
      </c>
      <c r="AD16" s="47">
        <f t="shared" si="0"/>
        <v>1788.9582397768727</v>
      </c>
      <c r="AE16" s="51">
        <f>IFERROR(AD16/AVERAGE(I16:Y16),"")</f>
        <v>7.0899656538406949E-2</v>
      </c>
      <c r="AF16" s="52"/>
      <c r="AG16" s="53">
        <f t="shared" si="1"/>
        <v>4</v>
      </c>
      <c r="AH16" s="54">
        <f>1-(MIN(I16:Y16)/AA16)</f>
        <v>-0.34678365214311002</v>
      </c>
      <c r="AJ16" s="47">
        <v>21545</v>
      </c>
      <c r="AK16" s="26" t="s">
        <v>67</v>
      </c>
      <c r="AL16" s="55" t="s">
        <v>68</v>
      </c>
    </row>
    <row r="17" spans="2:38" ht="24.95" customHeight="1">
      <c r="B17" s="41">
        <v>11</v>
      </c>
      <c r="C17" s="42" t="s">
        <v>89</v>
      </c>
      <c r="D17" s="43" t="s">
        <v>90</v>
      </c>
      <c r="E17" s="43" t="s">
        <v>91</v>
      </c>
      <c r="F17" s="44" t="s">
        <v>56</v>
      </c>
      <c r="G17" s="45">
        <v>1</v>
      </c>
      <c r="H17" s="45"/>
      <c r="I17" s="46"/>
      <c r="J17" s="46"/>
      <c r="K17" s="46"/>
      <c r="L17" s="46">
        <v>34838.1</v>
      </c>
      <c r="M17" s="46">
        <v>30639.803</v>
      </c>
      <c r="N17" s="47">
        <v>36700</v>
      </c>
      <c r="O17" s="47">
        <v>29153</v>
      </c>
      <c r="P17" s="47"/>
      <c r="Q17" s="47"/>
      <c r="R17" s="47"/>
      <c r="S17" s="47"/>
      <c r="T17" s="47"/>
      <c r="U17" s="47"/>
      <c r="V17" s="47"/>
      <c r="W17" s="47"/>
      <c r="X17" s="47"/>
      <c r="Y17" s="47"/>
      <c r="Z17" s="48">
        <v>42711</v>
      </c>
      <c r="AA17" s="49">
        <f>IFERROR(IF(AE17&gt;(0.15),ROUND(MEDIAN(I17:Y17),0),ROUND(AVERAGE(I17:Y17),0)),"")</f>
        <v>32833</v>
      </c>
      <c r="AB17" s="49">
        <f>+AA17*G17</f>
        <v>32833</v>
      </c>
      <c r="AC17" s="50" t="s">
        <v>18</v>
      </c>
      <c r="AD17" s="47">
        <f t="shared" si="0"/>
        <v>3527.3515933797862</v>
      </c>
      <c r="AE17" s="51">
        <f>IFERROR(AD17/AVERAGE(I17:Y17),"")</f>
        <v>0.10743401629941694</v>
      </c>
      <c r="AF17" s="52"/>
      <c r="AG17" s="53">
        <f t="shared" si="1"/>
        <v>4</v>
      </c>
      <c r="AH17" s="54">
        <f>1-(MIN(I17:Y17)/AA17)</f>
        <v>0.11208235616605244</v>
      </c>
      <c r="AJ17" s="47">
        <v>34066</v>
      </c>
      <c r="AK17" s="26" t="s">
        <v>67</v>
      </c>
      <c r="AL17" s="55" t="s">
        <v>68</v>
      </c>
    </row>
    <row r="18" spans="2:38" ht="24.95" customHeight="1">
      <c r="B18" s="41">
        <v>12</v>
      </c>
      <c r="C18" s="42" t="s">
        <v>92</v>
      </c>
      <c r="D18" s="43" t="s">
        <v>93</v>
      </c>
      <c r="E18" s="43" t="s">
        <v>55</v>
      </c>
      <c r="F18" s="44" t="s">
        <v>56</v>
      </c>
      <c r="G18" s="45">
        <v>1</v>
      </c>
      <c r="H18" s="45"/>
      <c r="I18" s="46"/>
      <c r="J18" s="46"/>
      <c r="K18" s="46"/>
      <c r="L18" s="46"/>
      <c r="M18" s="46"/>
      <c r="N18" s="46"/>
      <c r="O18" s="46"/>
      <c r="P18" s="57">
        <f>50000000*1.051</f>
        <v>52550000</v>
      </c>
      <c r="Q18" s="48">
        <f>2000000*1.051</f>
        <v>2102000</v>
      </c>
      <c r="R18" s="48">
        <f>2500000*1.051</f>
        <v>2627500</v>
      </c>
      <c r="S18" s="48">
        <f>12000000*1.051</f>
        <v>12612000</v>
      </c>
      <c r="T18" s="48"/>
      <c r="U18" s="48"/>
      <c r="V18" s="48"/>
      <c r="W18" s="48"/>
      <c r="X18" s="48"/>
      <c r="Y18" s="46"/>
      <c r="Z18" s="48">
        <v>1190574</v>
      </c>
      <c r="AA18" s="49">
        <f>Z18</f>
        <v>1190574</v>
      </c>
      <c r="AB18" s="49">
        <f>+AA18*G18</f>
        <v>1190574</v>
      </c>
      <c r="AC18" s="50" t="s">
        <v>17</v>
      </c>
      <c r="AD18" s="47">
        <f t="shared" si="0"/>
        <v>23879431.603980161</v>
      </c>
      <c r="AE18" s="51">
        <f>IFERROR(AD18/AVERAGE(I18:Y18),"")</f>
        <v>1.36665726756359</v>
      </c>
      <c r="AF18" s="52"/>
      <c r="AG18" s="53">
        <f t="shared" si="1"/>
        <v>4</v>
      </c>
      <c r="AH18" s="54">
        <f>1-(MIN(I18:Y18)/AA18)</f>
        <v>-0.76553494364902974</v>
      </c>
      <c r="AJ18" s="47">
        <f>1134000*5</f>
        <v>5670000</v>
      </c>
      <c r="AK18" s="26" t="s">
        <v>67</v>
      </c>
      <c r="AL18" s="55" t="s">
        <v>68</v>
      </c>
    </row>
    <row r="19" spans="2:38" ht="24.95" customHeight="1">
      <c r="B19" s="41">
        <v>13</v>
      </c>
      <c r="C19" s="42" t="s">
        <v>94</v>
      </c>
      <c r="D19" s="43" t="s">
        <v>95</v>
      </c>
      <c r="E19" s="43" t="s">
        <v>63</v>
      </c>
      <c r="F19" s="44" t="s">
        <v>56</v>
      </c>
      <c r="G19" s="45">
        <v>1</v>
      </c>
      <c r="H19" s="45"/>
      <c r="I19" s="46">
        <v>10000</v>
      </c>
      <c r="J19" s="46">
        <v>9300</v>
      </c>
      <c r="K19" s="46">
        <v>9520</v>
      </c>
      <c r="L19" s="46"/>
      <c r="M19" s="46"/>
      <c r="N19" s="46"/>
      <c r="O19" s="46"/>
      <c r="P19" s="46"/>
      <c r="Q19" s="46"/>
      <c r="R19" s="46"/>
      <c r="S19" s="46"/>
      <c r="T19" s="46"/>
      <c r="U19" s="46"/>
      <c r="V19" s="46"/>
      <c r="W19" s="46"/>
      <c r="X19" s="46"/>
      <c r="Y19" s="46"/>
      <c r="Z19" s="48"/>
      <c r="AA19" s="49">
        <f>IFERROR(IF(AE19&gt;(0.15),ROUND(MEDIAN(I19:Y19),0),ROUND(AVERAGE(I19:Y19),0)),"")</f>
        <v>9607</v>
      </c>
      <c r="AB19" s="49">
        <f>+AA19*G19</f>
        <v>9607</v>
      </c>
      <c r="AC19" s="50" t="s">
        <v>17</v>
      </c>
      <c r="AD19" s="47">
        <f t="shared" si="0"/>
        <v>357.95716689756802</v>
      </c>
      <c r="AE19" s="51">
        <f>IFERROR(AD19/AVERAGE(I19:Y19),"")</f>
        <v>3.7261328962272869E-2</v>
      </c>
      <c r="AF19" s="52"/>
      <c r="AG19" s="53">
        <f t="shared" si="1"/>
        <v>3</v>
      </c>
      <c r="AH19" s="54">
        <f>1-(MIN(I19:Y19)/AA19)</f>
        <v>3.1955865514728843E-2</v>
      </c>
      <c r="AJ19" s="47"/>
      <c r="AL19" s="55"/>
    </row>
    <row r="20" spans="2:38" ht="24.95" customHeight="1">
      <c r="B20" s="41">
        <v>14</v>
      </c>
      <c r="C20" s="42" t="s">
        <v>96</v>
      </c>
      <c r="D20" s="43" t="s">
        <v>97</v>
      </c>
      <c r="E20" s="43" t="s">
        <v>98</v>
      </c>
      <c r="F20" s="44" t="s">
        <v>56</v>
      </c>
      <c r="G20" s="45">
        <v>1</v>
      </c>
      <c r="H20" s="45">
        <v>9</v>
      </c>
      <c r="I20" s="46"/>
      <c r="J20" s="46"/>
      <c r="K20" s="46"/>
      <c r="L20" s="46"/>
      <c r="M20" s="46"/>
      <c r="N20" s="46"/>
      <c r="O20" s="46"/>
      <c r="P20" s="46"/>
      <c r="Q20" s="46"/>
      <c r="R20" s="46"/>
      <c r="S20" s="46"/>
      <c r="T20" s="46"/>
      <c r="U20" s="46"/>
      <c r="V20" s="46"/>
      <c r="W20" s="46"/>
      <c r="X20" s="46"/>
      <c r="Y20" s="58">
        <f>5860000*H20</f>
        <v>52740000</v>
      </c>
      <c r="Z20" s="48"/>
      <c r="AA20" s="49">
        <f>IFERROR(IF(AE20&gt;(0.15),ROUND(MEDIAN(I20:Y20),0),ROUND(AVERAGE(I20:Y20),0)),"")</f>
        <v>52740000</v>
      </c>
      <c r="AB20" s="49">
        <f>+AA20*G20</f>
        <v>52740000</v>
      </c>
      <c r="AC20" s="50" t="s">
        <v>46</v>
      </c>
      <c r="AD20" s="47" t="str">
        <f t="shared" si="0"/>
        <v/>
      </c>
      <c r="AE20" s="51" t="str">
        <f>IFERROR(AD20/AVERAGE(I20:Y20),"")</f>
        <v/>
      </c>
      <c r="AF20" s="52"/>
      <c r="AG20" s="53">
        <f t="shared" si="1"/>
        <v>1</v>
      </c>
      <c r="AH20" s="54">
        <f>1-(MIN(I20:Y20)/AA20)</f>
        <v>0</v>
      </c>
      <c r="AJ20" s="47"/>
      <c r="AL20" s="55"/>
    </row>
    <row r="21" spans="2:38" ht="24.95" customHeight="1">
      <c r="B21" s="41">
        <v>15</v>
      </c>
      <c r="C21" s="42" t="s">
        <v>99</v>
      </c>
      <c r="D21" s="43" t="s">
        <v>100</v>
      </c>
      <c r="E21" s="43"/>
      <c r="F21" s="44" t="s">
        <v>56</v>
      </c>
      <c r="G21" s="45">
        <v>1</v>
      </c>
      <c r="H21" s="45">
        <v>7</v>
      </c>
      <c r="I21" s="46"/>
      <c r="J21" s="46"/>
      <c r="K21" s="46"/>
      <c r="L21" s="46"/>
      <c r="M21" s="46"/>
      <c r="N21" s="46"/>
      <c r="O21" s="46"/>
      <c r="P21" s="46"/>
      <c r="Q21" s="46"/>
      <c r="R21" s="46"/>
      <c r="S21" s="46"/>
      <c r="T21" s="46"/>
      <c r="U21" s="46"/>
      <c r="V21" s="46"/>
      <c r="W21" s="46"/>
      <c r="X21" s="46"/>
      <c r="Y21" s="58">
        <f>5860000*H21</f>
        <v>41020000</v>
      </c>
      <c r="Z21" s="48"/>
      <c r="AA21" s="49">
        <f>IFERROR(IF(AE21&gt;(0.15),ROUND(MEDIAN(I21:Y21),0),ROUND(AVERAGE(I21:Y21),0)),"")</f>
        <v>41020000</v>
      </c>
      <c r="AB21" s="49">
        <f>+AA21*G21</f>
        <v>41020000</v>
      </c>
      <c r="AC21" s="50" t="s">
        <v>46</v>
      </c>
      <c r="AD21" s="47"/>
      <c r="AE21" s="51"/>
      <c r="AF21" s="52"/>
      <c r="AG21" s="53"/>
      <c r="AH21" s="54"/>
      <c r="AJ21" s="47"/>
      <c r="AL21" s="55"/>
    </row>
    <row r="22" spans="2:38" ht="24.95" customHeight="1">
      <c r="B22" s="41">
        <v>16</v>
      </c>
      <c r="C22" s="42" t="s">
        <v>101</v>
      </c>
      <c r="D22" s="43" t="s">
        <v>102</v>
      </c>
      <c r="E22" s="43"/>
      <c r="F22" s="44" t="s">
        <v>56</v>
      </c>
      <c r="G22" s="45">
        <v>1</v>
      </c>
      <c r="H22" s="45">
        <v>7</v>
      </c>
      <c r="I22" s="46"/>
      <c r="J22" s="46"/>
      <c r="K22" s="46"/>
      <c r="L22" s="46"/>
      <c r="M22" s="46"/>
      <c r="N22" s="46"/>
      <c r="O22" s="46"/>
      <c r="P22" s="46"/>
      <c r="Q22" s="46"/>
      <c r="R22" s="46"/>
      <c r="S22" s="46"/>
      <c r="T22" s="46"/>
      <c r="U22" s="46"/>
      <c r="V22" s="46"/>
      <c r="W22" s="46"/>
      <c r="X22" s="46"/>
      <c r="Y22" s="58">
        <f>5860000*H22</f>
        <v>41020000</v>
      </c>
      <c r="Z22" s="48"/>
      <c r="AA22" s="49">
        <f>IFERROR(IF(AE22&gt;(0.15),ROUND(MEDIAN(I22:Y22),0),ROUND(AVERAGE(I22:Y22),0)),"")</f>
        <v>41020000</v>
      </c>
      <c r="AB22" s="49">
        <f>+AA22*G22</f>
        <v>41020000</v>
      </c>
      <c r="AC22" s="50" t="s">
        <v>46</v>
      </c>
      <c r="AD22" s="47"/>
      <c r="AE22" s="51"/>
      <c r="AF22" s="52"/>
      <c r="AG22" s="53"/>
      <c r="AH22" s="54"/>
      <c r="AJ22" s="47"/>
      <c r="AL22" s="55"/>
    </row>
    <row r="23" spans="2:38" ht="24.95" customHeight="1">
      <c r="B23" s="41">
        <v>17</v>
      </c>
      <c r="C23" s="42" t="s">
        <v>103</v>
      </c>
      <c r="D23" s="43" t="s">
        <v>104</v>
      </c>
      <c r="E23" s="43" t="s">
        <v>105</v>
      </c>
      <c r="F23" s="44" t="s">
        <v>56</v>
      </c>
      <c r="G23" s="45">
        <v>1</v>
      </c>
      <c r="H23" s="45" t="s">
        <v>106</v>
      </c>
      <c r="I23" s="46">
        <v>100000</v>
      </c>
      <c r="J23" s="46">
        <v>85000</v>
      </c>
      <c r="K23" s="46">
        <v>83300</v>
      </c>
      <c r="L23" s="46"/>
      <c r="M23" s="46"/>
      <c r="N23" s="46"/>
      <c r="O23" s="46"/>
      <c r="P23" s="46"/>
      <c r="Q23" s="46"/>
      <c r="R23" s="46"/>
      <c r="S23" s="46"/>
      <c r="T23" s="46"/>
      <c r="U23" s="46"/>
      <c r="V23" s="46"/>
      <c r="W23" s="46"/>
      <c r="X23" s="46"/>
      <c r="Y23" s="46"/>
      <c r="Z23" s="48"/>
      <c r="AA23" s="49">
        <f>IFERROR(IF(AE23&gt;(0.15),ROUND(MEDIAN(I23:Y23),0),ROUND(AVERAGE(I23:Y23),0)),"")</f>
        <v>89433</v>
      </c>
      <c r="AB23" s="49">
        <f>+AA23*G23</f>
        <v>89433</v>
      </c>
      <c r="AC23" s="50" t="s">
        <v>17</v>
      </c>
      <c r="AD23" s="47">
        <f t="shared" si="0"/>
        <v>9190.3935352809203</v>
      </c>
      <c r="AE23" s="51">
        <f>IFERROR(AD23/AVERAGE(I23:Y23),"")</f>
        <v>0.10276250691704347</v>
      </c>
      <c r="AF23" s="52"/>
      <c r="AG23" s="53">
        <f t="shared" si="1"/>
        <v>3</v>
      </c>
      <c r="AH23" s="54">
        <f>1-(MIN(I23:Y23)/AA23)</f>
        <v>6.8576476244786577E-2</v>
      </c>
      <c r="AJ23" s="47"/>
      <c r="AL23" s="55"/>
    </row>
    <row r="24" spans="2:38" ht="24.95" customHeight="1">
      <c r="B24" s="41">
        <v>18</v>
      </c>
      <c r="C24" s="42" t="s">
        <v>107</v>
      </c>
      <c r="D24" s="43" t="s">
        <v>108</v>
      </c>
      <c r="E24" s="43" t="s">
        <v>109</v>
      </c>
      <c r="F24" s="44" t="s">
        <v>56</v>
      </c>
      <c r="G24" s="45">
        <v>1</v>
      </c>
      <c r="H24" s="45"/>
      <c r="I24" s="46"/>
      <c r="J24" s="46"/>
      <c r="K24" s="46"/>
      <c r="L24" s="46">
        <v>338704.3</v>
      </c>
      <c r="M24" s="46">
        <v>387974.88400000002</v>
      </c>
      <c r="N24" s="47">
        <v>478000</v>
      </c>
      <c r="O24" s="47">
        <v>595000</v>
      </c>
      <c r="P24" s="47"/>
      <c r="Q24" s="47"/>
      <c r="R24" s="47"/>
      <c r="S24" s="47"/>
      <c r="T24" s="47"/>
      <c r="U24" s="47"/>
      <c r="V24" s="47"/>
      <c r="W24" s="47"/>
      <c r="X24" s="47">
        <v>512363</v>
      </c>
      <c r="Y24" s="46"/>
      <c r="Z24" s="48">
        <v>400830</v>
      </c>
      <c r="AA24" s="49">
        <f>Z24</f>
        <v>400830</v>
      </c>
      <c r="AB24" s="49">
        <f>+AA24*G24</f>
        <v>400830</v>
      </c>
      <c r="AC24" s="50" t="s">
        <v>18</v>
      </c>
      <c r="AD24" s="47">
        <f t="shared" si="0"/>
        <v>101442.2805136073</v>
      </c>
      <c r="AE24" s="51">
        <f>IFERROR(AD24/AVERAGE(I24:Y24),"")</f>
        <v>0.21937809183503917</v>
      </c>
      <c r="AF24" s="52"/>
      <c r="AG24" s="53">
        <f t="shared" si="1"/>
        <v>5</v>
      </c>
      <c r="AH24" s="54">
        <f>1-(MIN(I24:Y24)/AA24)</f>
        <v>0.15499264027143678</v>
      </c>
      <c r="AJ24" s="47">
        <v>512363</v>
      </c>
      <c r="AK24" s="26" t="s">
        <v>67</v>
      </c>
      <c r="AL24" s="55" t="s">
        <v>68</v>
      </c>
    </row>
    <row r="25" spans="2:38" ht="24.95" customHeight="1">
      <c r="B25" s="41">
        <v>19</v>
      </c>
      <c r="C25" s="42" t="s">
        <v>110</v>
      </c>
      <c r="D25" s="43" t="s">
        <v>111</v>
      </c>
      <c r="E25" s="43" t="s">
        <v>112</v>
      </c>
      <c r="F25" s="44" t="s">
        <v>56</v>
      </c>
      <c r="G25" s="45">
        <v>1</v>
      </c>
      <c r="H25" s="45"/>
      <c r="I25" s="46">
        <v>98000</v>
      </c>
      <c r="J25" s="46">
        <v>107600</v>
      </c>
      <c r="K25" s="46">
        <v>105000</v>
      </c>
      <c r="L25" s="46"/>
      <c r="M25" s="46"/>
      <c r="N25" s="46"/>
      <c r="O25" s="46"/>
      <c r="P25" s="46"/>
      <c r="Q25" s="46"/>
      <c r="R25" s="46"/>
      <c r="S25" s="46"/>
      <c r="T25" s="46"/>
      <c r="U25" s="46"/>
      <c r="V25" s="46"/>
      <c r="W25" s="46"/>
      <c r="X25" s="46"/>
      <c r="Y25" s="46"/>
      <c r="Z25" s="48"/>
      <c r="AA25" s="49">
        <f>IFERROR(IF(AE25&gt;(0.15),ROUND(MEDIAN(I25:Y25),0),ROUND(AVERAGE(I25:Y25),0)),"")</f>
        <v>103533</v>
      </c>
      <c r="AB25" s="49">
        <f>+AA25*G25</f>
        <v>103533</v>
      </c>
      <c r="AC25" s="50" t="s">
        <v>17</v>
      </c>
      <c r="AD25" s="47">
        <f t="shared" si="0"/>
        <v>4965.2123150307816</v>
      </c>
      <c r="AE25" s="51">
        <f>IFERROR(AD25/AVERAGE(I25:Y25),"")</f>
        <v>4.7957620557283788E-2</v>
      </c>
      <c r="AF25" s="52"/>
      <c r="AG25" s="53">
        <f t="shared" si="1"/>
        <v>3</v>
      </c>
      <c r="AH25" s="54">
        <f>1-(MIN(I25:Y25)/AA25)</f>
        <v>5.3441897752407486E-2</v>
      </c>
      <c r="AJ25" s="47"/>
    </row>
    <row r="26" spans="2:38" ht="24.95" customHeight="1">
      <c r="B26" s="41">
        <v>20</v>
      </c>
      <c r="C26" s="42" t="s">
        <v>113</v>
      </c>
      <c r="D26" s="43" t="s">
        <v>114</v>
      </c>
      <c r="E26" s="43" t="s">
        <v>115</v>
      </c>
      <c r="F26" s="44" t="s">
        <v>56</v>
      </c>
      <c r="G26" s="45">
        <v>1</v>
      </c>
      <c r="H26" s="45"/>
      <c r="I26" s="46">
        <v>82000</v>
      </c>
      <c r="J26" s="46">
        <v>79000</v>
      </c>
      <c r="K26" s="46">
        <v>77350</v>
      </c>
      <c r="L26" s="46"/>
      <c r="M26" s="46"/>
      <c r="N26" s="46"/>
      <c r="O26" s="46"/>
      <c r="P26" s="46"/>
      <c r="Q26" s="46"/>
      <c r="R26" s="46"/>
      <c r="S26" s="46"/>
      <c r="T26" s="46"/>
      <c r="U26" s="46"/>
      <c r="V26" s="46"/>
      <c r="W26" s="46"/>
      <c r="X26" s="46"/>
      <c r="Y26" s="46"/>
      <c r="Z26" s="48"/>
      <c r="AA26" s="49">
        <f>IFERROR(IF(AE26&gt;(0.15),ROUND(MEDIAN(I26:Y26),0),ROUND(AVERAGE(I26:Y26),0)),"")</f>
        <v>79450</v>
      </c>
      <c r="AB26" s="49">
        <f>+AA26*G26</f>
        <v>79450</v>
      </c>
      <c r="AC26" s="50" t="s">
        <v>17</v>
      </c>
      <c r="AD26" s="47">
        <f t="shared" si="0"/>
        <v>2357.4350468252564</v>
      </c>
      <c r="AE26" s="51">
        <f>IFERROR(AD26/AVERAGE(I26:Y26),"")</f>
        <v>2.9671932622092591E-2</v>
      </c>
      <c r="AF26" s="52"/>
      <c r="AG26" s="53">
        <f t="shared" si="1"/>
        <v>3</v>
      </c>
      <c r="AH26" s="54">
        <f>1-(MIN(I26:Y26)/AA26)</f>
        <v>2.6431718061673992E-2</v>
      </c>
      <c r="AJ26" s="47"/>
    </row>
    <row r="27" spans="2:38" ht="24.95" customHeight="1">
      <c r="B27" s="41">
        <v>21</v>
      </c>
      <c r="C27" s="42" t="s">
        <v>116</v>
      </c>
      <c r="D27" s="43" t="s">
        <v>117</v>
      </c>
      <c r="E27" s="43" t="s">
        <v>55</v>
      </c>
      <c r="F27" s="44" t="s">
        <v>56</v>
      </c>
      <c r="G27" s="45">
        <v>1</v>
      </c>
      <c r="H27" s="45"/>
      <c r="I27" s="46">
        <v>35000</v>
      </c>
      <c r="J27" s="46">
        <v>32500</v>
      </c>
      <c r="K27" s="46">
        <v>29750</v>
      </c>
      <c r="L27" s="46"/>
      <c r="M27" s="46"/>
      <c r="N27" s="46"/>
      <c r="O27" s="46"/>
      <c r="P27" s="46"/>
      <c r="Q27" s="46"/>
      <c r="R27" s="46"/>
      <c r="S27" s="46"/>
      <c r="T27" s="46"/>
      <c r="U27" s="46"/>
      <c r="V27" s="46"/>
      <c r="W27" s="46"/>
      <c r="X27" s="46"/>
      <c r="Y27" s="46"/>
      <c r="Z27" s="48"/>
      <c r="AA27" s="49">
        <f>IFERROR(IF(AE27&gt;(0.15),ROUND(MEDIAN(I27:Y27),0),ROUND(AVERAGE(I27:Y27),0)),"")</f>
        <v>32417</v>
      </c>
      <c r="AB27" s="49">
        <f>+AA27*G27</f>
        <v>32417</v>
      </c>
      <c r="AC27" s="50" t="s">
        <v>17</v>
      </c>
      <c r="AD27" s="47">
        <f t="shared" si="0"/>
        <v>2625.9918760981218</v>
      </c>
      <c r="AE27" s="51">
        <f>IFERROR(AD27/AVERAGE(I27:Y27),"")</f>
        <v>8.100746147346391E-2</v>
      </c>
      <c r="AF27" s="52"/>
      <c r="AG27" s="53">
        <f t="shared" si="1"/>
        <v>3</v>
      </c>
      <c r="AH27" s="54">
        <f>1-(MIN(I27:Y27)/AA27)</f>
        <v>8.2271647592312647E-2</v>
      </c>
      <c r="AJ27" s="47"/>
    </row>
    <row r="28" spans="2:38" ht="24.95" customHeight="1">
      <c r="B28" s="41">
        <v>22</v>
      </c>
      <c r="C28" s="42" t="s">
        <v>118</v>
      </c>
      <c r="D28" s="43" t="s">
        <v>119</v>
      </c>
      <c r="E28" s="43" t="s">
        <v>55</v>
      </c>
      <c r="F28" s="44" t="s">
        <v>56</v>
      </c>
      <c r="G28" s="45">
        <v>1</v>
      </c>
      <c r="H28" s="45"/>
      <c r="I28" s="46">
        <v>9800</v>
      </c>
      <c r="J28" s="46">
        <v>9000</v>
      </c>
      <c r="K28" s="46">
        <v>9500</v>
      </c>
      <c r="L28" s="46"/>
      <c r="M28" s="46"/>
      <c r="N28" s="46"/>
      <c r="O28" s="46"/>
      <c r="P28" s="46"/>
      <c r="Q28" s="46"/>
      <c r="R28" s="46"/>
      <c r="S28" s="46"/>
      <c r="T28" s="46"/>
      <c r="U28" s="46"/>
      <c r="V28" s="46"/>
      <c r="W28" s="46"/>
      <c r="X28" s="47">
        <v>3767</v>
      </c>
      <c r="Y28" s="46"/>
      <c r="Z28" s="48"/>
      <c r="AA28" s="49">
        <f>IFERROR(IF(AE28&gt;(0.15),ROUND(MEDIAN(I28:Y28),0),ROUND(AVERAGE(I28:Y28),0)),"")</f>
        <v>9250</v>
      </c>
      <c r="AB28" s="49">
        <f>+AA28*G28</f>
        <v>9250</v>
      </c>
      <c r="AC28" s="50" t="s">
        <v>17</v>
      </c>
      <c r="AD28" s="47">
        <f t="shared" si="0"/>
        <v>2852.3187497192525</v>
      </c>
      <c r="AE28" s="51">
        <f>IFERROR(AD28/AVERAGE(I28:Y28),"")</f>
        <v>0.35579489814691145</v>
      </c>
      <c r="AF28" s="52"/>
      <c r="AG28" s="53">
        <f t="shared" si="1"/>
        <v>4</v>
      </c>
      <c r="AH28" s="54">
        <f>1-(MIN(I28:Y28)/AA28)</f>
        <v>0.59275675675675676</v>
      </c>
      <c r="AJ28" s="47">
        <v>3767</v>
      </c>
    </row>
    <row r="29" spans="2:38" ht="24.95" customHeight="1">
      <c r="B29" s="41">
        <v>23</v>
      </c>
      <c r="C29" s="42" t="s">
        <v>120</v>
      </c>
      <c r="D29" s="43" t="s">
        <v>121</v>
      </c>
      <c r="E29" s="43" t="s">
        <v>55</v>
      </c>
      <c r="F29" s="44" t="s">
        <v>56</v>
      </c>
      <c r="G29" s="45">
        <v>1</v>
      </c>
      <c r="H29" s="45"/>
      <c r="I29" s="46">
        <v>14000</v>
      </c>
      <c r="J29" s="46">
        <v>12000</v>
      </c>
      <c r="K29" s="46">
        <v>11186</v>
      </c>
      <c r="L29" s="46"/>
      <c r="M29" s="46"/>
      <c r="N29" s="46"/>
      <c r="O29" s="46"/>
      <c r="P29" s="46"/>
      <c r="Q29" s="46"/>
      <c r="R29" s="46"/>
      <c r="S29" s="46"/>
      <c r="T29" s="46"/>
      <c r="U29" s="46"/>
      <c r="V29" s="46"/>
      <c r="W29" s="46"/>
      <c r="X29" s="47">
        <v>8500</v>
      </c>
      <c r="Y29" s="46"/>
      <c r="Z29" s="48"/>
      <c r="AA29" s="49">
        <f>IFERROR(IF(AE29&gt;(0.15),ROUND(MEDIAN(I29:Y29),0),ROUND(AVERAGE(I29:Y29),0)),"")</f>
        <v>11593</v>
      </c>
      <c r="AB29" s="49">
        <f>+AA29*G29</f>
        <v>11593</v>
      </c>
      <c r="AC29" s="50" t="s">
        <v>17</v>
      </c>
      <c r="AD29" s="47">
        <f t="shared" si="0"/>
        <v>2278.4458884657906</v>
      </c>
      <c r="AE29" s="51">
        <f>IFERROR(AD29/AVERAGE(I29:Y29),"")</f>
        <v>0.19948744809926811</v>
      </c>
      <c r="AF29" s="52"/>
      <c r="AG29" s="53">
        <f t="shared" si="1"/>
        <v>4</v>
      </c>
      <c r="AH29" s="54">
        <f>1-(MIN(I29:Y29)/AA29)</f>
        <v>0.26679893038902791</v>
      </c>
      <c r="AJ29" s="47">
        <v>8500</v>
      </c>
    </row>
    <row r="30" spans="2:38" ht="24.95" customHeight="1">
      <c r="B30" s="41">
        <v>24</v>
      </c>
      <c r="C30" s="42" t="s">
        <v>122</v>
      </c>
      <c r="D30" s="43" t="s">
        <v>123</v>
      </c>
      <c r="E30" s="43" t="s">
        <v>124</v>
      </c>
      <c r="F30" s="44" t="s">
        <v>56</v>
      </c>
      <c r="G30" s="45">
        <v>1</v>
      </c>
      <c r="H30" s="45"/>
      <c r="I30" s="46">
        <v>30000</v>
      </c>
      <c r="J30" s="46">
        <v>28000</v>
      </c>
      <c r="K30" s="46">
        <v>29900</v>
      </c>
      <c r="L30" s="46"/>
      <c r="M30" s="46"/>
      <c r="N30" s="46"/>
      <c r="O30" s="46"/>
      <c r="P30" s="46"/>
      <c r="Q30" s="46"/>
      <c r="R30" s="46"/>
      <c r="S30" s="46"/>
      <c r="T30" s="46"/>
      <c r="U30" s="46"/>
      <c r="V30" s="46"/>
      <c r="W30" s="46"/>
      <c r="X30" s="46"/>
      <c r="Y30" s="46"/>
      <c r="Z30" s="48">
        <v>62809</v>
      </c>
      <c r="AA30" s="49">
        <f>IFERROR(IF(AE30&gt;(0.15),ROUND(MEDIAN(I30:Y30),0),ROUND(AVERAGE(I30:Y30),0)),"")</f>
        <v>29300</v>
      </c>
      <c r="AB30" s="49">
        <f>+AA30*G30</f>
        <v>29300</v>
      </c>
      <c r="AC30" s="50" t="s">
        <v>17</v>
      </c>
      <c r="AD30" s="47">
        <f t="shared" si="0"/>
        <v>1126.9427669584645</v>
      </c>
      <c r="AE30" s="51">
        <f>IFERROR(AD30/AVERAGE(I30:Y30),"")</f>
        <v>3.8462210476398105E-2</v>
      </c>
      <c r="AF30" s="52"/>
      <c r="AG30" s="53">
        <f t="shared" si="1"/>
        <v>3</v>
      </c>
      <c r="AH30" s="54">
        <f>1-(MIN(I30:Y30)/AA30)</f>
        <v>4.4368600682593851E-2</v>
      </c>
      <c r="AJ30" s="47"/>
    </row>
    <row r="31" spans="2:38" ht="24.95" customHeight="1">
      <c r="B31" s="41">
        <v>25</v>
      </c>
      <c r="C31" s="42" t="s">
        <v>125</v>
      </c>
      <c r="D31" s="43" t="s">
        <v>126</v>
      </c>
      <c r="E31" s="43" t="s">
        <v>127</v>
      </c>
      <c r="F31" s="44" t="s">
        <v>56</v>
      </c>
      <c r="G31" s="45">
        <v>1</v>
      </c>
      <c r="H31" s="45"/>
      <c r="I31" s="46">
        <v>1900</v>
      </c>
      <c r="J31" s="46">
        <v>1600</v>
      </c>
      <c r="K31" s="46">
        <v>1490</v>
      </c>
      <c r="L31" s="46"/>
      <c r="M31" s="46"/>
      <c r="N31" s="46"/>
      <c r="O31" s="46"/>
      <c r="P31" s="46"/>
      <c r="Q31" s="46"/>
      <c r="R31" s="46"/>
      <c r="S31" s="46"/>
      <c r="T31" s="46"/>
      <c r="U31" s="46"/>
      <c r="V31" s="46"/>
      <c r="W31" s="46"/>
      <c r="X31" s="46"/>
      <c r="Y31" s="46"/>
      <c r="Z31" s="48"/>
      <c r="AA31" s="49">
        <f>IFERROR(IF(AE31&gt;(0.15),ROUND(MEDIAN(I31:Y31),0),ROUND(AVERAGE(I31:Y31),0)),"")</f>
        <v>1663</v>
      </c>
      <c r="AB31" s="49">
        <f>+AA31*G31</f>
        <v>1663</v>
      </c>
      <c r="AC31" s="50" t="s">
        <v>17</v>
      </c>
      <c r="AD31" s="47">
        <f t="shared" si="0"/>
        <v>212.21058723196043</v>
      </c>
      <c r="AE31" s="51">
        <f>IFERROR(AD31/AVERAGE(I31:Y31),"")</f>
        <v>0.1275815153699161</v>
      </c>
      <c r="AF31" s="52"/>
      <c r="AG31" s="53">
        <f t="shared" si="1"/>
        <v>3</v>
      </c>
      <c r="AH31" s="54">
        <f>1-(MIN(I31:Y31)/AA31)</f>
        <v>0.10402886349969931</v>
      </c>
      <c r="AJ31" s="47"/>
    </row>
    <row r="32" spans="2:38" ht="24.95" customHeight="1">
      <c r="B32" s="41">
        <v>26</v>
      </c>
      <c r="C32" s="42" t="s">
        <v>128</v>
      </c>
      <c r="D32" s="43" t="s">
        <v>129</v>
      </c>
      <c r="E32" s="43" t="s">
        <v>130</v>
      </c>
      <c r="F32" s="44" t="s">
        <v>56</v>
      </c>
      <c r="G32" s="45">
        <v>1</v>
      </c>
      <c r="H32" s="45"/>
      <c r="I32" s="46">
        <v>2900</v>
      </c>
      <c r="J32" s="46">
        <v>2750</v>
      </c>
      <c r="K32" s="46">
        <v>2900</v>
      </c>
      <c r="L32" s="46"/>
      <c r="M32" s="46"/>
      <c r="N32" s="46"/>
      <c r="O32" s="46"/>
      <c r="P32" s="46"/>
      <c r="Q32" s="46"/>
      <c r="R32" s="46"/>
      <c r="S32" s="46"/>
      <c r="T32" s="46"/>
      <c r="U32" s="46"/>
      <c r="V32" s="46"/>
      <c r="W32" s="46"/>
      <c r="X32" s="46"/>
      <c r="Y32" s="46"/>
      <c r="Z32" s="48"/>
      <c r="AA32" s="49">
        <f>IFERROR(IF(AE32&gt;(0.15),ROUND(MEDIAN(I32:Y32),0),ROUND(AVERAGE(I32:Y32),0)),"")</f>
        <v>2850</v>
      </c>
      <c r="AB32" s="49">
        <f>+AA32*G32</f>
        <v>2850</v>
      </c>
      <c r="AC32" s="50" t="s">
        <v>17</v>
      </c>
      <c r="AD32" s="47">
        <f t="shared" si="0"/>
        <v>86.602540378443862</v>
      </c>
      <c r="AE32" s="51">
        <f>IFERROR(AD32/AVERAGE(I32:Y32),"")</f>
        <v>3.0386856273138196E-2</v>
      </c>
      <c r="AF32" s="52"/>
      <c r="AG32" s="53">
        <f t="shared" si="1"/>
        <v>3</v>
      </c>
      <c r="AH32" s="54">
        <f>1-(MIN(I32:Y32)/AA32)</f>
        <v>3.5087719298245612E-2</v>
      </c>
      <c r="AJ32" s="47"/>
    </row>
    <row r="33" spans="2:36" ht="24.95" customHeight="1">
      <c r="B33" s="41">
        <v>27</v>
      </c>
      <c r="C33" s="42" t="s">
        <v>131</v>
      </c>
      <c r="D33" s="43" t="s">
        <v>132</v>
      </c>
      <c r="E33" s="43" t="s">
        <v>133</v>
      </c>
      <c r="F33" s="44" t="s">
        <v>56</v>
      </c>
      <c r="G33" s="45">
        <v>1</v>
      </c>
      <c r="H33" s="45"/>
      <c r="I33" s="46">
        <v>44000</v>
      </c>
      <c r="J33" s="46">
        <v>45000</v>
      </c>
      <c r="K33" s="46">
        <v>43000</v>
      </c>
      <c r="L33" s="46"/>
      <c r="M33" s="46"/>
      <c r="N33" s="46"/>
      <c r="O33" s="46"/>
      <c r="P33" s="46"/>
      <c r="Q33" s="46"/>
      <c r="R33" s="46"/>
      <c r="S33" s="46"/>
      <c r="T33" s="46"/>
      <c r="U33" s="46"/>
      <c r="V33" s="46"/>
      <c r="W33" s="46"/>
      <c r="X33" s="46"/>
      <c r="Y33" s="46"/>
      <c r="Z33" s="48"/>
      <c r="AA33" s="49">
        <f>IFERROR(IF(AE33&gt;(0.15),ROUND(MEDIAN(I33:Y33),0),ROUND(AVERAGE(I33:Y33),0)),"")</f>
        <v>44000</v>
      </c>
      <c r="AB33" s="49">
        <f>+AA33*G33</f>
        <v>44000</v>
      </c>
      <c r="AC33" s="50" t="s">
        <v>17</v>
      </c>
      <c r="AD33" s="47">
        <f t="shared" si="0"/>
        <v>1000</v>
      </c>
      <c r="AE33" s="51">
        <f>IFERROR(AD33/AVERAGE(I33:Y33),"")</f>
        <v>2.2727272727272728E-2</v>
      </c>
      <c r="AF33" s="52"/>
      <c r="AG33" s="53">
        <f t="shared" si="1"/>
        <v>3</v>
      </c>
      <c r="AH33" s="54">
        <f>1-(MIN(I33:Y33)/AA33)</f>
        <v>2.2727272727272707E-2</v>
      </c>
      <c r="AJ33" s="47"/>
    </row>
    <row r="34" spans="2:36" ht="24.95" customHeight="1">
      <c r="B34" s="41">
        <v>28</v>
      </c>
      <c r="C34" s="42" t="s">
        <v>134</v>
      </c>
      <c r="D34" s="43" t="s">
        <v>135</v>
      </c>
      <c r="E34" s="43" t="s">
        <v>136</v>
      </c>
      <c r="F34" s="44" t="s">
        <v>56</v>
      </c>
      <c r="G34" s="45">
        <v>1</v>
      </c>
      <c r="H34" s="45"/>
      <c r="I34" s="46">
        <v>48200</v>
      </c>
      <c r="J34" s="46">
        <v>46900</v>
      </c>
      <c r="K34" s="46">
        <v>45000</v>
      </c>
      <c r="L34" s="46"/>
      <c r="M34" s="46"/>
      <c r="N34" s="46"/>
      <c r="O34" s="46"/>
      <c r="P34" s="46"/>
      <c r="Q34" s="46"/>
      <c r="R34" s="46"/>
      <c r="S34" s="46"/>
      <c r="T34" s="46"/>
      <c r="U34" s="46"/>
      <c r="V34" s="46"/>
      <c r="W34" s="46"/>
      <c r="X34" s="46"/>
      <c r="Y34" s="46"/>
      <c r="Z34" s="48"/>
      <c r="AA34" s="49">
        <f>IFERROR(IF(AE34&gt;(0.15),ROUND(MEDIAN(I34:Y34),0),ROUND(AVERAGE(I34:Y34),0)),"")</f>
        <v>46700</v>
      </c>
      <c r="AB34" s="49">
        <f>+AA34*G34</f>
        <v>46700</v>
      </c>
      <c r="AC34" s="50" t="s">
        <v>17</v>
      </c>
      <c r="AD34" s="47">
        <f t="shared" si="0"/>
        <v>1609.3476939431082</v>
      </c>
      <c r="AE34" s="51">
        <f>IFERROR(AD34/AVERAGE(I34:Y34),"")</f>
        <v>3.4461406722550499E-2</v>
      </c>
      <c r="AF34" s="52"/>
      <c r="AG34" s="53">
        <f t="shared" si="1"/>
        <v>3</v>
      </c>
      <c r="AH34" s="54">
        <f>1-(MIN(I34:Y34)/AA34)</f>
        <v>3.6402569593147804E-2</v>
      </c>
      <c r="AJ34" s="47"/>
    </row>
    <row r="35" spans="2:36" ht="37.5" customHeight="1">
      <c r="B35" s="41">
        <v>29</v>
      </c>
      <c r="C35" s="42" t="s">
        <v>137</v>
      </c>
      <c r="D35" s="43" t="s">
        <v>138</v>
      </c>
      <c r="E35" s="43" t="s">
        <v>139</v>
      </c>
      <c r="F35" s="44" t="s">
        <v>56</v>
      </c>
      <c r="G35" s="45">
        <v>1</v>
      </c>
      <c r="H35" s="45"/>
      <c r="I35" s="46"/>
      <c r="J35" s="46"/>
      <c r="K35" s="46"/>
      <c r="L35" s="46">
        <v>16767.3</v>
      </c>
      <c r="M35" s="46">
        <v>597081.0111</v>
      </c>
      <c r="N35" s="47">
        <v>708500</v>
      </c>
      <c r="O35" s="47">
        <v>566867</v>
      </c>
      <c r="P35" s="47"/>
      <c r="Q35" s="47"/>
      <c r="R35" s="47"/>
      <c r="S35" s="47"/>
      <c r="T35" s="47"/>
      <c r="U35" s="47"/>
      <c r="V35" s="47"/>
      <c r="W35" s="47"/>
      <c r="X35" s="47"/>
      <c r="Y35" s="46"/>
      <c r="Z35" s="48"/>
      <c r="AA35" s="49">
        <f>IFERROR(IF(AE35&gt;(0.15),ROUND(MEDIAN(I35:Y35),0),ROUND(AVERAGE(I35:Y35),0)),"")</f>
        <v>581974</v>
      </c>
      <c r="AB35" s="49">
        <f>+AA35*G35</f>
        <v>581974</v>
      </c>
      <c r="AC35" s="50" t="s">
        <v>18</v>
      </c>
      <c r="AD35" s="47">
        <f t="shared" si="0"/>
        <v>309738.43746556051</v>
      </c>
      <c r="AE35" s="51">
        <f>IFERROR(AD35/AVERAGE(I35:Y35),"")</f>
        <v>0.65580336057135713</v>
      </c>
      <c r="AF35" s="52"/>
      <c r="AG35" s="53">
        <f t="shared" si="1"/>
        <v>4</v>
      </c>
      <c r="AH35" s="54">
        <f>1-(MIN(I35:Y35)/AA35)</f>
        <v>0.97118891909260552</v>
      </c>
      <c r="AJ35" s="47"/>
    </row>
    <row r="36" spans="2:36" ht="24.95" customHeight="1">
      <c r="B36" s="41">
        <v>30</v>
      </c>
      <c r="C36" s="42" t="s">
        <v>140</v>
      </c>
      <c r="D36" s="43" t="s">
        <v>141</v>
      </c>
      <c r="E36" s="43" t="s">
        <v>142</v>
      </c>
      <c r="F36" s="44" t="s">
        <v>56</v>
      </c>
      <c r="G36" s="45">
        <v>1</v>
      </c>
      <c r="H36" s="45"/>
      <c r="I36" s="46"/>
      <c r="J36" s="46"/>
      <c r="K36" s="46"/>
      <c r="L36" s="46">
        <v>33870.1</v>
      </c>
      <c r="M36" s="46">
        <v>11297.7675</v>
      </c>
      <c r="N36" s="47">
        <v>13700</v>
      </c>
      <c r="O36" s="47">
        <v>9825</v>
      </c>
      <c r="P36" s="47"/>
      <c r="Q36" s="47"/>
      <c r="R36" s="47"/>
      <c r="S36" s="47"/>
      <c r="T36" s="47"/>
      <c r="U36" s="47"/>
      <c r="V36" s="47"/>
      <c r="W36" s="47"/>
      <c r="X36" s="47"/>
      <c r="Y36" s="46"/>
      <c r="Z36" s="48"/>
      <c r="AA36" s="49">
        <f>IFERROR(IF(AE36&gt;(0.15),ROUND(MEDIAN(I36:Y36),0),ROUND(AVERAGE(I36:Y36),0)),"")</f>
        <v>12499</v>
      </c>
      <c r="AB36" s="49">
        <f>+AA36*G36</f>
        <v>12499</v>
      </c>
      <c r="AC36" s="50" t="s">
        <v>18</v>
      </c>
      <c r="AD36" s="47">
        <f t="shared" si="0"/>
        <v>11245.241040115849</v>
      </c>
      <c r="AE36" s="51">
        <f>IFERROR(AD36/AVERAGE(I36:Y36),"")</f>
        <v>0.65481273089179748</v>
      </c>
      <c r="AF36" s="52"/>
      <c r="AG36" s="53">
        <f t="shared" si="1"/>
        <v>4</v>
      </c>
      <c r="AH36" s="54">
        <f>1-(MIN(I36:Y36)/AA36)</f>
        <v>0.21393711496919754</v>
      </c>
      <c r="AJ36" s="47"/>
    </row>
    <row r="37" spans="2:36" ht="24.95" customHeight="1">
      <c r="B37" s="41">
        <v>31</v>
      </c>
      <c r="C37" s="42" t="s">
        <v>143</v>
      </c>
      <c r="D37" s="43" t="s">
        <v>144</v>
      </c>
      <c r="E37" s="43" t="s">
        <v>142</v>
      </c>
      <c r="F37" s="44" t="s">
        <v>56</v>
      </c>
      <c r="G37" s="45">
        <v>1</v>
      </c>
      <c r="H37" s="45"/>
      <c r="I37" s="46"/>
      <c r="J37" s="46"/>
      <c r="K37" s="46"/>
      <c r="L37" s="46">
        <v>74230.2</v>
      </c>
      <c r="M37" s="46">
        <v>25367.88</v>
      </c>
      <c r="N37" s="47">
        <v>29600</v>
      </c>
      <c r="O37" s="47">
        <v>23620</v>
      </c>
      <c r="P37" s="47"/>
      <c r="Q37" s="47"/>
      <c r="R37" s="47"/>
      <c r="S37" s="47"/>
      <c r="T37" s="47"/>
      <c r="U37" s="47"/>
      <c r="V37" s="47"/>
      <c r="W37" s="47"/>
      <c r="X37" s="47"/>
      <c r="Y37" s="46"/>
      <c r="Z37" s="48"/>
      <c r="AA37" s="49">
        <f>IFERROR(IF(AE37&gt;(0.15),ROUND(MEDIAN(I37:Y37),0),ROUND(AVERAGE(I37:Y37),0)),"")</f>
        <v>27484</v>
      </c>
      <c r="AB37" s="49">
        <f>+AA37*G37</f>
        <v>27484</v>
      </c>
      <c r="AC37" s="50" t="s">
        <v>18</v>
      </c>
      <c r="AD37" s="47">
        <f t="shared" si="0"/>
        <v>24147.980826650211</v>
      </c>
      <c r="AE37" s="51">
        <f>IFERROR(AD37/AVERAGE(I37:Y37),"")</f>
        <v>0.6320713053494772</v>
      </c>
      <c r="AF37" s="52"/>
      <c r="AG37" s="53">
        <f t="shared" si="1"/>
        <v>4</v>
      </c>
      <c r="AH37" s="54">
        <f>1-(MIN(I37:Y37)/AA37)</f>
        <v>0.14059088924465146</v>
      </c>
      <c r="AJ37" s="47"/>
    </row>
    <row r="38" spans="2:36" ht="24.95" customHeight="1">
      <c r="B38" s="41">
        <v>32</v>
      </c>
      <c r="C38" s="42" t="s">
        <v>145</v>
      </c>
      <c r="D38" s="43" t="s">
        <v>146</v>
      </c>
      <c r="E38" s="43" t="s">
        <v>147</v>
      </c>
      <c r="F38" s="44" t="s">
        <v>56</v>
      </c>
      <c r="G38" s="45">
        <v>1</v>
      </c>
      <c r="H38" s="45"/>
      <c r="I38" s="46"/>
      <c r="J38" s="46"/>
      <c r="K38" s="46"/>
      <c r="L38" s="46">
        <v>43553.4</v>
      </c>
      <c r="M38" s="46">
        <v>16198.596</v>
      </c>
      <c r="N38" s="47">
        <v>19300</v>
      </c>
      <c r="O38" s="47">
        <v>14172</v>
      </c>
      <c r="P38" s="47"/>
      <c r="Q38" s="47"/>
      <c r="R38" s="47"/>
      <c r="S38" s="47"/>
      <c r="T38" s="47"/>
      <c r="U38" s="47"/>
      <c r="V38" s="47"/>
      <c r="W38" s="47"/>
      <c r="X38" s="47"/>
      <c r="Y38" s="46"/>
      <c r="Z38" s="48"/>
      <c r="AA38" s="49">
        <f>IFERROR(IF(AE38&gt;(0.15),ROUND(MEDIAN(I38:Y38),0),ROUND(AVERAGE(I38:Y38),0)),"")</f>
        <v>17749</v>
      </c>
      <c r="AB38" s="49">
        <f>+AA38*G38</f>
        <v>17749</v>
      </c>
      <c r="AC38" s="50" t="s">
        <v>18</v>
      </c>
      <c r="AD38" s="47">
        <f t="shared" si="0"/>
        <v>13661.99583246914</v>
      </c>
      <c r="AE38" s="51">
        <f>IFERROR(AD38/AVERAGE(I38:Y38),"")</f>
        <v>0.5862008246232715</v>
      </c>
      <c r="AF38" s="52"/>
      <c r="AG38" s="53">
        <f t="shared" si="1"/>
        <v>4</v>
      </c>
      <c r="AH38" s="54">
        <f>1-(MIN(I38:Y38)/AA38)</f>
        <v>0.20153248070313823</v>
      </c>
      <c r="AJ38" s="47"/>
    </row>
    <row r="39" spans="2:36" ht="24.95" customHeight="1">
      <c r="B39" s="41">
        <v>33</v>
      </c>
      <c r="C39" s="42" t="s">
        <v>148</v>
      </c>
      <c r="D39" s="43" t="s">
        <v>149</v>
      </c>
      <c r="E39" s="43" t="s">
        <v>150</v>
      </c>
      <c r="F39" s="44" t="s">
        <v>56</v>
      </c>
      <c r="G39" s="45">
        <v>1</v>
      </c>
      <c r="H39" s="45"/>
      <c r="I39" s="46">
        <v>37000</v>
      </c>
      <c r="J39" s="46">
        <v>36000</v>
      </c>
      <c r="K39" s="46">
        <v>36250</v>
      </c>
      <c r="L39" s="46"/>
      <c r="M39" s="46"/>
      <c r="N39" s="46"/>
      <c r="O39" s="46"/>
      <c r="P39" s="46"/>
      <c r="Q39" s="46"/>
      <c r="R39" s="46"/>
      <c r="S39" s="46"/>
      <c r="T39" s="46"/>
      <c r="U39" s="46"/>
      <c r="V39" s="46"/>
      <c r="W39" s="46"/>
      <c r="X39" s="46"/>
      <c r="Y39" s="46"/>
      <c r="Z39" s="48"/>
      <c r="AA39" s="49">
        <f>IFERROR(IF(AE39&gt;(0.15),ROUND(MEDIAN(I39:Y39),0),ROUND(AVERAGE(I39:Y39),0)),"")</f>
        <v>36417</v>
      </c>
      <c r="AB39" s="49">
        <f>+AA39*G39</f>
        <v>36417</v>
      </c>
      <c r="AC39" s="50" t="s">
        <v>17</v>
      </c>
      <c r="AD39" s="47">
        <f t="shared" si="0"/>
        <v>520.41649986653317</v>
      </c>
      <c r="AE39" s="51">
        <f>IFERROR(AD39/AVERAGE(I39:Y39),"")</f>
        <v>1.429061326864622E-2</v>
      </c>
      <c r="AF39" s="52"/>
      <c r="AG39" s="53">
        <f t="shared" si="1"/>
        <v>3</v>
      </c>
      <c r="AH39" s="54">
        <f>1-(MIN(I39:Y39)/AA39)</f>
        <v>1.1450696103468161E-2</v>
      </c>
      <c r="AJ39" s="47"/>
    </row>
    <row r="40" spans="2:36" ht="24.95" customHeight="1">
      <c r="B40" s="41">
        <v>34</v>
      </c>
      <c r="C40" s="42" t="s">
        <v>151</v>
      </c>
      <c r="D40" s="43" t="s">
        <v>152</v>
      </c>
      <c r="E40" s="43" t="s">
        <v>153</v>
      </c>
      <c r="F40" s="44" t="s">
        <v>56</v>
      </c>
      <c r="G40" s="45">
        <v>1</v>
      </c>
      <c r="H40" s="45"/>
      <c r="I40" s="46">
        <v>55000</v>
      </c>
      <c r="J40" s="46">
        <v>52000</v>
      </c>
      <c r="K40" s="46">
        <v>49900</v>
      </c>
      <c r="L40" s="46"/>
      <c r="M40" s="46"/>
      <c r="N40" s="46"/>
      <c r="O40" s="46"/>
      <c r="P40" s="46"/>
      <c r="Q40" s="46"/>
      <c r="R40" s="46"/>
      <c r="S40" s="46"/>
      <c r="T40" s="46"/>
      <c r="U40" s="46"/>
      <c r="V40" s="46"/>
      <c r="W40" s="46"/>
      <c r="X40" s="46"/>
      <c r="Y40" s="46"/>
      <c r="Z40" s="48"/>
      <c r="AA40" s="49">
        <f>IFERROR(IF(AE40&gt;(0.15),ROUND(MEDIAN(I40:Y40),0),ROUND(AVERAGE(I40:Y40),0)),"")</f>
        <v>52300</v>
      </c>
      <c r="AB40" s="49">
        <f>+AA40*G40</f>
        <v>52300</v>
      </c>
      <c r="AC40" s="50" t="s">
        <v>17</v>
      </c>
      <c r="AD40" s="47">
        <f t="shared" si="0"/>
        <v>2563.2011235952596</v>
      </c>
      <c r="AE40" s="51">
        <f>IFERROR(AD40/AVERAGE(I40:Y40),"")</f>
        <v>4.9009581713102476E-2</v>
      </c>
      <c r="AF40" s="52"/>
      <c r="AG40" s="53">
        <f t="shared" si="1"/>
        <v>3</v>
      </c>
      <c r="AH40" s="54">
        <f>1-(MIN(I40:Y40)/AA40)</f>
        <v>4.5889101338432159E-2</v>
      </c>
      <c r="AJ40" s="47"/>
    </row>
    <row r="41" spans="2:36" ht="24.95" customHeight="1">
      <c r="B41" s="41">
        <v>35</v>
      </c>
      <c r="C41" s="42" t="s">
        <v>154</v>
      </c>
      <c r="D41" s="43" t="s">
        <v>155</v>
      </c>
      <c r="E41" s="43" t="s">
        <v>156</v>
      </c>
      <c r="F41" s="44" t="s">
        <v>56</v>
      </c>
      <c r="G41" s="45">
        <v>1</v>
      </c>
      <c r="H41" s="45"/>
      <c r="I41" s="46">
        <v>170000</v>
      </c>
      <c r="J41" s="46">
        <v>163000</v>
      </c>
      <c r="K41" s="46">
        <v>169900</v>
      </c>
      <c r="L41" s="46"/>
      <c r="M41" s="46"/>
      <c r="N41" s="46"/>
      <c r="O41" s="46"/>
      <c r="P41" s="46"/>
      <c r="Q41" s="46"/>
      <c r="R41" s="46"/>
      <c r="S41" s="46"/>
      <c r="T41" s="46"/>
      <c r="U41" s="46"/>
      <c r="V41" s="46"/>
      <c r="W41" s="46"/>
      <c r="X41" s="46"/>
      <c r="Y41" s="46"/>
      <c r="Z41" s="48"/>
      <c r="AA41" s="49">
        <f>IFERROR(IF(AE41&gt;(0.15),ROUND(MEDIAN(I41:Y41),0),ROUND(AVERAGE(I41:Y41),0)),"")</f>
        <v>167633</v>
      </c>
      <c r="AB41" s="49">
        <f>+AA41*G41</f>
        <v>167633</v>
      </c>
      <c r="AC41" s="50" t="s">
        <v>17</v>
      </c>
      <c r="AD41" s="47">
        <f t="shared" si="0"/>
        <v>4012.8958787057177</v>
      </c>
      <c r="AE41" s="51">
        <f>IFERROR(AD41/AVERAGE(I41:Y41),"")</f>
        <v>2.3938531787864689E-2</v>
      </c>
      <c r="AF41" s="52"/>
      <c r="AG41" s="53">
        <f t="shared" si="1"/>
        <v>3</v>
      </c>
      <c r="AH41" s="54">
        <f>1-(MIN(I41:Y41)/AA41)</f>
        <v>2.7637756289036197E-2</v>
      </c>
      <c r="AJ41" s="47"/>
    </row>
    <row r="42" spans="2:36" ht="24.95" customHeight="1">
      <c r="B42" s="41">
        <v>36</v>
      </c>
      <c r="C42" s="42" t="s">
        <v>154</v>
      </c>
      <c r="D42" s="43" t="s">
        <v>157</v>
      </c>
      <c r="E42" s="43" t="s">
        <v>156</v>
      </c>
      <c r="F42" s="44" t="s">
        <v>56</v>
      </c>
      <c r="G42" s="45">
        <v>1</v>
      </c>
      <c r="H42" s="45"/>
      <c r="I42" s="46">
        <v>68400</v>
      </c>
      <c r="J42" s="46">
        <v>67300</v>
      </c>
      <c r="K42" s="46">
        <v>64900</v>
      </c>
      <c r="L42" s="46"/>
      <c r="M42" s="46"/>
      <c r="N42" s="46"/>
      <c r="O42" s="46"/>
      <c r="P42" s="46"/>
      <c r="Q42" s="46"/>
      <c r="R42" s="46"/>
      <c r="S42" s="46"/>
      <c r="T42" s="46"/>
      <c r="U42" s="46"/>
      <c r="V42" s="46"/>
      <c r="W42" s="46"/>
      <c r="X42" s="46"/>
      <c r="Y42" s="46"/>
      <c r="Z42" s="48"/>
      <c r="AA42" s="49">
        <f>IFERROR(IF(AE42&gt;(0.15),ROUND(MEDIAN(I42:Y42),0),ROUND(AVERAGE(I42:Y42),0)),"")</f>
        <v>66867</v>
      </c>
      <c r="AB42" s="49">
        <f>+AA42*G42</f>
        <v>66867</v>
      </c>
      <c r="AC42" s="50" t="s">
        <v>17</v>
      </c>
      <c r="AD42" s="47">
        <f t="shared" si="0"/>
        <v>1789.7858344878398</v>
      </c>
      <c r="AE42" s="51">
        <f>IFERROR(AD42/AVERAGE(I42:Y42),"")</f>
        <v>2.6766488053158122E-2</v>
      </c>
      <c r="AF42" s="52"/>
      <c r="AG42" s="53">
        <f t="shared" si="1"/>
        <v>3</v>
      </c>
      <c r="AH42" s="54">
        <f>1-(MIN(I42:Y42)/AA42)</f>
        <v>2.9416603107661476E-2</v>
      </c>
      <c r="AJ42" s="47"/>
    </row>
    <row r="43" spans="2:36" ht="24.95" customHeight="1">
      <c r="B43" s="41">
        <v>37</v>
      </c>
      <c r="C43" s="42" t="s">
        <v>154</v>
      </c>
      <c r="D43" s="43" t="s">
        <v>158</v>
      </c>
      <c r="E43" s="43" t="s">
        <v>156</v>
      </c>
      <c r="F43" s="44" t="s">
        <v>56</v>
      </c>
      <c r="G43" s="45">
        <v>1</v>
      </c>
      <c r="H43" s="45"/>
      <c r="I43" s="46">
        <v>125300</v>
      </c>
      <c r="J43" s="46">
        <v>121000</v>
      </c>
      <c r="K43" s="46">
        <v>117675</v>
      </c>
      <c r="L43" s="46"/>
      <c r="M43" s="46"/>
      <c r="N43" s="46"/>
      <c r="O43" s="46"/>
      <c r="P43" s="46"/>
      <c r="Q43" s="46"/>
      <c r="R43" s="46"/>
      <c r="S43" s="46"/>
      <c r="T43" s="46"/>
      <c r="U43" s="46"/>
      <c r="V43" s="46"/>
      <c r="W43" s="46"/>
      <c r="X43" s="46"/>
      <c r="Y43" s="46"/>
      <c r="Z43" s="48"/>
      <c r="AA43" s="49">
        <f>IFERROR(IF(AE43&gt;(0.15),ROUND(MEDIAN(I43:Y43),0),ROUND(AVERAGE(I43:Y43),0)),"")</f>
        <v>121325</v>
      </c>
      <c r="AB43" s="49">
        <f>+AA43*G43</f>
        <v>121325</v>
      </c>
      <c r="AC43" s="50" t="s">
        <v>17</v>
      </c>
      <c r="AD43" s="47">
        <f t="shared" si="0"/>
        <v>3822.8752268417029</v>
      </c>
      <c r="AE43" s="51">
        <f>IFERROR(AD43/AVERAGE(I43:Y43),"")</f>
        <v>3.1509377513634473E-2</v>
      </c>
      <c r="AF43" s="52"/>
      <c r="AG43" s="53">
        <f t="shared" si="1"/>
        <v>3</v>
      </c>
      <c r="AH43" s="54">
        <f>1-(MIN(I43:Y43)/AA43)</f>
        <v>3.0084483824438513E-2</v>
      </c>
      <c r="AJ43" s="47"/>
    </row>
    <row r="44" spans="2:36" ht="24.95" customHeight="1">
      <c r="B44" s="41">
        <v>38</v>
      </c>
      <c r="C44" s="42" t="s">
        <v>159</v>
      </c>
      <c r="D44" s="43" t="s">
        <v>160</v>
      </c>
      <c r="E44" s="43" t="s">
        <v>161</v>
      </c>
      <c r="F44" s="44" t="s">
        <v>56</v>
      </c>
      <c r="G44" s="45">
        <v>1</v>
      </c>
      <c r="H44" s="45"/>
      <c r="I44" s="46">
        <v>300000</v>
      </c>
      <c r="J44" s="46">
        <v>293400</v>
      </c>
      <c r="K44" s="46">
        <v>280000</v>
      </c>
      <c r="L44" s="46"/>
      <c r="M44" s="46"/>
      <c r="N44" s="46"/>
      <c r="O44" s="46"/>
      <c r="P44" s="46"/>
      <c r="Q44" s="46"/>
      <c r="R44" s="46"/>
      <c r="S44" s="46"/>
      <c r="T44" s="46"/>
      <c r="U44" s="46"/>
      <c r="V44" s="46"/>
      <c r="W44" s="46"/>
      <c r="X44" s="46"/>
      <c r="Y44" s="46"/>
      <c r="Z44" s="48"/>
      <c r="AA44" s="49">
        <f>IFERROR(IF(AE44&gt;(0.15),ROUND(MEDIAN(I44:Y44),0),ROUND(AVERAGE(I44:Y44),0)),"")</f>
        <v>291133</v>
      </c>
      <c r="AB44" s="49">
        <f>+AA44*G44</f>
        <v>291133</v>
      </c>
      <c r="AC44" s="50" t="s">
        <v>17</v>
      </c>
      <c r="AD44" s="47">
        <f t="shared" si="0"/>
        <v>10190.845565179237</v>
      </c>
      <c r="AE44" s="51">
        <f>IFERROR(AD44/AVERAGE(I44:Y44),"")</f>
        <v>3.5004049342268966E-2</v>
      </c>
      <c r="AF44" s="52"/>
      <c r="AG44" s="53">
        <f t="shared" si="1"/>
        <v>3</v>
      </c>
      <c r="AH44" s="54">
        <f>1-(MIN(I44:Y44)/AA44)</f>
        <v>3.8240254454149802E-2</v>
      </c>
      <c r="AJ44" s="47"/>
    </row>
    <row r="45" spans="2:36" ht="24.95" customHeight="1">
      <c r="B45" s="41">
        <v>39</v>
      </c>
      <c r="C45" s="42" t="s">
        <v>162</v>
      </c>
      <c r="D45" s="43" t="s">
        <v>163</v>
      </c>
      <c r="E45" s="43" t="s">
        <v>164</v>
      </c>
      <c r="F45" s="44" t="s">
        <v>56</v>
      </c>
      <c r="G45" s="45">
        <v>1</v>
      </c>
      <c r="H45" s="45"/>
      <c r="I45" s="46"/>
      <c r="J45" s="46"/>
      <c r="K45" s="46"/>
      <c r="L45" s="46">
        <v>12419</v>
      </c>
      <c r="M45" s="46">
        <v>2560425.9948</v>
      </c>
      <c r="N45" s="47">
        <v>3071500</v>
      </c>
      <c r="O45" s="47">
        <v>2267469</v>
      </c>
      <c r="P45" s="47"/>
      <c r="Q45" s="47"/>
      <c r="R45" s="47"/>
      <c r="S45" s="47"/>
      <c r="T45" s="47"/>
      <c r="U45" s="47"/>
      <c r="V45" s="47"/>
      <c r="W45" s="47"/>
      <c r="X45" s="47"/>
      <c r="Y45" s="46"/>
      <c r="Z45" s="48">
        <v>2070600</v>
      </c>
      <c r="AA45" s="49">
        <f>Z45</f>
        <v>2070600</v>
      </c>
      <c r="AB45" s="49">
        <f>+AA45*G45</f>
        <v>2070600</v>
      </c>
      <c r="AC45" s="50" t="s">
        <v>18</v>
      </c>
      <c r="AD45" s="47">
        <f t="shared" si="0"/>
        <v>1351821.3947968236</v>
      </c>
      <c r="AE45" s="51">
        <f>IFERROR(AD45/AVERAGE(I45:Y45),"")</f>
        <v>0.68344447717567758</v>
      </c>
      <c r="AF45" s="52"/>
      <c r="AG45" s="53">
        <f t="shared" si="1"/>
        <v>4</v>
      </c>
      <c r="AH45" s="54">
        <f>1-(MIN(I45:Y45)/AA45)</f>
        <v>0.99400222157828644</v>
      </c>
      <c r="AJ45" s="47"/>
    </row>
    <row r="46" spans="2:36" ht="24.95" customHeight="1">
      <c r="B46" s="41">
        <v>40</v>
      </c>
      <c r="C46" s="42" t="s">
        <v>165</v>
      </c>
      <c r="D46" s="43" t="s">
        <v>166</v>
      </c>
      <c r="E46" s="43" t="s">
        <v>167</v>
      </c>
      <c r="F46" s="44" t="s">
        <v>56</v>
      </c>
      <c r="G46" s="45">
        <v>1</v>
      </c>
      <c r="H46" s="45"/>
      <c r="I46" s="46">
        <v>45000</v>
      </c>
      <c r="J46" s="46">
        <v>43000</v>
      </c>
      <c r="K46" s="46">
        <v>40000</v>
      </c>
      <c r="L46" s="46"/>
      <c r="M46" s="46"/>
      <c r="N46" s="46"/>
      <c r="O46" s="46"/>
      <c r="P46" s="46"/>
      <c r="Q46" s="46"/>
      <c r="R46" s="46"/>
      <c r="S46" s="46"/>
      <c r="T46" s="46"/>
      <c r="U46" s="46"/>
      <c r="V46" s="46"/>
      <c r="W46" s="46"/>
      <c r="X46" s="46"/>
      <c r="Y46" s="46"/>
      <c r="Z46" s="48"/>
      <c r="AA46" s="49">
        <f>IFERROR(IF(AE46&gt;(0.15),ROUND(MEDIAN(I46:Y46),0),ROUND(AVERAGE(I46:Y46),0)),"")</f>
        <v>42667</v>
      </c>
      <c r="AB46" s="49">
        <f>+AA46*G46</f>
        <v>42667</v>
      </c>
      <c r="AC46" s="50" t="s">
        <v>17</v>
      </c>
      <c r="AD46" s="47">
        <f t="shared" si="0"/>
        <v>2516.6114784235833</v>
      </c>
      <c r="AE46" s="51">
        <f>IFERROR(AD46/AVERAGE(I46:Y46),"")</f>
        <v>5.898308152555274E-2</v>
      </c>
      <c r="AF46" s="52"/>
      <c r="AG46" s="53">
        <f t="shared" si="1"/>
        <v>3</v>
      </c>
      <c r="AH46" s="54">
        <f>1-(MIN(I46:Y46)/AA46)</f>
        <v>6.2507324161530042E-2</v>
      </c>
      <c r="AJ46" s="47"/>
    </row>
    <row r="47" spans="2:36" ht="24.95" customHeight="1">
      <c r="B47" s="41">
        <v>41</v>
      </c>
      <c r="C47" s="42" t="s">
        <v>168</v>
      </c>
      <c r="D47" s="43" t="s">
        <v>169</v>
      </c>
      <c r="E47" s="43" t="s">
        <v>170</v>
      </c>
      <c r="F47" s="44" t="s">
        <v>56</v>
      </c>
      <c r="G47" s="45">
        <v>1</v>
      </c>
      <c r="H47" s="45"/>
      <c r="I47" s="46"/>
      <c r="J47" s="46"/>
      <c r="K47" s="46"/>
      <c r="L47" s="46">
        <f>6463461.4/12</f>
        <v>538621.78333333333</v>
      </c>
      <c r="M47" s="46">
        <f>383951.082304/12</f>
        <v>31995.923525333332</v>
      </c>
      <c r="N47" s="47">
        <f>460600/12</f>
        <v>38383.333333333336</v>
      </c>
      <c r="O47" s="47">
        <f>337272.56/12</f>
        <v>28106.046666666665</v>
      </c>
      <c r="P47" s="47"/>
      <c r="Q47" s="47"/>
      <c r="R47" s="47"/>
      <c r="S47" s="47"/>
      <c r="T47" s="47"/>
      <c r="U47" s="47"/>
      <c r="V47" s="47"/>
      <c r="W47" s="47"/>
      <c r="X47" s="47"/>
      <c r="Y47" s="46"/>
      <c r="Z47" s="48">
        <v>12100</v>
      </c>
      <c r="AA47" s="49">
        <f>Z47</f>
        <v>12100</v>
      </c>
      <c r="AB47" s="49">
        <f>+AA47*G47</f>
        <v>12100</v>
      </c>
      <c r="AC47" s="50" t="s">
        <v>18</v>
      </c>
      <c r="AD47" s="47">
        <f t="shared" si="0"/>
        <v>252932.16133253445</v>
      </c>
      <c r="AE47" s="51">
        <f>IFERROR(AD47/AVERAGE(I47:Y47),"")</f>
        <v>1.588004067445848</v>
      </c>
      <c r="AF47" s="52"/>
      <c r="AG47" s="53">
        <f t="shared" si="1"/>
        <v>4</v>
      </c>
      <c r="AH47" s="54">
        <f>1-(MIN(I47:Y47)/AA47)</f>
        <v>-1.322813774104683</v>
      </c>
      <c r="AJ47" s="47"/>
    </row>
    <row r="48" spans="2:36" ht="30" customHeight="1">
      <c r="B48" s="41">
        <v>42</v>
      </c>
      <c r="C48" s="42" t="s">
        <v>171</v>
      </c>
      <c r="D48" s="43" t="s">
        <v>172</v>
      </c>
      <c r="E48" s="43" t="s">
        <v>170</v>
      </c>
      <c r="F48" s="44" t="s">
        <v>56</v>
      </c>
      <c r="G48" s="45">
        <v>1</v>
      </c>
      <c r="H48" s="45"/>
      <c r="I48" s="46"/>
      <c r="J48" s="46"/>
      <c r="K48" s="46"/>
      <c r="L48" s="46">
        <v>7855591</v>
      </c>
      <c r="M48" s="46">
        <v>747587</v>
      </c>
      <c r="N48" s="47">
        <v>830700</v>
      </c>
      <c r="O48" s="47">
        <v>654057</v>
      </c>
      <c r="P48" s="47"/>
      <c r="Q48" s="47"/>
      <c r="R48" s="47"/>
      <c r="S48" s="47"/>
      <c r="T48" s="47"/>
      <c r="U48" s="47"/>
      <c r="V48" s="47"/>
      <c r="W48" s="47"/>
      <c r="X48" s="47"/>
      <c r="Y48" s="46"/>
      <c r="Z48" s="48"/>
      <c r="AA48" s="49">
        <f>IFERROR(IF(AE48&gt;(0.15),ROUND(MEDIAN(I48:Y48),0),ROUND(AVERAGE(I48:Y48),0)),"")</f>
        <v>2521984</v>
      </c>
      <c r="AB48" s="49">
        <f>+AA48*G48</f>
        <v>2521984</v>
      </c>
      <c r="AC48" s="50" t="s">
        <v>18</v>
      </c>
      <c r="AD48" s="47"/>
      <c r="AE48" s="51"/>
      <c r="AF48" s="52"/>
      <c r="AG48" s="53"/>
      <c r="AH48" s="54"/>
      <c r="AJ48" s="47"/>
    </row>
  </sheetData>
  <autoFilter ref="A6:AT48" xr:uid="{7179CBD6-7FA1-4CF5-8185-35E416DF0528}"/>
  <mergeCells count="4">
    <mergeCell ref="B2:AE2"/>
    <mergeCell ref="I4:K4"/>
    <mergeCell ref="L4:O4"/>
    <mergeCell ref="T5:W5"/>
  </mergeCells>
  <conditionalFormatting sqref="Y10:Z10 I10:W10">
    <cfRule type="colorScale" priority="687">
      <colorScale>
        <cfvo type="min"/>
        <cfvo type="percentile" val="50"/>
        <cfvo type="max"/>
        <color rgb="FF63BE7B"/>
        <color rgb="FFFFEB84"/>
        <color rgb="FFF8696B"/>
      </colorScale>
    </cfRule>
  </conditionalFormatting>
  <conditionalFormatting sqref="Y11:Z11 I11:W11">
    <cfRule type="colorScale" priority="688">
      <colorScale>
        <cfvo type="min"/>
        <cfvo type="percentile" val="50"/>
        <cfvo type="max"/>
        <color rgb="FF63BE7B"/>
        <color rgb="FFFFEB84"/>
        <color rgb="FFF8696B"/>
      </colorScale>
    </cfRule>
  </conditionalFormatting>
  <conditionalFormatting sqref="AE7:AE48">
    <cfRule type="cellIs" dxfId="0" priority="15" operator="greaterThan">
      <formula>0.15</formula>
    </cfRule>
  </conditionalFormatting>
  <conditionalFormatting sqref="AJ7:AJ10">
    <cfRule type="colorScale" priority="14">
      <colorScale>
        <cfvo type="min"/>
        <cfvo type="percentile" val="50"/>
        <cfvo type="max"/>
        <color rgb="FF63BE7B"/>
        <color rgb="FFFFEB84"/>
        <color rgb="FFF8696B"/>
      </colorScale>
    </cfRule>
  </conditionalFormatting>
  <conditionalFormatting sqref="AJ11">
    <cfRule type="colorScale" priority="10">
      <colorScale>
        <cfvo type="min"/>
        <cfvo type="percentile" val="50"/>
        <cfvo type="max"/>
        <color rgb="FF63BE7B"/>
        <color rgb="FFFFEB84"/>
        <color rgb="FFF8696B"/>
      </colorScale>
    </cfRule>
  </conditionalFormatting>
  <conditionalFormatting sqref="AJ11">
    <cfRule type="colorScale" priority="11">
      <colorScale>
        <cfvo type="min"/>
        <cfvo type="percentile" val="50"/>
        <cfvo type="max"/>
        <color rgb="FF63BE7B"/>
        <color rgb="FFFFEB84"/>
        <color rgb="FFF8696B"/>
      </colorScale>
    </cfRule>
  </conditionalFormatting>
  <conditionalFormatting sqref="AJ11">
    <cfRule type="colorScale" priority="12">
      <colorScale>
        <cfvo type="min"/>
        <cfvo type="percentile" val="50"/>
        <cfvo type="max"/>
        <color rgb="FF63BE7B"/>
        <color rgb="FFFFEB84"/>
        <color rgb="FFF8696B"/>
      </colorScale>
    </cfRule>
  </conditionalFormatting>
  <conditionalFormatting sqref="X10">
    <cfRule type="colorScale" priority="743">
      <colorScale>
        <cfvo type="min"/>
        <cfvo type="percentile" val="50"/>
        <cfvo type="max"/>
        <color rgb="FF63BE7B"/>
        <color rgb="FFFFEB84"/>
        <color rgb="FFF8696B"/>
      </colorScale>
    </cfRule>
  </conditionalFormatting>
  <conditionalFormatting sqref="X11">
    <cfRule type="colorScale" priority="745">
      <colorScale>
        <cfvo type="min"/>
        <cfvo type="percentile" val="50"/>
        <cfvo type="max"/>
        <color rgb="FF63BE7B"/>
        <color rgb="FFFFEB84"/>
        <color rgb="FFF8696B"/>
      </colorScale>
    </cfRule>
  </conditionalFormatting>
  <conditionalFormatting sqref="X24">
    <cfRule type="colorScale" priority="748">
      <colorScale>
        <cfvo type="min"/>
        <cfvo type="percentile" val="50"/>
        <cfvo type="max"/>
        <color rgb="FF63BE7B"/>
        <color rgb="FFFFEB84"/>
        <color rgb="FFF8696B"/>
      </colorScale>
    </cfRule>
  </conditionalFormatting>
  <conditionalFormatting sqref="X28:X29">
    <cfRule type="colorScale" priority="749">
      <colorScale>
        <cfvo type="min"/>
        <cfvo type="percentile" val="50"/>
        <cfvo type="max"/>
        <color rgb="FF63BE7B"/>
        <color rgb="FFFFEB84"/>
        <color rgb="FFF8696B"/>
      </colorScale>
    </cfRule>
  </conditionalFormatting>
  <conditionalFormatting sqref="I7:Z7 I8">
    <cfRule type="colorScale" priority="750">
      <colorScale>
        <cfvo type="min"/>
        <cfvo type="percentile" val="50"/>
        <cfvo type="max"/>
        <color rgb="FF63BE7B"/>
        <color rgb="FFFFEB84"/>
        <color rgb="FFF8696B"/>
      </colorScale>
    </cfRule>
  </conditionalFormatting>
  <conditionalFormatting sqref="I12:Z14">
    <cfRule type="colorScale" priority="753">
      <colorScale>
        <cfvo type="min"/>
        <cfvo type="percentile" val="50"/>
        <cfvo type="max"/>
        <color rgb="FF63BE7B"/>
        <color rgb="FFFFEB84"/>
        <color rgb="FFF8696B"/>
      </colorScale>
    </cfRule>
  </conditionalFormatting>
  <conditionalFormatting sqref="I15:Z15">
    <cfRule type="colorScale" priority="755">
      <colorScale>
        <cfvo type="min"/>
        <cfvo type="percentile" val="50"/>
        <cfvo type="max"/>
        <color rgb="FF63BE7B"/>
        <color rgb="FFFFEB84"/>
        <color rgb="FFF8696B"/>
      </colorScale>
    </cfRule>
  </conditionalFormatting>
  <conditionalFormatting sqref="J8:Z8">
    <cfRule type="colorScale" priority="757">
      <colorScale>
        <cfvo type="min"/>
        <cfvo type="percentile" val="50"/>
        <cfvo type="max"/>
        <color rgb="FF63BE7B"/>
        <color rgb="FFFFEB84"/>
        <color rgb="FFF8696B"/>
      </colorScale>
    </cfRule>
  </conditionalFormatting>
  <conditionalFormatting sqref="X7:X9 X12:X23 X25:X27 X30:X34 I7:W34 I35:Z47 Y7:Z34">
    <cfRule type="colorScale" priority="787">
      <colorScale>
        <cfvo type="min"/>
        <cfvo type="percentile" val="50"/>
        <cfvo type="max"/>
        <color rgb="FF63BE7B"/>
        <color rgb="FFFFEB84"/>
        <color rgb="FFF8696B"/>
      </colorScale>
    </cfRule>
  </conditionalFormatting>
  <conditionalFormatting sqref="I16:Z18 Z7:Z48">
    <cfRule type="colorScale" priority="795">
      <colorScale>
        <cfvo type="min"/>
        <cfvo type="percentile" val="50"/>
        <cfvo type="max"/>
        <color rgb="FF63BE7B"/>
        <color rgb="FFFFEB84"/>
        <color rgb="FFF8696B"/>
      </colorScale>
    </cfRule>
  </conditionalFormatting>
  <conditionalFormatting sqref="AJ7:AJ10 AJ12:AJ48">
    <cfRule type="colorScale" priority="798">
      <colorScale>
        <cfvo type="min"/>
        <cfvo type="percentile" val="50"/>
        <cfvo type="max"/>
        <color rgb="FF63BE7B"/>
        <color rgb="FFFFEB84"/>
        <color rgb="FFF8696B"/>
      </colorScale>
    </cfRule>
  </conditionalFormatting>
  <conditionalFormatting sqref="I48:Z48">
    <cfRule type="colorScale" priority="1">
      <colorScale>
        <cfvo type="min"/>
        <cfvo type="percentile" val="50"/>
        <cfvo type="max"/>
        <color rgb="FF63BE7B"/>
        <color rgb="FFFFEB84"/>
        <color rgb="FFF8696B"/>
      </colorScale>
    </cfRule>
  </conditionalFormatting>
  <hyperlinks>
    <hyperlink ref="AL10" r:id="rId1" xr:uid="{F4DC95DD-7502-46D4-B03F-7D1C93357693}"/>
    <hyperlink ref="AL15:AL24" r:id="rId2" display="https://community.secop.gov.co/Public/Tendering/OpportunityDetail/Index?isFromPublicArea=True&amp;noticeUID=CO1.NTC.10647701&amp;utm_source=chatgpt.com" xr:uid="{72079C8B-65FF-4914-95AF-9D31F44F5D8C}"/>
    <hyperlink ref="AL16" r:id="rId3" xr:uid="{CBC7A38D-7E2D-498F-AA41-85225C94B54F}"/>
    <hyperlink ref="AL17" r:id="rId4" xr:uid="{0F44FB14-F573-47E9-B330-1869454BA1F6}"/>
    <hyperlink ref="AL18" r:id="rId5" xr:uid="{586EAECE-1A1E-47E4-8F0E-80BE1CB034EF}"/>
    <hyperlink ref="AL24" r:id="rId6" xr:uid="{69D51515-338B-4FE3-83BA-0FEFFCA2162B}"/>
    <hyperlink ref="AL7" r:id="rId7" xr:uid="{1C7AB638-76B2-4823-834C-3BA39AC2E221}"/>
    <hyperlink ref="AL13" r:id="rId8" xr:uid="{7F589A5D-8B35-47A7-9977-E15A9DB970EA}"/>
    <hyperlink ref="AL11" r:id="rId9" xr:uid="{63809750-D93F-4EC8-B0A2-87D6E06F4CDE}"/>
    <hyperlink ref="AO11" r:id="rId10" xr:uid="{22098A17-9142-4D77-9CCC-6459EC97C01C}"/>
  </hyperlinks>
  <pageMargins left="0.7" right="0.7" top="0.75" bottom="0.75" header="0.3" footer="0.3"/>
  <pageSetup paperSize="9" orientation="portrait" horizontalDpi="1200" verticalDpi="1200" r:id="rId11"/>
  <drawing r:id="rId1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8dacc14-b369-4826-b0bc-ab1ab45fffcd">
      <Terms xmlns="http://schemas.microsoft.com/office/infopath/2007/PartnerControls"/>
    </lcf76f155ced4ddcb4097134ff3c332f>
    <TaxCatchAll xmlns="9c9a1cef-5b6b-42b1-990c-2ae96b3a73f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2C942EBCDD5F5479D5600AA1BD6F9D6" ma:contentTypeVersion="14" ma:contentTypeDescription="Crear nuevo documento." ma:contentTypeScope="" ma:versionID="205b3ed640b6b247370f3313ba6688df">
  <xsd:schema xmlns:xsd="http://www.w3.org/2001/XMLSchema" xmlns:xs="http://www.w3.org/2001/XMLSchema" xmlns:p="http://schemas.microsoft.com/office/2006/metadata/properties" xmlns:ns2="e8dacc14-b369-4826-b0bc-ab1ab45fffcd" xmlns:ns3="9c9a1cef-5b6b-42b1-990c-2ae96b3a73fe" targetNamespace="http://schemas.microsoft.com/office/2006/metadata/properties" ma:root="true" ma:fieldsID="e0ec26e01aa35e60560362371376f618" ns2:_="" ns3:_="">
    <xsd:import namespace="e8dacc14-b369-4826-b0bc-ab1ab45fffcd"/>
    <xsd:import namespace="9c9a1cef-5b6b-42b1-990c-2ae96b3a73fe"/>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dacc14-b369-4826-b0bc-ab1ab45fff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c9a1cef-5b6b-42b1-990c-2ae96b3a73fe"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fbb89307-f604-429a-bd33-87a61bd88920}" ma:internalName="TaxCatchAll" ma:showField="CatchAllData" ma:web="9c9a1cef-5b6b-42b1-990c-2ae96b3a73fe">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4D2728-57CB-4B1F-BE14-A13998A514EF}"/>
</file>

<file path=customXml/itemProps2.xml><?xml version="1.0" encoding="utf-8"?>
<ds:datastoreItem xmlns:ds="http://schemas.openxmlformats.org/officeDocument/2006/customXml" ds:itemID="{22DA79BE-447C-4CFC-BEEB-B702104F9FAC}"/>
</file>

<file path=customXml/itemProps3.xml><?xml version="1.0" encoding="utf-8"?>
<ds:datastoreItem xmlns:ds="http://schemas.openxmlformats.org/officeDocument/2006/customXml" ds:itemID="{790BF379-3BE2-485A-9D93-22B32B64D40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Javier Arguellez Palacios</dc:creator>
  <cp:keywords/>
  <dc:description/>
  <cp:lastModifiedBy/>
  <cp:revision/>
  <dcterms:created xsi:type="dcterms:W3CDTF">2020-08-20T21:27:39Z</dcterms:created>
  <dcterms:modified xsi:type="dcterms:W3CDTF">2026-09-29T20:28:02Z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0x01010032C942EBCDD5F5479D5600AA1BD6F9D6</vt:lpwstr>
  </property>
  <property fmtid="{D5CDD505-2E9C-101B-9397-08002B2CF9AE}" pid="3" name="MediaServiceImageTags">
    <vt:lpwstr/>
  </property>
</Properties>
</file>