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dany\OneDrive\Escritorio\EMPRESAS\ICA\PROCESOS\2026\DOTACION - SUBASTA 2026-O\RADICADO 2\"/>
    </mc:Choice>
  </mc:AlternateContent>
  <xr:revisionPtr revIDLastSave="0" documentId="13_ncr:1_{D77B22F5-0ABA-41D5-93BD-DD22368F72B0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Estudio de mcdo dotacion" sheetId="5" r:id="rId1"/>
    <sheet name="Estudio de mcdo tarjetas FINAL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9" i="6" l="1"/>
  <c r="V6" i="6"/>
  <c r="Y6" i="6" s="1"/>
  <c r="Q6" i="6"/>
  <c r="R6" i="6" s="1"/>
  <c r="S6" i="6" s="1"/>
  <c r="T6" i="6" s="1"/>
  <c r="L6" i="6"/>
  <c r="M6" i="6" s="1"/>
  <c r="N6" i="6" s="1"/>
  <c r="O6" i="6" s="1"/>
  <c r="G6" i="6"/>
  <c r="H6" i="6" s="1"/>
  <c r="I6" i="6" s="1"/>
  <c r="J6" i="6" s="1"/>
  <c r="F26" i="6"/>
  <c r="G26" i="6" s="1"/>
  <c r="E27" i="6"/>
  <c r="D27" i="6"/>
  <c r="G22" i="6"/>
  <c r="H22" i="6" s="1"/>
  <c r="F23" i="6"/>
  <c r="E23" i="6"/>
  <c r="D23" i="6"/>
  <c r="C7" i="6"/>
  <c r="Z6" i="6" l="1"/>
  <c r="AA6" i="6" s="1"/>
  <c r="AB6" i="6" s="1"/>
  <c r="W6" i="6"/>
  <c r="X6" i="6"/>
  <c r="AC6" i="6" s="1"/>
  <c r="AD6" i="6" s="1"/>
  <c r="F27" i="6"/>
  <c r="G23" i="6"/>
  <c r="C19" i="5"/>
  <c r="I10" i="5"/>
  <c r="I7" i="5"/>
  <c r="E7" i="5"/>
  <c r="D7" i="5"/>
  <c r="D8" i="5"/>
  <c r="T7" i="6" l="1"/>
  <c r="S7" i="6"/>
  <c r="J7" i="6" l="1"/>
  <c r="I7" i="6"/>
  <c r="N7" i="6"/>
  <c r="O7" i="6"/>
  <c r="AE6" i="6" l="1"/>
  <c r="AF6" i="6" s="1"/>
  <c r="AG6" i="6" s="1"/>
  <c r="AA7" i="6"/>
  <c r="AB7" i="6"/>
  <c r="AG7" i="6" l="1"/>
  <c r="AG10" i="6" s="1"/>
  <c r="AF7" i="6"/>
  <c r="C10" i="5" l="1"/>
  <c r="G16" i="5"/>
  <c r="H16" i="5" s="1"/>
  <c r="G15" i="5"/>
  <c r="H15" i="5" s="1"/>
  <c r="G14" i="5"/>
  <c r="H14" i="5" s="1"/>
  <c r="G9" i="5"/>
  <c r="H9" i="5" s="1"/>
  <c r="I9" i="5" s="1"/>
  <c r="G8" i="5"/>
  <c r="H8" i="5" s="1"/>
  <c r="I8" i="5" s="1"/>
  <c r="G7" i="5"/>
  <c r="H7" i="5" s="1"/>
  <c r="D16" i="5"/>
  <c r="E16" i="5" s="1"/>
  <c r="D15" i="5"/>
  <c r="E15" i="5" s="1"/>
  <c r="I15" i="5" s="1"/>
  <c r="D14" i="5"/>
  <c r="E14" i="5" s="1"/>
  <c r="D9" i="5"/>
  <c r="E9" i="5" s="1"/>
  <c r="E8" i="5"/>
  <c r="E10" i="5"/>
  <c r="I16" i="5" l="1"/>
  <c r="H17" i="5"/>
  <c r="E17" i="5"/>
  <c r="H10" i="5"/>
  <c r="I14" i="5"/>
  <c r="I17" i="5" l="1"/>
  <c r="C21" i="5"/>
</calcChain>
</file>

<file path=xl/sharedStrings.xml><?xml version="1.0" encoding="utf-8"?>
<sst xmlns="http://schemas.openxmlformats.org/spreadsheetml/2006/main" count="82" uniqueCount="59">
  <si>
    <t>ITEM</t>
  </si>
  <si>
    <t>INSITITUTO COLOMBIANO AGROPECUARIO - ICA</t>
  </si>
  <si>
    <t>VESTURARIO</t>
  </si>
  <si>
    <t>Valor Unitario con IVA</t>
  </si>
  <si>
    <t>FEMENINO</t>
  </si>
  <si>
    <t>Falda - Pantalón o Jean</t>
  </si>
  <si>
    <t>Par zapatos</t>
  </si>
  <si>
    <t>VALOR TOTAL</t>
  </si>
  <si>
    <t>MASCULINO</t>
  </si>
  <si>
    <t xml:space="preserve">Camisa hombre manga larga o corta, o camiseta tipo polo </t>
  </si>
  <si>
    <t>Pantalón o Jean hombre</t>
  </si>
  <si>
    <t>PROMEDIO TOTAL DOTACIÓN POR FUNCIONARIO</t>
  </si>
  <si>
    <t>TOTAL RECARGAS DOTACION</t>
  </si>
  <si>
    <t>VALOR TOTAL DOTACION</t>
  </si>
  <si>
    <t>Blusa - Camisa mujer manga larga o corta, o camiseta tipo polo</t>
  </si>
  <si>
    <t>VALOR 2025 + IPC</t>
  </si>
  <si>
    <t>COTIZACIÓN GUILLERMO PULGARIN S. S.A.</t>
  </si>
  <si>
    <t>Valor Unitario antes de IVA</t>
  </si>
  <si>
    <t>IVA Valor unitario</t>
  </si>
  <si>
    <t>VALORES PROMEDIO</t>
  </si>
  <si>
    <t>ANEXO ESTUDIO DE MERCADO DOTACIONES 2026</t>
  </si>
  <si>
    <t>VALOR HISTORICO 2025</t>
  </si>
  <si>
    <t>VALOR IPC 2025</t>
  </si>
  <si>
    <t xml:space="preserve"> ANEXO ESTUDIO DE MERCADO TARJETAS</t>
  </si>
  <si>
    <t>PROMEDIO</t>
  </si>
  <si>
    <t>DESCRIPCIÓN NECESIDAD</t>
  </si>
  <si>
    <t>TOTAL TARJETAS (PASTICO)</t>
  </si>
  <si>
    <t>VLR UNT POR DOTACIÓN</t>
  </si>
  <si>
    <t>TOTAL RECARGAS</t>
  </si>
  <si>
    <t>% COMISIÓN</t>
  </si>
  <si>
    <t>VLR UNT COMISIÓN ANTES DE IVA</t>
  </si>
  <si>
    <t>IVA VLR UNT COMISIÓN</t>
  </si>
  <si>
    <t>VLR UNT COMISIÓN CON IVA</t>
  </si>
  <si>
    <t>VALOR TOTAL COMISIÓN CON IVA</t>
  </si>
  <si>
    <t>TARJETAS ELECTRÓNICAS CANJEABLES POR CALZADO Y VESTUARIO DE DOTACION HOMBRE Y DAMA</t>
  </si>
  <si>
    <t>VALOR TOTAL DOTACIÓN</t>
  </si>
  <si>
    <t>VALOR TOTAL DOTACIÓN + COMISIÓN CON IVA</t>
  </si>
  <si>
    <t>COTIZACIÓN 1 - BIG PASS SAS (EDENRED COLOMBIA)</t>
  </si>
  <si>
    <t>COTIZACIÓN 2 - PLUXEE COLOMBIA S.A.S.</t>
  </si>
  <si>
    <t>people</t>
  </si>
  <si>
    <t>big pass</t>
  </si>
  <si>
    <t>comision</t>
  </si>
  <si>
    <t>costo medio transaccional</t>
  </si>
  <si>
    <t>total costo envio</t>
  </si>
  <si>
    <t>valor base</t>
  </si>
  <si>
    <t>serv administrativo</t>
  </si>
  <si>
    <t>costo tarjetas</t>
  </si>
  <si>
    <t>COTIZACIÓN 3 - PEOPLEPASS</t>
  </si>
  <si>
    <t>DISCRIMINACION COTIZACIONES</t>
  </si>
  <si>
    <t>HISTORICO 2025 + IPC</t>
  </si>
  <si>
    <t>% COMISIÓN 2025</t>
  </si>
  <si>
    <t>VLR UNT COMISIÓN ANTES DE IVA 2025</t>
  </si>
  <si>
    <t>VALOR INCREMENTO IPC 2025 = 5,20%</t>
  </si>
  <si>
    <t>% COMISIÓN CON IPC 2025</t>
  </si>
  <si>
    <t>VLR UNT COMISIÓN ANTES DE IVA 2025 + IPC</t>
  </si>
  <si>
    <t>IVA VLR UNT COMISIÓN 2025 + IPC</t>
  </si>
  <si>
    <t>VLR UNT COMISIÓN CON IVA 2025 + IPC</t>
  </si>
  <si>
    <t>VALOR TOTAL COMISIÓN CON IVA 2025 + IPC</t>
  </si>
  <si>
    <t>OBJETO: "SUMINISTRO DE TARJETAS ELECTRÓNICAS CANJEABLES POR CALZADO Y VESTUARIO DE DOTACIÓN PARA LOS FUNCIONARIOS DEL INSTITUTO COLOMBIANO AGROPECUARIO, CON ESTE DERECHO EN LA VIGENCIA 2026".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</si>
</sst>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1" formatCode="_-* #,##0_-;\-* #,##0_-;_-* &quot;-&quot;_-;_-@_-"/>
    <numFmt numFmtId="43" formatCode="_-* #,##0.00_-;\-* #,##0.00_-;_-* &quot;-&quot;??_-;_-@_-"/>
    <numFmt numFmtId="164" formatCode="_(&quot;$&quot;\ * #.##0.00_);_(&quot;$&quot;\ * \(#.##0.00\);_(&quot;$&quot;\ * &quot;-&quot;??_);_(@_)"/>
    <numFmt numFmtId="165" formatCode="_-* #,##0_-;\-* #,##0_-;_-* &quot;-&quot;??_-;_-@_-"/>
    <numFmt numFmtId="166" formatCode="_-* #,##0.0000_-;\-* #,##0.0000_-;_-* &quot;-&quot;??_-;_-@_-"/>
    <numFmt numFmtId="167" formatCode="0.0%"/>
  </numFmts>
  <fonts count="11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name val="Century Gothic"/>
      <family val="1"/>
    </font>
    <font>
      <b/>
      <sz val="9"/>
      <name val="Century Gothic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1" fontId="2" fillId="0" borderId="0" applyFont="0" applyFill="0" applyBorder="0" applyAlignment="0" applyProtection="0"/>
    <xf numFmtId="0" fontId="6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0" fontId="5" fillId="0" borderId="0" xfId="0" applyFont="1"/>
    <xf numFmtId="43" fontId="0" fillId="0" borderId="0" xfId="4" applyFont="1"/>
    <xf numFmtId="0" fontId="1" fillId="2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6" fontId="0" fillId="0" borderId="1" xfId="0" applyNumberFormat="1" applyBorder="1"/>
    <xf numFmtId="0" fontId="8" fillId="0" borderId="1" xfId="0" applyFont="1" applyBorder="1" applyAlignment="1">
      <alignment horizontal="left" vertical="center" wrapText="1"/>
    </xf>
    <xf numFmtId="165" fontId="0" fillId="0" borderId="0" xfId="4" applyNumberFormat="1" applyFont="1"/>
    <xf numFmtId="165" fontId="0" fillId="0" borderId="0" xfId="0" applyNumberFormat="1"/>
    <xf numFmtId="166" fontId="0" fillId="0" borderId="0" xfId="0" applyNumberFormat="1"/>
    <xf numFmtId="165" fontId="5" fillId="0" borderId="0" xfId="0" applyNumberFormat="1" applyFont="1"/>
    <xf numFmtId="0" fontId="1" fillId="2" borderId="6" xfId="0" applyFont="1" applyFill="1" applyBorder="1" applyAlignment="1">
      <alignment horizontal="left" vertical="center" wrapText="1" indent="1"/>
    </xf>
    <xf numFmtId="0" fontId="1" fillId="5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165" fontId="0" fillId="0" borderId="1" xfId="0" applyNumberFormat="1" applyBorder="1"/>
    <xf numFmtId="0" fontId="9" fillId="0" borderId="1" xfId="0" applyFont="1" applyBorder="1" applyAlignment="1">
      <alignment horizontal="center" vertical="center"/>
    </xf>
    <xf numFmtId="6" fontId="5" fillId="0" borderId="1" xfId="0" applyNumberFormat="1" applyFont="1" applyBorder="1"/>
    <xf numFmtId="165" fontId="5" fillId="0" borderId="1" xfId="0" applyNumberFormat="1" applyFont="1" applyBorder="1"/>
    <xf numFmtId="0" fontId="9" fillId="0" borderId="1" xfId="0" applyFont="1" applyBorder="1" applyAlignment="1">
      <alignment vertical="center"/>
    </xf>
    <xf numFmtId="0" fontId="5" fillId="0" borderId="1" xfId="0" applyFont="1" applyBorder="1"/>
    <xf numFmtId="0" fontId="0" fillId="0" borderId="6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165" fontId="0" fillId="0" borderId="1" xfId="4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5" fillId="8" borderId="1" xfId="0" applyFont="1" applyFill="1" applyBorder="1" applyAlignment="1">
      <alignment horizontal="center"/>
    </xf>
    <xf numFmtId="1" fontId="5" fillId="8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167" fontId="0" fillId="0" borderId="0" xfId="0" applyNumberFormat="1"/>
    <xf numFmtId="2" fontId="0" fillId="0" borderId="0" xfId="0" applyNumberFormat="1"/>
    <xf numFmtId="10" fontId="0" fillId="0" borderId="1" xfId="4" applyNumberFormat="1" applyFont="1" applyBorder="1" applyAlignment="1">
      <alignment horizontal="center" vertical="center"/>
    </xf>
    <xf numFmtId="165" fontId="0" fillId="8" borderId="1" xfId="4" applyNumberFormat="1" applyFont="1" applyFill="1" applyBorder="1" applyAlignment="1">
      <alignment horizontal="center" vertical="center" wrapText="1"/>
    </xf>
    <xf numFmtId="10" fontId="0" fillId="0" borderId="0" xfId="5" applyNumberFormat="1" applyFont="1"/>
    <xf numFmtId="165" fontId="0" fillId="0" borderId="0" xfId="4" applyNumberFormat="1" applyFont="1" applyAlignment="1">
      <alignment wrapText="1"/>
    </xf>
    <xf numFmtId="10" fontId="0" fillId="0" borderId="1" xfId="5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3" fontId="5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center"/>
    </xf>
    <xf numFmtId="10" fontId="5" fillId="0" borderId="0" xfId="5" applyNumberFormat="1" applyFont="1" applyBorder="1" applyAlignment="1">
      <alignment horizontal="center"/>
    </xf>
    <xf numFmtId="3" fontId="5" fillId="9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43" fontId="5" fillId="0" borderId="3" xfId="4" applyFont="1" applyBorder="1" applyAlignment="1">
      <alignment horizontal="center" vertical="center"/>
    </xf>
    <xf numFmtId="43" fontId="5" fillId="0" borderId="4" xfId="4" applyFont="1" applyBorder="1" applyAlignment="1">
      <alignment horizontal="center" vertical="center"/>
    </xf>
    <xf numFmtId="43" fontId="5" fillId="0" borderId="5" xfId="4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1" fontId="4" fillId="3" borderId="1" xfId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41" fontId="4" fillId="3" borderId="6" xfId="1" applyFont="1" applyFill="1" applyBorder="1" applyAlignment="1">
      <alignment horizontal="center"/>
    </xf>
    <xf numFmtId="41" fontId="4" fillId="3" borderId="0" xfId="1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/>
    </xf>
    <xf numFmtId="165" fontId="5" fillId="0" borderId="4" xfId="0" applyNumberFormat="1" applyFont="1" applyBorder="1" applyAlignment="1">
      <alignment horizontal="center"/>
    </xf>
    <xf numFmtId="165" fontId="5" fillId="0" borderId="5" xfId="0" applyNumberFormat="1" applyFont="1" applyBorder="1" applyAlignment="1">
      <alignment horizontal="center"/>
    </xf>
    <xf numFmtId="0" fontId="1" fillId="5" borderId="7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5" fontId="5" fillId="0" borderId="3" xfId="4" applyNumberFormat="1" applyFont="1" applyBorder="1" applyAlignment="1">
      <alignment horizontal="center" vertical="center"/>
    </xf>
    <xf numFmtId="165" fontId="5" fillId="0" borderId="4" xfId="4" applyNumberFormat="1" applyFont="1" applyBorder="1" applyAlignment="1">
      <alignment horizontal="center" vertical="center"/>
    </xf>
    <xf numFmtId="165" fontId="5" fillId="0" borderId="5" xfId="4" applyNumberFormat="1" applyFont="1" applyBorder="1" applyAlignment="1">
      <alignment horizontal="center" vertical="center"/>
    </xf>
  </cellXfs>
  <cellStyles count="6">
    <cellStyle name="Millares" xfId="4" builtinId="3"/>
    <cellStyle name="Millares [0]" xfId="1" builtinId="6"/>
    <cellStyle name="Moneda 2" xfId="3" xr:uid="{00000000-0005-0000-0000-000003000000}"/>
    <cellStyle name="Normal" xfId="0" builtinId="0"/>
    <cellStyle name="Normal 2" xfId="2" xr:uid="{00000000-0005-0000-0000-000005000000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152399</xdr:colOff>
      <xdr:row>0</xdr:row>
      <xdr:rowOff>0</xdr:rowOff>
    </xdr:from>
    <xdr:to>
      <xdr:col>2</xdr:col>
      <xdr:colOff>402166</xdr:colOff>
      <xdr:row>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9A48E9-8D39-45C3-89D5-85B70B00FA5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399" y="0"/>
          <a:ext cx="3012017" cy="9620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D9FCC-56CE-4D18-AD67-3A951D30420E}">
  <dimension ref="A1:K53"/>
  <sheetViews>
    <sheetView topLeftCell="A16" zoomScale="85" zoomScaleNormal="85" workbookViewId="0">
      <selection sqref="A1:I21"/>
    </sheetView>
  </sheetViews>
  <sheetFormatPr baseColWidth="10" defaultColWidth="10.7109375" defaultRowHeight="15" x14ac:dyDescent="0.25"/>
  <cols>
    <col min="1" max="1" width="6.28515625" bestFit="1" customWidth="1"/>
    <col min="2" max="2" width="49.140625" customWidth="1"/>
    <col min="3" max="3" width="18.7109375" customWidth="1"/>
    <col min="4" max="4" width="12.28515625" bestFit="1" customWidth="1"/>
    <col min="5" max="5" width="19.42578125" customWidth="1"/>
    <col min="6" max="6" width="16" style="3" hidden="1" customWidth="1"/>
    <col min="7" max="7" width="20.5703125" hidden="1" customWidth="1"/>
    <col min="8" max="8" width="24.7109375" customWidth="1"/>
    <col min="9" max="9" width="18" customWidth="1"/>
    <col min="11" max="11" width="17.85546875" bestFit="1" customWidth="1"/>
  </cols>
  <sheetData>
    <row r="1" spans="1:9" s="1" customFormat="1" ht="22.15" customHeight="1" x14ac:dyDescent="0.3">
      <c r="A1" s="70" t="s">
        <v>1</v>
      </c>
      <c r="B1" s="71"/>
      <c r="C1" s="71"/>
      <c r="D1" s="71"/>
      <c r="E1" s="71"/>
      <c r="F1" s="71"/>
      <c r="G1" s="71"/>
      <c r="H1" s="71"/>
      <c r="I1" s="71"/>
    </row>
    <row r="2" spans="1:9" ht="24.75" customHeight="1" x14ac:dyDescent="0.25">
      <c r="A2" s="72" t="s">
        <v>20</v>
      </c>
      <c r="B2" s="73"/>
      <c r="C2" s="73"/>
      <c r="D2" s="73"/>
      <c r="E2" s="73"/>
      <c r="F2" s="73"/>
      <c r="G2" s="73"/>
      <c r="H2" s="73"/>
      <c r="I2" s="73"/>
    </row>
    <row r="3" spans="1:9" ht="29.25" customHeight="1" x14ac:dyDescent="0.25">
      <c r="A3" s="4"/>
      <c r="B3" s="4"/>
      <c r="C3" s="74" t="s">
        <v>21</v>
      </c>
      <c r="D3" s="74" t="s">
        <v>22</v>
      </c>
      <c r="E3" s="5" t="s">
        <v>15</v>
      </c>
      <c r="F3" s="66" t="s">
        <v>16</v>
      </c>
      <c r="G3" s="67"/>
      <c r="H3" s="68"/>
      <c r="I3" s="16" t="s">
        <v>19</v>
      </c>
    </row>
    <row r="4" spans="1:9" ht="24" x14ac:dyDescent="0.25">
      <c r="A4" s="17" t="s">
        <v>0</v>
      </c>
      <c r="B4" s="17" t="s">
        <v>2</v>
      </c>
      <c r="C4" s="75"/>
      <c r="D4" s="79"/>
      <c r="E4" s="17" t="s">
        <v>3</v>
      </c>
      <c r="F4" s="15" t="s">
        <v>17</v>
      </c>
      <c r="G4" s="15" t="s">
        <v>18</v>
      </c>
      <c r="H4" s="17" t="s">
        <v>3</v>
      </c>
      <c r="I4" s="17" t="s">
        <v>3</v>
      </c>
    </row>
    <row r="5" spans="1:9" ht="15" customHeight="1" x14ac:dyDescent="0.25">
      <c r="A5" s="80" t="s">
        <v>4</v>
      </c>
      <c r="B5" s="80"/>
      <c r="C5" s="80"/>
      <c r="D5" s="80"/>
      <c r="E5" s="80"/>
      <c r="F5" s="80"/>
      <c r="G5" s="80"/>
      <c r="H5" s="80"/>
      <c r="I5" s="80"/>
    </row>
    <row r="6" spans="1:9" ht="15" customHeight="1" x14ac:dyDescent="0.25">
      <c r="A6" s="5"/>
      <c r="B6" s="5"/>
      <c r="C6" s="5"/>
      <c r="D6" s="5"/>
      <c r="E6" s="5"/>
      <c r="F6" s="5"/>
      <c r="G6" s="5"/>
      <c r="H6" s="5"/>
      <c r="I6" s="5"/>
    </row>
    <row r="7" spans="1:9" ht="41.25" customHeight="1" x14ac:dyDescent="0.25">
      <c r="A7" s="6">
        <v>1</v>
      </c>
      <c r="B7" s="7" t="s">
        <v>14</v>
      </c>
      <c r="C7" s="9">
        <v>114551.56489199999</v>
      </c>
      <c r="D7" s="9">
        <f>+C7*5.1%</f>
        <v>5842.1298094919994</v>
      </c>
      <c r="E7" s="9">
        <f>+D7+C7</f>
        <v>120393.694701492</v>
      </c>
      <c r="F7" s="18">
        <v>94000</v>
      </c>
      <c r="G7" s="19">
        <f>+F7*19%</f>
        <v>17860</v>
      </c>
      <c r="H7" s="19">
        <f>+G7+F7</f>
        <v>111860</v>
      </c>
      <c r="I7" s="19">
        <f>+AVERAGE(H7,E7)</f>
        <v>116126.847350746</v>
      </c>
    </row>
    <row r="8" spans="1:9" ht="15.75" x14ac:dyDescent="0.25">
      <c r="A8" s="6">
        <v>3</v>
      </c>
      <c r="B8" s="7" t="s">
        <v>5</v>
      </c>
      <c r="C8" s="9">
        <v>138383.16382866667</v>
      </c>
      <c r="D8" s="9">
        <f>+C8*5.1%</f>
        <v>7057.5413552619993</v>
      </c>
      <c r="E8" s="9">
        <f t="shared" ref="E8:E9" si="0">+D8+C8</f>
        <v>145440.70518392866</v>
      </c>
      <c r="F8" s="18">
        <v>105000</v>
      </c>
      <c r="G8" s="19">
        <f>+F8*19%</f>
        <v>19950</v>
      </c>
      <c r="H8" s="19">
        <f>+G8+F8</f>
        <v>124950</v>
      </c>
      <c r="I8" s="19">
        <f>+AVERAGE(H8,E8)</f>
        <v>135195.35259196433</v>
      </c>
    </row>
    <row r="9" spans="1:9" x14ac:dyDescent="0.25">
      <c r="A9" s="8">
        <v>4</v>
      </c>
      <c r="B9" s="10" t="s">
        <v>6</v>
      </c>
      <c r="C9" s="9">
        <v>213479.14199533334</v>
      </c>
      <c r="D9" s="9">
        <f>+C9*5.1%</f>
        <v>10887.436241762</v>
      </c>
      <c r="E9" s="9">
        <f t="shared" si="0"/>
        <v>224366.57823709532</v>
      </c>
      <c r="F9" s="18">
        <v>185000</v>
      </c>
      <c r="G9" s="19">
        <f>+F9*19%</f>
        <v>35150</v>
      </c>
      <c r="H9" s="19">
        <f>+G9+F9</f>
        <v>220150</v>
      </c>
      <c r="I9" s="19">
        <f>+AVERAGE(H9,E9)</f>
        <v>222258.28911854766</v>
      </c>
    </row>
    <row r="10" spans="1:9" s="2" customFormat="1" x14ac:dyDescent="0.25">
      <c r="A10" s="81" t="s">
        <v>7</v>
      </c>
      <c r="B10" s="81"/>
      <c r="C10" s="21">
        <f>SUM(C7:C9)</f>
        <v>466413.87071599998</v>
      </c>
      <c r="D10" s="24"/>
      <c r="E10" s="21">
        <f>SUM(E7:E9)</f>
        <v>490200.97812251601</v>
      </c>
      <c r="F10" s="24"/>
      <c r="G10" s="22"/>
      <c r="H10" s="21">
        <f>SUM(H7:H9)</f>
        <v>456960</v>
      </c>
      <c r="I10" s="22">
        <f>SUM(I7:I9)</f>
        <v>473580.48906125803</v>
      </c>
    </row>
    <row r="11" spans="1:9" s="2" customFormat="1" x14ac:dyDescent="0.25">
      <c r="A11" s="23"/>
      <c r="B11" s="23"/>
      <c r="C11" s="21"/>
      <c r="D11" s="18"/>
      <c r="E11" s="18"/>
      <c r="F11" s="18"/>
      <c r="G11" s="18"/>
      <c r="H11" s="18"/>
      <c r="I11" s="24"/>
    </row>
    <row r="12" spans="1:9" ht="15" customHeight="1" x14ac:dyDescent="0.25">
      <c r="A12" s="80" t="s">
        <v>8</v>
      </c>
      <c r="B12" s="80"/>
      <c r="C12" s="80"/>
      <c r="D12" s="80"/>
      <c r="E12" s="80"/>
      <c r="F12" s="80"/>
      <c r="G12" s="80"/>
      <c r="H12" s="80"/>
      <c r="I12" s="80"/>
    </row>
    <row r="13" spans="1:9" ht="15" customHeight="1" x14ac:dyDescent="0.25">
      <c r="A13" s="5"/>
      <c r="B13" s="5"/>
      <c r="C13" s="5"/>
      <c r="D13" s="5"/>
      <c r="E13" s="5"/>
      <c r="F13" s="5"/>
      <c r="G13" s="5"/>
      <c r="H13" s="5"/>
      <c r="I13" s="5"/>
    </row>
    <row r="14" spans="1:9" ht="40.5" customHeight="1" x14ac:dyDescent="0.25">
      <c r="A14" s="8">
        <v>5</v>
      </c>
      <c r="B14" s="7" t="s">
        <v>9</v>
      </c>
      <c r="C14" s="9">
        <v>112826.26548466667</v>
      </c>
      <c r="D14" s="9">
        <f t="shared" ref="D14:D16" si="1">+C14*5.1%</f>
        <v>5754.1395397179995</v>
      </c>
      <c r="E14" s="9">
        <f t="shared" ref="E14:E16" si="2">+D14+C14</f>
        <v>118580.40502438467</v>
      </c>
      <c r="F14" s="18">
        <v>94000</v>
      </c>
      <c r="G14" s="19">
        <f>+F14*19%</f>
        <v>17860</v>
      </c>
      <c r="H14" s="19">
        <f>+G14+F14</f>
        <v>111860</v>
      </c>
      <c r="I14" s="19">
        <f>+AVERAGE(H14,E14)</f>
        <v>115220.20251219234</v>
      </c>
    </row>
    <row r="15" spans="1:9" ht="15" customHeight="1" x14ac:dyDescent="0.25">
      <c r="A15" s="8">
        <v>7</v>
      </c>
      <c r="B15" s="10" t="s">
        <v>10</v>
      </c>
      <c r="C15" s="9">
        <v>152455.61645933334</v>
      </c>
      <c r="D15" s="9">
        <f t="shared" si="1"/>
        <v>7775.2364394259994</v>
      </c>
      <c r="E15" s="9">
        <f t="shared" si="2"/>
        <v>160230.85289875933</v>
      </c>
      <c r="F15" s="18">
        <v>125000</v>
      </c>
      <c r="G15" s="19">
        <f>+F15*19%</f>
        <v>23750</v>
      </c>
      <c r="H15" s="19">
        <f>+G15+F15</f>
        <v>148750</v>
      </c>
      <c r="I15" s="19">
        <f>+AVERAGE(H15,E15)</f>
        <v>154490.42644937965</v>
      </c>
    </row>
    <row r="16" spans="1:9" ht="15" customHeight="1" x14ac:dyDescent="0.25">
      <c r="A16" s="8">
        <v>8</v>
      </c>
      <c r="B16" s="10" t="s">
        <v>6</v>
      </c>
      <c r="C16" s="9">
        <v>216031.87793133332</v>
      </c>
      <c r="D16" s="9">
        <f t="shared" si="1"/>
        <v>11017.625774497999</v>
      </c>
      <c r="E16" s="9">
        <f t="shared" si="2"/>
        <v>227049.50370583133</v>
      </c>
      <c r="F16" s="18">
        <v>185000</v>
      </c>
      <c r="G16" s="19">
        <f>+F16*19%</f>
        <v>35150</v>
      </c>
      <c r="H16" s="19">
        <f>+G16+F16</f>
        <v>220150</v>
      </c>
      <c r="I16" s="19">
        <f>+AVERAGE(H16,E16)</f>
        <v>223599.75185291568</v>
      </c>
    </row>
    <row r="17" spans="1:11" s="2" customFormat="1" ht="15" customHeight="1" x14ac:dyDescent="0.25">
      <c r="A17" s="81" t="s">
        <v>7</v>
      </c>
      <c r="B17" s="81"/>
      <c r="C17" s="21">
        <v>481313.75987533334</v>
      </c>
      <c r="D17" s="9"/>
      <c r="E17" s="21">
        <f>SUM(E14:E16)</f>
        <v>505860.76162897539</v>
      </c>
      <c r="F17" s="24"/>
      <c r="G17" s="22"/>
      <c r="H17" s="22">
        <f>SUM(H14:H16)</f>
        <v>480760</v>
      </c>
      <c r="I17" s="22">
        <f>SUM(I14:I16)</f>
        <v>493310.38081448764</v>
      </c>
    </row>
    <row r="18" spans="1:11" s="2" customFormat="1" x14ac:dyDescent="0.25">
      <c r="A18" s="20"/>
      <c r="B18" s="20"/>
      <c r="C18" s="24"/>
      <c r="D18" s="24"/>
      <c r="E18" s="24"/>
      <c r="F18" s="24"/>
      <c r="G18" s="24"/>
      <c r="H18" s="24"/>
      <c r="I18" s="24"/>
    </row>
    <row r="19" spans="1:11" s="2" customFormat="1" x14ac:dyDescent="0.25">
      <c r="A19" s="48" t="s">
        <v>11</v>
      </c>
      <c r="B19" s="48"/>
      <c r="C19" s="76">
        <f>+AVERAGE(I17,I10)</f>
        <v>483445.43493787281</v>
      </c>
      <c r="D19" s="77"/>
      <c r="E19" s="77"/>
      <c r="F19" s="77"/>
      <c r="G19" s="77"/>
      <c r="H19" s="77"/>
      <c r="I19" s="78"/>
      <c r="J19" s="14"/>
      <c r="K19" s="14"/>
    </row>
    <row r="20" spans="1:11" s="2" customFormat="1" x14ac:dyDescent="0.25">
      <c r="A20" s="48" t="s">
        <v>12</v>
      </c>
      <c r="B20" s="48"/>
      <c r="C20" s="82">
        <v>1960</v>
      </c>
      <c r="D20" s="83"/>
      <c r="E20" s="83"/>
      <c r="F20" s="83"/>
      <c r="G20" s="83"/>
      <c r="H20" s="83"/>
      <c r="I20" s="84"/>
    </row>
    <row r="21" spans="1:11" s="2" customFormat="1" x14ac:dyDescent="0.25">
      <c r="A21" s="48" t="s">
        <v>13</v>
      </c>
      <c r="B21" s="48"/>
      <c r="C21" s="82">
        <f>+C19*C20</f>
        <v>947553052.47823071</v>
      </c>
      <c r="D21" s="83"/>
      <c r="E21" s="83"/>
      <c r="F21" s="83"/>
      <c r="G21" s="83"/>
      <c r="H21" s="83"/>
      <c r="I21" s="84"/>
    </row>
    <row r="22" spans="1:11" x14ac:dyDescent="0.25">
      <c r="C22" s="11"/>
      <c r="F22"/>
    </row>
    <row r="23" spans="1:11" x14ac:dyDescent="0.25">
      <c r="C23" s="11"/>
      <c r="D23" s="3"/>
      <c r="F23"/>
    </row>
    <row r="24" spans="1:11" x14ac:dyDescent="0.25">
      <c r="F24"/>
    </row>
    <row r="25" spans="1:11" x14ac:dyDescent="0.25">
      <c r="C25" s="12"/>
      <c r="D25" s="13"/>
      <c r="F25"/>
    </row>
    <row r="26" spans="1:11" x14ac:dyDescent="0.25">
      <c r="F26"/>
    </row>
    <row r="27" spans="1:11" x14ac:dyDescent="0.25">
      <c r="F27"/>
    </row>
    <row r="28" spans="1:11" x14ac:dyDescent="0.25">
      <c r="F28"/>
    </row>
    <row r="29" spans="1:11" x14ac:dyDescent="0.25">
      <c r="F29"/>
    </row>
    <row r="30" spans="1:11" x14ac:dyDescent="0.25">
      <c r="F30"/>
    </row>
    <row r="31" spans="1:11" x14ac:dyDescent="0.25">
      <c r="F31"/>
    </row>
    <row r="32" spans="1:11" x14ac:dyDescent="0.25">
      <c r="F32"/>
    </row>
    <row r="33" spans="6:6" x14ac:dyDescent="0.25">
      <c r="F33"/>
    </row>
    <row r="34" spans="6:6" x14ac:dyDescent="0.25">
      <c r="F34"/>
    </row>
    <row r="35" spans="6:6" x14ac:dyDescent="0.25">
      <c r="F35"/>
    </row>
    <row r="36" spans="6:6" x14ac:dyDescent="0.25">
      <c r="F36"/>
    </row>
    <row r="37" spans="6:6" x14ac:dyDescent="0.25">
      <c r="F37"/>
    </row>
    <row r="38" spans="6:6" x14ac:dyDescent="0.25">
      <c r="F38"/>
    </row>
    <row r="39" spans="6:6" x14ac:dyDescent="0.25">
      <c r="F39"/>
    </row>
    <row r="40" spans="6:6" x14ac:dyDescent="0.25">
      <c r="F40"/>
    </row>
    <row r="41" spans="6:6" x14ac:dyDescent="0.25">
      <c r="F41"/>
    </row>
    <row r="42" spans="6:6" x14ac:dyDescent="0.25">
      <c r="F42"/>
    </row>
    <row r="43" spans="6:6" x14ac:dyDescent="0.25">
      <c r="F43"/>
    </row>
    <row r="44" spans="6:6" x14ac:dyDescent="0.25">
      <c r="F44"/>
    </row>
    <row r="45" spans="6:6" x14ac:dyDescent="0.25">
      <c r="F45"/>
    </row>
    <row r="46" spans="6:6" x14ac:dyDescent="0.25">
      <c r="F46"/>
    </row>
    <row r="47" spans="6:6" x14ac:dyDescent="0.25">
      <c r="F47"/>
    </row>
    <row r="48" spans="6:6" x14ac:dyDescent="0.25">
      <c r="F48"/>
    </row>
    <row r="49" spans="6:6" x14ac:dyDescent="0.25">
      <c r="F49"/>
    </row>
    <row r="50" spans="6:6" x14ac:dyDescent="0.25">
      <c r="F50"/>
    </row>
    <row r="51" spans="6:6" x14ac:dyDescent="0.25">
      <c r="F51"/>
    </row>
    <row r="52" spans="6:6" x14ac:dyDescent="0.25">
      <c r="F52"/>
    </row>
    <row r="53" spans="6:6" x14ac:dyDescent="0.25">
      <c r="F53"/>
    </row>
  </sheetData>
  <mergeCells count="15">
    <mergeCell ref="A20:B20"/>
    <mergeCell ref="A21:B21"/>
    <mergeCell ref="A10:B10"/>
    <mergeCell ref="A17:B17"/>
    <mergeCell ref="A19:B19"/>
    <mergeCell ref="A12:I12"/>
    <mergeCell ref="C20:I20"/>
    <mergeCell ref="C21:I21"/>
    <mergeCell ref="A1:I1"/>
    <mergeCell ref="A2:I2"/>
    <mergeCell ref="C3:C4"/>
    <mergeCell ref="C19:I19"/>
    <mergeCell ref="F3:H3"/>
    <mergeCell ref="D3:D4"/>
    <mergeCell ref="A5:I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F42DD-0DC9-44F3-8BE5-B815C0220546}">
  <dimension ref="A1:AG52"/>
  <sheetViews>
    <sheetView tabSelected="1" zoomScale="85" zoomScaleNormal="85" workbookViewId="0">
      <selection activeCell="A3" sqref="A3:AG3"/>
    </sheetView>
  </sheetViews>
  <sheetFormatPr baseColWidth="10" defaultRowHeight="15" x14ac:dyDescent="0.25"/>
  <cols>
    <col min="1" max="1" width="5.28515625" bestFit="1" customWidth="1"/>
    <col min="2" max="2" width="36.140625" customWidth="1"/>
    <col min="3" max="3" width="16.85546875" bestFit="1" customWidth="1"/>
    <col min="4" max="4" width="15.42578125" customWidth="1"/>
    <col min="5" max="5" width="14.85546875" customWidth="1"/>
    <col min="6" max="6" width="16.85546875" bestFit="1" customWidth="1"/>
    <col min="7" max="7" width="12.28515625" hidden="1" customWidth="1"/>
    <col min="8" max="8" width="9.28515625" hidden="1" customWidth="1"/>
    <col min="9" max="9" width="9.7109375" hidden="1" customWidth="1"/>
    <col min="10" max="10" width="11" hidden="1" customWidth="1"/>
    <col min="11" max="11" width="9.7109375" customWidth="1"/>
    <col min="12" max="13" width="10.140625" hidden="1" customWidth="1"/>
    <col min="14" max="14" width="9.7109375" hidden="1" customWidth="1"/>
    <col min="15" max="15" width="12.140625" hidden="1" customWidth="1"/>
    <col min="16" max="16" width="12.140625" customWidth="1"/>
    <col min="17" max="20" width="12.140625" hidden="1" customWidth="1"/>
    <col min="21" max="21" width="9.7109375" customWidth="1"/>
    <col min="22" max="22" width="9.7109375" hidden="1" customWidth="1"/>
    <col min="23" max="23" width="11.7109375" hidden="1" customWidth="1"/>
    <col min="24" max="24" width="9.7109375" hidden="1" customWidth="1"/>
    <col min="25" max="25" width="12.5703125" hidden="1" customWidth="1"/>
    <col min="26" max="26" width="11.140625" hidden="1" customWidth="1"/>
    <col min="27" max="27" width="13.28515625" hidden="1" customWidth="1"/>
    <col min="28" max="28" width="13.7109375" hidden="1" customWidth="1"/>
    <col min="29" max="29" width="9.5703125" bestFit="1" customWidth="1"/>
    <col min="30" max="30" width="9.7109375" bestFit="1" customWidth="1"/>
    <col min="31" max="31" width="9.5703125" bestFit="1" customWidth="1"/>
    <col min="32" max="32" width="9.7109375" customWidth="1"/>
    <col min="33" max="33" width="13.5703125" customWidth="1"/>
  </cols>
  <sheetData>
    <row r="1" spans="1:33" ht="75.75" customHeight="1" x14ac:dyDescent="0.25">
      <c r="A1" s="56"/>
      <c r="B1" s="56"/>
      <c r="C1" s="25"/>
      <c r="D1" s="57" t="s">
        <v>58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</row>
    <row r="2" spans="1:33" s="1" customFormat="1" ht="15.75" customHeight="1" x14ac:dyDescent="0.3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</row>
    <row r="3" spans="1:33" ht="24.75" customHeight="1" x14ac:dyDescent="0.25">
      <c r="A3" s="60" t="s">
        <v>23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3" ht="24.75" customHeight="1" x14ac:dyDescent="0.25">
      <c r="A4" s="61"/>
      <c r="B4" s="62"/>
      <c r="C4" s="62"/>
      <c r="D4" s="62"/>
      <c r="E4" s="62"/>
      <c r="F4" s="63" t="s">
        <v>37</v>
      </c>
      <c r="G4" s="64"/>
      <c r="H4" s="64"/>
      <c r="I4" s="64"/>
      <c r="J4" s="65"/>
      <c r="K4" s="63" t="s">
        <v>38</v>
      </c>
      <c r="L4" s="64"/>
      <c r="M4" s="64"/>
      <c r="N4" s="64"/>
      <c r="O4" s="65"/>
      <c r="P4" s="63" t="s">
        <v>47</v>
      </c>
      <c r="Q4" s="64"/>
      <c r="R4" s="64"/>
      <c r="S4" s="64"/>
      <c r="T4" s="65"/>
      <c r="U4" s="66" t="s">
        <v>49</v>
      </c>
      <c r="V4" s="67"/>
      <c r="W4" s="67"/>
      <c r="X4" s="67"/>
      <c r="Y4" s="67"/>
      <c r="Z4" s="67"/>
      <c r="AA4" s="67"/>
      <c r="AB4" s="68"/>
      <c r="AC4" s="69" t="s">
        <v>24</v>
      </c>
      <c r="AD4" s="69"/>
      <c r="AE4" s="69"/>
      <c r="AF4" s="69"/>
      <c r="AG4" s="69"/>
    </row>
    <row r="5" spans="1:33" ht="52.5" customHeight="1" x14ac:dyDescent="0.25">
      <c r="A5" s="26" t="s">
        <v>0</v>
      </c>
      <c r="B5" s="26" t="s">
        <v>25</v>
      </c>
      <c r="C5" s="26" t="s">
        <v>26</v>
      </c>
      <c r="D5" s="26" t="s">
        <v>27</v>
      </c>
      <c r="E5" s="26" t="s">
        <v>28</v>
      </c>
      <c r="F5" s="26" t="s">
        <v>29</v>
      </c>
      <c r="G5" s="26" t="s">
        <v>30</v>
      </c>
      <c r="H5" s="26" t="s">
        <v>31</v>
      </c>
      <c r="I5" s="26" t="s">
        <v>32</v>
      </c>
      <c r="J5" s="26" t="s">
        <v>33</v>
      </c>
      <c r="K5" s="26" t="s">
        <v>29</v>
      </c>
      <c r="L5" s="26" t="s">
        <v>30</v>
      </c>
      <c r="M5" s="26" t="s">
        <v>31</v>
      </c>
      <c r="N5" s="26" t="s">
        <v>32</v>
      </c>
      <c r="O5" s="26" t="s">
        <v>33</v>
      </c>
      <c r="P5" s="26" t="s">
        <v>29</v>
      </c>
      <c r="Q5" s="26" t="s">
        <v>30</v>
      </c>
      <c r="R5" s="26" t="s">
        <v>31</v>
      </c>
      <c r="S5" s="26" t="s">
        <v>32</v>
      </c>
      <c r="T5" s="26" t="s">
        <v>33</v>
      </c>
      <c r="U5" s="26" t="s">
        <v>50</v>
      </c>
      <c r="V5" s="26" t="s">
        <v>51</v>
      </c>
      <c r="W5" s="26" t="s">
        <v>52</v>
      </c>
      <c r="X5" s="26" t="s">
        <v>53</v>
      </c>
      <c r="Y5" s="26" t="s">
        <v>54</v>
      </c>
      <c r="Z5" s="26" t="s">
        <v>55</v>
      </c>
      <c r="AA5" s="26" t="s">
        <v>56</v>
      </c>
      <c r="AB5" s="26" t="s">
        <v>57</v>
      </c>
      <c r="AC5" s="26" t="s">
        <v>29</v>
      </c>
      <c r="AD5" s="26" t="s">
        <v>30</v>
      </c>
      <c r="AE5" s="26" t="s">
        <v>31</v>
      </c>
      <c r="AF5" s="26" t="s">
        <v>32</v>
      </c>
      <c r="AG5" s="26" t="s">
        <v>33</v>
      </c>
    </row>
    <row r="6" spans="1:33" ht="48.75" customHeight="1" x14ac:dyDescent="0.25">
      <c r="A6" s="27">
        <v>1</v>
      </c>
      <c r="B6" s="28" t="s">
        <v>34</v>
      </c>
      <c r="C6" s="28">
        <v>900</v>
      </c>
      <c r="D6" s="38">
        <v>483445.43493787298</v>
      </c>
      <c r="E6" s="38">
        <v>1960</v>
      </c>
      <c r="F6" s="37">
        <v>2.7099999999999999E-2</v>
      </c>
      <c r="G6" s="29">
        <f>ROUND((F6*D6),0)</f>
        <v>13101</v>
      </c>
      <c r="H6" s="30">
        <f>+G6*19%</f>
        <v>2489.19</v>
      </c>
      <c r="I6" s="30">
        <f>+H6+G6</f>
        <v>15590.19</v>
      </c>
      <c r="J6" s="30">
        <f>+I6*E6</f>
        <v>30556772.400000002</v>
      </c>
      <c r="K6" s="37">
        <v>5.3999999999999999E-2</v>
      </c>
      <c r="L6" s="29">
        <f>ROUND((D6*K6),0)</f>
        <v>26106</v>
      </c>
      <c r="M6" s="30">
        <f>+L6*19%</f>
        <v>4960.1400000000003</v>
      </c>
      <c r="N6" s="30">
        <f>+L6+M6</f>
        <v>31066.14</v>
      </c>
      <c r="O6" s="30">
        <f>+N6*E6</f>
        <v>60889634.399999999</v>
      </c>
      <c r="P6" s="41">
        <v>4.6300000000000001E-2</v>
      </c>
      <c r="Q6" s="30">
        <f>+ROUND((D6*P6),0)</f>
        <v>22384</v>
      </c>
      <c r="R6" s="30">
        <f>+Q6*19%</f>
        <v>4252.96</v>
      </c>
      <c r="S6" s="30">
        <f>+R6+Q6</f>
        <v>26636.959999999999</v>
      </c>
      <c r="T6" s="30">
        <f>+S6*E6</f>
        <v>52208441.600000001</v>
      </c>
      <c r="U6" s="37">
        <v>5.4600000000000003E-2</v>
      </c>
      <c r="V6" s="29">
        <f>+ROUND((U6*D6),0)</f>
        <v>26396</v>
      </c>
      <c r="W6" s="29">
        <f>+V6*5.2%</f>
        <v>1372.5920000000001</v>
      </c>
      <c r="X6" s="41">
        <f>+Y6/D6</f>
        <v>5.743978118971909E-2</v>
      </c>
      <c r="Y6" s="29">
        <f>ROUND((V6*5.2%)+V6,0)</f>
        <v>27769</v>
      </c>
      <c r="Z6" s="30">
        <f>+Y6*19%</f>
        <v>5276.11</v>
      </c>
      <c r="AA6" s="30">
        <f>+Y6+Z6</f>
        <v>33045.11</v>
      </c>
      <c r="AB6" s="30">
        <f>+AA6*E6</f>
        <v>64768415.600000001</v>
      </c>
      <c r="AC6" s="37">
        <f>+AVERAGE(X6,K6,P6,F6)</f>
        <v>4.6209945297429778E-2</v>
      </c>
      <c r="AD6" s="29">
        <f>+ROUND((D6*AC6),0)</f>
        <v>22340</v>
      </c>
      <c r="AE6" s="30">
        <f>+ROUND(AD6*19%,0)</f>
        <v>4245</v>
      </c>
      <c r="AF6" s="30">
        <f>+AE6+AD6</f>
        <v>26585</v>
      </c>
      <c r="AG6" s="30">
        <f>+AF6*E6</f>
        <v>52106600</v>
      </c>
    </row>
    <row r="7" spans="1:33" s="2" customFormat="1" ht="24.75" customHeight="1" x14ac:dyDescent="0.25">
      <c r="A7" s="31" t="s">
        <v>33</v>
      </c>
      <c r="B7" s="31"/>
      <c r="C7" s="32">
        <f>SUM(C6:C6)</f>
        <v>900</v>
      </c>
      <c r="D7" s="31"/>
      <c r="E7" s="32">
        <v>2376</v>
      </c>
      <c r="F7" s="48"/>
      <c r="G7" s="48"/>
      <c r="H7" s="48"/>
      <c r="I7" s="33">
        <f>SUM(I6:I6)</f>
        <v>15590.19</v>
      </c>
      <c r="J7" s="33">
        <f>SUM(J6:J6)</f>
        <v>30556772.400000002</v>
      </c>
      <c r="K7" s="49"/>
      <c r="L7" s="50"/>
      <c r="M7" s="51"/>
      <c r="N7" s="33">
        <f>SUM(N6:N6)</f>
        <v>31066.14</v>
      </c>
      <c r="O7" s="33">
        <f>SUM(O6:O6)</f>
        <v>60889634.399999999</v>
      </c>
      <c r="P7" s="34"/>
      <c r="Q7" s="34"/>
      <c r="R7" s="34"/>
      <c r="S7" s="33">
        <f>SUM(S6:S6)</f>
        <v>26636.959999999999</v>
      </c>
      <c r="T7" s="33">
        <f>SUM(T6:T6)</f>
        <v>52208441.600000001</v>
      </c>
      <c r="U7" s="52"/>
      <c r="V7" s="53"/>
      <c r="W7" s="53"/>
      <c r="X7" s="53"/>
      <c r="Y7" s="53"/>
      <c r="Z7" s="54"/>
      <c r="AA7" s="33">
        <f>SUM(AA6:AA6)</f>
        <v>33045.11</v>
      </c>
      <c r="AB7" s="33">
        <f>SUM(AB6:AB6)</f>
        <v>64768415.600000001</v>
      </c>
      <c r="AC7" s="52"/>
      <c r="AD7" s="53"/>
      <c r="AE7" s="54"/>
      <c r="AF7" s="33">
        <f>SUM(AF6:AF6)</f>
        <v>26585</v>
      </c>
      <c r="AG7" s="33">
        <f>SUM(AG6:AG6)</f>
        <v>52106600</v>
      </c>
    </row>
    <row r="8" spans="1:33" ht="15" customHeight="1" x14ac:dyDescent="0.25">
      <c r="U8" s="35"/>
    </row>
    <row r="9" spans="1:33" x14ac:dyDescent="0.25">
      <c r="A9" s="55" t="s">
        <v>35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33">
        <f>+ROUND((D6*E6),0)</f>
        <v>947553052</v>
      </c>
    </row>
    <row r="10" spans="1:33" x14ac:dyDescent="0.25">
      <c r="A10" s="55" t="s">
        <v>36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46">
        <f>+ROUND(AG9+AG7,0)</f>
        <v>999659652</v>
      </c>
    </row>
    <row r="11" spans="1:33" x14ac:dyDescent="0.25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3"/>
    </row>
    <row r="12" spans="1:33" x14ac:dyDescent="0.25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3"/>
    </row>
    <row r="13" spans="1:33" x14ac:dyDescent="0.25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3"/>
    </row>
    <row r="14" spans="1:33" x14ac:dyDescent="0.25">
      <c r="A14" s="42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3"/>
    </row>
    <row r="15" spans="1:33" x14ac:dyDescent="0.25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3"/>
    </row>
    <row r="16" spans="1:33" x14ac:dyDescent="0.25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3"/>
    </row>
    <row r="17" spans="1:33" x14ac:dyDescent="0.25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4"/>
      <c r="X17" s="45"/>
      <c r="Y17" s="42"/>
      <c r="Z17" s="42"/>
      <c r="AA17" s="42"/>
      <c r="AB17" s="42"/>
      <c r="AC17" s="42"/>
      <c r="AD17" s="42"/>
      <c r="AE17" s="42"/>
      <c r="AF17" s="42"/>
      <c r="AG17" s="43"/>
    </row>
    <row r="18" spans="1:33" x14ac:dyDescent="0.25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3"/>
    </row>
    <row r="19" spans="1:33" x14ac:dyDescent="0.25">
      <c r="A19" s="42"/>
      <c r="B19" s="47" t="s">
        <v>48</v>
      </c>
      <c r="C19" s="47"/>
      <c r="D19" s="47"/>
      <c r="E19" s="47"/>
      <c r="F19" s="47"/>
      <c r="G19" s="47"/>
      <c r="H19" s="47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3"/>
    </row>
    <row r="20" spans="1:33" x14ac:dyDescent="0.25">
      <c r="AG20" s="36"/>
    </row>
    <row r="21" spans="1:33" s="11" customFormat="1" ht="27" customHeight="1" x14ac:dyDescent="0.25">
      <c r="C21" s="11" t="s">
        <v>44</v>
      </c>
      <c r="D21" s="11" t="s">
        <v>41</v>
      </c>
      <c r="E21" s="40" t="s">
        <v>42</v>
      </c>
      <c r="F21" s="11" t="s">
        <v>43</v>
      </c>
    </row>
    <row r="22" spans="1:33" s="11" customFormat="1" x14ac:dyDescent="0.25">
      <c r="B22" s="11" t="s">
        <v>40</v>
      </c>
      <c r="C22" s="11">
        <v>1050000000</v>
      </c>
      <c r="D22" s="11">
        <v>21848400</v>
      </c>
      <c r="E22" s="11">
        <v>5915000</v>
      </c>
      <c r="F22" s="11">
        <v>674800</v>
      </c>
      <c r="G22" s="11">
        <f>+F22+E22+D22</f>
        <v>28438200</v>
      </c>
      <c r="H22" s="39">
        <f>+G22/C22</f>
        <v>2.7084E-2</v>
      </c>
    </row>
    <row r="23" spans="1:33" s="11" customFormat="1" ht="15" customHeight="1" x14ac:dyDescent="0.25">
      <c r="D23" s="39">
        <f>+D22/C22</f>
        <v>2.0808E-2</v>
      </c>
      <c r="E23" s="39">
        <f>+E22/C22</f>
        <v>5.6333333333333331E-3</v>
      </c>
      <c r="F23" s="39">
        <f>+F22/C22</f>
        <v>6.4266666666666671E-4</v>
      </c>
      <c r="G23" s="39">
        <f>+F23+E23+D23</f>
        <v>2.7084E-2</v>
      </c>
    </row>
    <row r="24" spans="1:33" s="11" customFormat="1" ht="15" customHeight="1" x14ac:dyDescent="0.25"/>
    <row r="25" spans="1:33" s="11" customFormat="1" ht="31.5" customHeight="1" x14ac:dyDescent="0.25">
      <c r="C25" s="11" t="s">
        <v>44</v>
      </c>
      <c r="D25" s="40" t="s">
        <v>45</v>
      </c>
      <c r="E25" s="11" t="s">
        <v>46</v>
      </c>
    </row>
    <row r="26" spans="1:33" s="11" customFormat="1" x14ac:dyDescent="0.25">
      <c r="B26" s="11" t="s">
        <v>39</v>
      </c>
      <c r="C26" s="11">
        <v>421255380</v>
      </c>
      <c r="D26" s="11">
        <v>10513385</v>
      </c>
      <c r="E26" s="11">
        <v>9009000</v>
      </c>
      <c r="F26" s="11">
        <f>+E26+D26</f>
        <v>19522385</v>
      </c>
      <c r="G26" s="39">
        <f>+F26/C26</f>
        <v>4.6343348778121241E-2</v>
      </c>
    </row>
    <row r="27" spans="1:33" s="11" customFormat="1" x14ac:dyDescent="0.25">
      <c r="D27" s="39">
        <f>+D26/C26</f>
        <v>2.4957271762321469E-2</v>
      </c>
      <c r="E27" s="39">
        <f>+E26/C26</f>
        <v>2.1386077015799775E-2</v>
      </c>
      <c r="F27" s="39">
        <f>+E27+D27</f>
        <v>4.6343348778121241E-2</v>
      </c>
    </row>
    <row r="28" spans="1:33" ht="25.5" customHeight="1" x14ac:dyDescent="0.25"/>
    <row r="30" spans="1:33" ht="24.75" customHeight="1" x14ac:dyDescent="0.25"/>
    <row r="32" spans="1:33" ht="23.25" customHeight="1" x14ac:dyDescent="0.25"/>
    <row r="34" ht="26.2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52" ht="22.5" customHeight="1" x14ac:dyDescent="0.25"/>
  </sheetData>
  <mergeCells count="17">
    <mergeCell ref="A1:B1"/>
    <mergeCell ref="D1:AG1"/>
    <mergeCell ref="A2:AG2"/>
    <mergeCell ref="A3:AG3"/>
    <mergeCell ref="A4:E4"/>
    <mergeCell ref="F4:J4"/>
    <mergeCell ref="K4:O4"/>
    <mergeCell ref="P4:T4"/>
    <mergeCell ref="U4:AB4"/>
    <mergeCell ref="AC4:AG4"/>
    <mergeCell ref="B19:H19"/>
    <mergeCell ref="F7:H7"/>
    <mergeCell ref="K7:M7"/>
    <mergeCell ref="U7:Z7"/>
    <mergeCell ref="AC7:AE7"/>
    <mergeCell ref="A9:AF9"/>
    <mergeCell ref="A10:AF10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FACDB7537A2A43964F1C290C6BE829" ma:contentTypeVersion="13" ma:contentTypeDescription="Crear nuevo documento." ma:contentTypeScope="" ma:versionID="10dcb42c15b08ed008e5a52cbcdf2857">
  <xsd:schema xmlns:xsd="http://www.w3.org/2001/XMLSchema" xmlns:xs="http://www.w3.org/2001/XMLSchema" xmlns:p="http://schemas.microsoft.com/office/2006/metadata/properties" xmlns:ns3="40c0dbba-43a4-48c4-bcbf-a2426f2ad30f" xmlns:ns4="02674018-7f97-40ec-93c6-2aed61a5b95c" targetNamespace="http://schemas.microsoft.com/office/2006/metadata/properties" ma:root="true" ma:fieldsID="aa9597cc0b7aa794c5c6e41b0fddaf84" ns3:_="" ns4:_="">
    <xsd:import namespace="40c0dbba-43a4-48c4-bcbf-a2426f2ad30f"/>
    <xsd:import namespace="02674018-7f97-40ec-93c6-2aed61a5b95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c0dbba-43a4-48c4-bcbf-a2426f2ad3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74018-7f97-40ec-93c6-2aed61a5b9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1832C5-1CF5-4C7E-BB90-6F35D66FBAB3}">
  <ds:schemaRefs>
    <ds:schemaRef ds:uri="40c0dbba-43a4-48c4-bcbf-a2426f2ad30f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02674018-7f97-40ec-93c6-2aed61a5b95c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CB66385-7F07-41AE-A237-5441145699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c0dbba-43a4-48c4-bcbf-a2426f2ad30f"/>
    <ds:schemaRef ds:uri="02674018-7f97-40ec-93c6-2aed61a5b9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1E939D1-8E77-45F3-B803-9E6870B6B84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mcdo dotacion</vt:lpstr>
      <vt:lpstr>Estudio de mcdo tarjetas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Edilberto Garcia Sierra</dc:creator>
  <cp:lastModifiedBy>Eilin Daniela Garzon Torres</cp:lastModifiedBy>
  <cp:lastPrinted>2023-03-20T21:49:54Z</cp:lastPrinted>
  <dcterms:created xsi:type="dcterms:W3CDTF">2023-01-10T19:24:49Z</dcterms:created>
  <dcterms:modified xsi:type="dcterms:W3CDTF">2026-05-06T21:16:47Z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0x0101000AFACDB7537A2A43964F1C290C6BE829</vt:lpwstr>
  </property>
</Properties>
</file>