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Equipo\Desktop\COPIA\Desktop\VARIOS 2020 en adelante\CONTRATACIONES\6. PROYECTOS CORNARE\CONVENIOS\9. CONVENIO PRISER\CONVENIOS PRISER 2026\5. PORTUGAL\CONVENIO MUNICIPIO\ESCANER\"/>
    </mc:Choice>
  </mc:AlternateContent>
  <bookViews>
    <workbookView xWindow="0" yWindow="0" windowWidth="12855" windowHeight="10845" tabRatio="884"/>
  </bookViews>
  <sheets>
    <sheet name="PRESUPUESTO" sheetId="1" r:id="rId1"/>
    <sheet name="Administración y Utilidad " sheetId="47" r:id="rId2"/>
    <sheet name="INSUMOS" sheetId="2" r:id="rId3"/>
    <sheet name="Jornal" sheetId="44" r:id="rId4"/>
    <sheet name="FACTOR PRESTACIONAL (para obra)" sheetId="3" r:id="rId5"/>
    <sheet name="APORTE MUNICIPIO" sheetId="51" r:id="rId6"/>
    <sheet name="1.1 Taller socialización" sheetId="52" r:id="rId7"/>
    <sheet name="1.2 Taller de enfoque PRISER (F" sheetId="5" r:id="rId8"/>
    <sheet name="1.3 Taller temático" sheetId="6" r:id="rId9"/>
    <sheet name="1.4 Evento cierre" sheetId="7" r:id="rId10"/>
    <sheet name="2.2 Restauración pasiva" sheetId="9" r:id="rId11"/>
    <sheet name="5.5 Mesa hexagonal" sheetId="26" r:id="rId12"/>
    <sheet name="6.4 señalética madera plástica" sheetId="32" r:id="rId13"/>
    <sheet name="6.13 kiosco 16m2 madera plásti" sheetId="40" r:id="rId14"/>
  </sheets>
  <externalReferences>
    <externalReference r:id="rId15"/>
    <externalReference r:id="rId16"/>
    <externalReference r:id="rId17"/>
    <externalReference r:id="rId18"/>
    <externalReference r:id="rId19"/>
    <externalReference r:id="rId20"/>
    <externalReference r:id="rId21"/>
  </externalReferences>
  <definedNames>
    <definedName name="Abonaza">INSUMOS!$E$3</definedName>
    <definedName name="ACCION" localSheetId="3">#REF!</definedName>
    <definedName name="ACCION">#REF!</definedName>
    <definedName name="Acero">[1]INSUMOS!$E$4</definedName>
    <definedName name="Acero1">[1]INSUMOS!$E$4</definedName>
    <definedName name="Agua">INSUMOS!$E$5</definedName>
    <definedName name="Alambre12">[2]INSUMOS!$E$6</definedName>
    <definedName name="Alambre18">[1]INSUMOS!$E$7</definedName>
    <definedName name="AlambreC13">INSUMOS!$E$6</definedName>
    <definedName name="AlambreC18">[1]INSUMOS!$E$7</definedName>
    <definedName name="Arena">[1]INSUMOS!$E$8</definedName>
    <definedName name="Arena1">[1]INSUMOS!$E$8</definedName>
    <definedName name="AYUDANTEE" localSheetId="1">'[3]CÁLCULO FP'!$F$36</definedName>
    <definedName name="AYUDANTEE">'[4]CÁLCULO FP'!$F$36</definedName>
    <definedName name="Ayudanteentendido">'[4]CÁLCULO FP'!$F$36</definedName>
    <definedName name="AYUDANTER" localSheetId="1">'[3]CÁLCULO FP'!$D$36</definedName>
    <definedName name="AYUDANTER">'[4]CÁLCULO FP'!$D$36</definedName>
    <definedName name="AyudanteRaso">'[4]CÁLCULO FP'!$D$36</definedName>
    <definedName name="Cal">INSUMOS!$E$9</definedName>
    <definedName name="Can">[1]INSUMOS!$E$10</definedName>
    <definedName name="Cemento">[1]INSUMOS!$E$11</definedName>
    <definedName name="ClavoComun">[1]INSUMOS!$E$12</definedName>
    <definedName name="ClavoComun25">INSUMOS!$E$13</definedName>
    <definedName name="Concreto14" localSheetId="1">#REF!</definedName>
    <definedName name="Concreto14">'[1]6.3 CONCRETO 14 Mpa'!$E$35</definedName>
    <definedName name="Concreto28" localSheetId="1">#REF!</definedName>
    <definedName name="Concreto28">'[1]6.4 CONCRETO 28 Mpa'!$E$35</definedName>
    <definedName name="Costal">INSUMOS!$E$14</definedName>
    <definedName name="DatosExternos_1" localSheetId="2" hidden="1">INSUMOS!#REF!</definedName>
    <definedName name="EME" localSheetId="3">#REF!</definedName>
    <definedName name="EME">#REF!</definedName>
    <definedName name="Estacon">INSUMOS!$E$16</definedName>
    <definedName name="Excel_BuiltIn__FilterDatabase_4" localSheetId="3">#REF!</definedName>
    <definedName name="Excel_BuiltIn__FilterDatabase_4">#REF!</definedName>
    <definedName name="Fibra">INSUMOS!$E$48</definedName>
    <definedName name="Formaleta">[5]INSUMOS!#REF!</definedName>
    <definedName name="FormaletaHexa">[1]INSUMOS!$E$46</definedName>
    <definedName name="Geotextil">INSUMOS!$E$19</definedName>
    <definedName name="GeotextilFortex">[1]INSUMOS!$E$18</definedName>
    <definedName name="globalesA" localSheetId="3">#REF!</definedName>
    <definedName name="globalesA">#REF!</definedName>
    <definedName name="Google_Sheet_Link_233780847" localSheetId="1" hidden="1">'Administración y Utilidad '!AYUDANTEE</definedName>
    <definedName name="Google_Sheet_Link_233780847" hidden="1">[0]!AYUDANTEE</definedName>
    <definedName name="Google_Sheet_Link_828200979" hidden="1">'Administración y Utilidad '!OFICIAL</definedName>
    <definedName name="Google_Sheet_Link_894159030" localSheetId="1" hidden="1">'Administración y Utilidad '!AYUDANTER</definedName>
    <definedName name="Google_Sheet_Link_894159030" hidden="1">[0]!AYUDANTER</definedName>
    <definedName name="Guadua">INSUMOS!$E$20</definedName>
    <definedName name="Larguero">[5]INSUMOS!#REF!</definedName>
    <definedName name="Liston">[5]INSUMOS!#REF!</definedName>
    <definedName name="Malla">[5]INSUMOS!#REF!</definedName>
    <definedName name="OFICIAL" localSheetId="1">'[3]CÁLCULO FP'!$H$36</definedName>
    <definedName name="OFICIAL">'[4]CÁLCULO FP'!$H$36</definedName>
    <definedName name="Papeleria">[5]INSUMOS!#REF!</definedName>
    <definedName name="PiedraEnroc">[5]INSUMOS!#REF!</definedName>
    <definedName name="PiedraGav">[5]INSUMOS!#REF!</definedName>
    <definedName name="Refrigerio">[5]INSUMOS!#REF!</definedName>
    <definedName name="Semilla">INSUMOS!$E$32</definedName>
    <definedName name="TablaComun">[5]INSUMOS!#REF!</definedName>
    <definedName name="Taco">[5]INSUMOS!#REF!</definedName>
    <definedName name="TacoMadera">[5]INSUMOS!#REF!</definedName>
    <definedName name="TacoMet">[5]INSUMOS!#REF!</definedName>
    <definedName name="TacoMetalico">[5]INSUMOS!#REF!</definedName>
    <definedName name="TelaVerde">[5]INSUMOS!#REF!</definedName>
    <definedName name="Telera">[5]INSUMOS!#REF!</definedName>
    <definedName name="Triturado">[5]INSUMOS!#REF!</definedName>
    <definedName name="Triturado1">[5]INSUMOS!#REF!</definedName>
    <definedName name="Tuberiaperfo">[5]INSUMOS!#REF!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55" roundtripDataChecksum="gkdohER5OPG/XKS1j9XcQVP623ZHOeVPwNeUhrX7Dl8="/>
    </ext>
  </extLst>
</workbook>
</file>

<file path=xl/calcChain.xml><?xml version="1.0" encoding="utf-8"?>
<calcChain xmlns="http://schemas.openxmlformats.org/spreadsheetml/2006/main">
  <c r="G17" i="51" l="1"/>
  <c r="G18" i="51" s="1"/>
  <c r="E8" i="51" l="1"/>
  <c r="E52" i="1"/>
  <c r="E18" i="1"/>
  <c r="E29" i="52" l="1"/>
  <c r="E30" i="52" s="1"/>
  <c r="D17" i="52"/>
  <c r="E17" i="52" s="1"/>
  <c r="D16" i="52"/>
  <c r="E16" i="52" s="1"/>
  <c r="E13" i="52"/>
  <c r="D8" i="52"/>
  <c r="E21" i="52" l="1"/>
  <c r="D24" i="52" s="1"/>
  <c r="E24" i="52" s="1"/>
  <c r="E26" i="52" s="1"/>
  <c r="E32" i="52" l="1"/>
  <c r="E6" i="1" s="1"/>
  <c r="I6" i="1" s="1"/>
  <c r="E24" i="1"/>
  <c r="F24" i="1" s="1"/>
  <c r="D20" i="9" l="1"/>
  <c r="G24" i="1"/>
  <c r="H24" i="1" l="1"/>
  <c r="I24" i="1" s="1"/>
  <c r="E40" i="1" l="1"/>
  <c r="F40" i="1" l="1"/>
  <c r="G40" i="1"/>
  <c r="H40" i="1" s="1"/>
  <c r="I40" i="1" l="1"/>
  <c r="E3" i="44" l="1"/>
  <c r="E8" i="44" s="1"/>
  <c r="F8" i="44" s="1"/>
  <c r="G8" i="44" s="1"/>
  <c r="D3" i="44"/>
  <c r="D14" i="44" s="1"/>
  <c r="F14" i="44" s="1"/>
  <c r="G14" i="44" s="1"/>
  <c r="E10" i="44" l="1"/>
  <c r="F3" i="44"/>
  <c r="D15" i="44"/>
  <c r="F15" i="44" s="1"/>
  <c r="G15" i="44" s="1"/>
  <c r="E9" i="44"/>
  <c r="F9" i="44" s="1"/>
  <c r="G9" i="44" s="1"/>
  <c r="D6" i="44"/>
  <c r="F6" i="44" s="1"/>
  <c r="G6" i="44" s="1"/>
  <c r="G3" i="44"/>
  <c r="D4" i="44"/>
  <c r="F4" i="44" s="1"/>
  <c r="G4" i="44" s="1"/>
  <c r="F10" i="44"/>
  <c r="G10" i="44" s="1"/>
  <c r="D13" i="44"/>
  <c r="F13" i="44" s="1"/>
  <c r="G13" i="44" s="1"/>
  <c r="D5" i="44"/>
  <c r="F5" i="44" s="1"/>
  <c r="G5" i="44" s="1"/>
  <c r="D11" i="44"/>
  <c r="F11" i="44" s="1"/>
  <c r="G11" i="44" s="1"/>
  <c r="G7" i="44" l="1"/>
  <c r="G12" i="44"/>
  <c r="F7" i="44"/>
  <c r="F12" i="44" s="1"/>
  <c r="F16" i="44" s="1"/>
  <c r="E13" i="2"/>
  <c r="E14" i="2"/>
  <c r="E12" i="2"/>
  <c r="H13" i="44" l="1"/>
  <c r="D31" i="9"/>
  <c r="D30" i="9"/>
  <c r="D32" i="9"/>
  <c r="D34" i="9"/>
  <c r="D33" i="9"/>
  <c r="E19" i="1"/>
  <c r="G19" i="1" s="1"/>
  <c r="H19" i="1" s="1"/>
  <c r="E18" i="44"/>
  <c r="E21" i="44" s="1"/>
  <c r="G16" i="44"/>
  <c r="D110" i="9" l="1"/>
  <c r="D112" i="9"/>
  <c r="D109" i="9"/>
  <c r="E30" i="9"/>
  <c r="D111" i="9"/>
  <c r="D113" i="9"/>
  <c r="F19" i="1"/>
  <c r="D17" i="40"/>
  <c r="I19" i="1" l="1"/>
  <c r="E4" i="2" l="1"/>
  <c r="F6" i="3" l="1"/>
  <c r="C18" i="3"/>
  <c r="F7" i="3"/>
  <c r="H6" i="3"/>
  <c r="D6" i="3"/>
  <c r="J8" i="3"/>
  <c r="D10" i="3"/>
  <c r="D16" i="3" s="1"/>
  <c r="E113" i="9"/>
  <c r="G113" i="9" s="1"/>
  <c r="E112" i="9"/>
  <c r="G112" i="9" s="1"/>
  <c r="E111" i="9"/>
  <c r="G111" i="9" s="1"/>
  <c r="E110" i="9"/>
  <c r="E109" i="9"/>
  <c r="G109" i="9" s="1"/>
  <c r="E100" i="9"/>
  <c r="G100" i="9" s="1"/>
  <c r="E99" i="9"/>
  <c r="G99" i="9" s="1"/>
  <c r="E98" i="9"/>
  <c r="G98" i="9" s="1"/>
  <c r="E97" i="9"/>
  <c r="E92" i="9"/>
  <c r="D87" i="9"/>
  <c r="A87" i="9"/>
  <c r="E34" i="9"/>
  <c r="E33" i="9"/>
  <c r="E32" i="9"/>
  <c r="E31" i="9"/>
  <c r="E35" i="9" s="1"/>
  <c r="D21" i="9"/>
  <c r="E21" i="9" s="1"/>
  <c r="E20" i="9"/>
  <c r="D19" i="9"/>
  <c r="E19" i="9" s="1"/>
  <c r="C18" i="9"/>
  <c r="A8" i="9"/>
  <c r="E13" i="9"/>
  <c r="E114" i="9" l="1"/>
  <c r="D8" i="3"/>
  <c r="D9" i="3"/>
  <c r="D11" i="3" s="1"/>
  <c r="D23" i="3"/>
  <c r="E23" i="3" s="1"/>
  <c r="D91" i="9"/>
  <c r="E91" i="9" s="1"/>
  <c r="E94" i="9" s="1"/>
  <c r="E101" i="9"/>
  <c r="D104" i="9" s="1"/>
  <c r="E104" i="9" s="1"/>
  <c r="G97" i="9"/>
  <c r="G101" i="9" s="1"/>
  <c r="G110" i="9"/>
  <c r="G114" i="9" s="1"/>
  <c r="D12" i="9"/>
  <c r="E12" i="9" s="1"/>
  <c r="E15" i="9" s="1"/>
  <c r="E18" i="9"/>
  <c r="E22" i="9" s="1"/>
  <c r="D25" i="9" s="1"/>
  <c r="E25" i="9" s="1"/>
  <c r="E27" i="9" s="1"/>
  <c r="E17" i="40"/>
  <c r="E19" i="40" s="1"/>
  <c r="D22" i="40" s="1"/>
  <c r="E22" i="40" s="1"/>
  <c r="E24" i="40" s="1"/>
  <c r="D8" i="40"/>
  <c r="A8" i="40"/>
  <c r="D16" i="32"/>
  <c r="E16" i="32" s="1"/>
  <c r="E22" i="32" s="1"/>
  <c r="D25" i="32" s="1"/>
  <c r="E25" i="32" s="1"/>
  <c r="E27" i="32" s="1"/>
  <c r="A8" i="32"/>
  <c r="E30" i="26"/>
  <c r="D12" i="26" s="1"/>
  <c r="E12" i="26" s="1"/>
  <c r="E13" i="26" s="1"/>
  <c r="D16" i="26"/>
  <c r="E16" i="26" s="1"/>
  <c r="E21" i="26" s="1"/>
  <c r="D24" i="26" s="1"/>
  <c r="E24" i="26" s="1"/>
  <c r="E26" i="26" s="1"/>
  <c r="D8" i="26"/>
  <c r="A8" i="26"/>
  <c r="E31" i="7"/>
  <c r="E32" i="7" s="1"/>
  <c r="E19" i="7"/>
  <c r="D18" i="7"/>
  <c r="E18" i="7" s="1"/>
  <c r="D17" i="7"/>
  <c r="E17" i="7" s="1"/>
  <c r="D16" i="7"/>
  <c r="E16" i="7" s="1"/>
  <c r="E13" i="7"/>
  <c r="D8" i="7"/>
  <c r="A8" i="7"/>
  <c r="E29" i="6"/>
  <c r="E30" i="6" s="1"/>
  <c r="D17" i="6"/>
  <c r="E17" i="6" s="1"/>
  <c r="D16" i="6"/>
  <c r="E16" i="6" s="1"/>
  <c r="E13" i="6"/>
  <c r="D8" i="6"/>
  <c r="A8" i="6"/>
  <c r="E29" i="5"/>
  <c r="E30" i="5" s="1"/>
  <c r="D17" i="5"/>
  <c r="E17" i="5" s="1"/>
  <c r="D16" i="5"/>
  <c r="E16" i="5" s="1"/>
  <c r="E13" i="5"/>
  <c r="D8" i="5"/>
  <c r="A8" i="5"/>
  <c r="D32" i="3"/>
  <c r="E32" i="3" s="1"/>
  <c r="D27" i="3"/>
  <c r="E27" i="3" s="1"/>
  <c r="D26" i="3"/>
  <c r="E26" i="3" s="1"/>
  <c r="D25" i="3"/>
  <c r="E25" i="3" s="1"/>
  <c r="J23" i="3"/>
  <c r="L23" i="3" s="1"/>
  <c r="F23" i="3"/>
  <c r="L20" i="3"/>
  <c r="J20" i="3"/>
  <c r="L10" i="3"/>
  <c r="J10" i="3"/>
  <c r="L9" i="3"/>
  <c r="J9" i="3"/>
  <c r="J32" i="3" s="1"/>
  <c r="K32" i="3" s="1"/>
  <c r="L8" i="3"/>
  <c r="L21" i="3" s="1"/>
  <c r="J21" i="3"/>
  <c r="H7" i="3"/>
  <c r="H10" i="3" s="1"/>
  <c r="H16" i="3" s="1"/>
  <c r="F9" i="3"/>
  <c r="F20" i="3" s="1"/>
  <c r="G20" i="3" s="1"/>
  <c r="E55" i="2"/>
  <c r="E54" i="2"/>
  <c r="E53" i="2"/>
  <c r="E52" i="2"/>
  <c r="E51" i="2"/>
  <c r="E49" i="2"/>
  <c r="E48" i="2"/>
  <c r="E47" i="2"/>
  <c r="E46" i="2"/>
  <c r="E36" i="2"/>
  <c r="E37" i="9" l="1"/>
  <c r="M23" i="3"/>
  <c r="D21" i="3"/>
  <c r="D18" i="3"/>
  <c r="D19" i="3" s="1"/>
  <c r="E19" i="3" s="1"/>
  <c r="D20" i="3"/>
  <c r="E20" i="3" s="1"/>
  <c r="D29" i="3"/>
  <c r="E29" i="3" s="1"/>
  <c r="D15" i="3"/>
  <c r="E21" i="5"/>
  <c r="D24" i="5" s="1"/>
  <c r="E24" i="5" s="1"/>
  <c r="E26" i="5" s="1"/>
  <c r="E32" i="5" s="1"/>
  <c r="E21" i="6"/>
  <c r="D24" i="6" s="1"/>
  <c r="E24" i="6" s="1"/>
  <c r="E26" i="6" s="1"/>
  <c r="E16" i="3"/>
  <c r="E106" i="9"/>
  <c r="G104" i="9"/>
  <c r="G106" i="9" s="1"/>
  <c r="G91" i="9"/>
  <c r="G94" i="9" s="1"/>
  <c r="L32" i="3"/>
  <c r="M32" i="3" s="1"/>
  <c r="M20" i="3"/>
  <c r="M16" i="3"/>
  <c r="L11" i="3"/>
  <c r="L18" i="3" s="1"/>
  <c r="L29" i="3"/>
  <c r="M29" i="3" s="1"/>
  <c r="L15" i="3"/>
  <c r="K21" i="3"/>
  <c r="L25" i="3"/>
  <c r="M25" i="3" s="1"/>
  <c r="L27" i="3"/>
  <c r="M27" i="3" s="1"/>
  <c r="J15" i="3"/>
  <c r="J11" i="3"/>
  <c r="J18" i="3" s="1"/>
  <c r="J31" i="3"/>
  <c r="K31" i="3" s="1"/>
  <c r="J25" i="3"/>
  <c r="K25" i="3" s="1"/>
  <c r="K23" i="3"/>
  <c r="K16" i="3"/>
  <c r="F32" i="3"/>
  <c r="G32" i="3" s="1"/>
  <c r="F31" i="3"/>
  <c r="F15" i="3"/>
  <c r="F25" i="3"/>
  <c r="G25" i="3" s="1"/>
  <c r="F29" i="3"/>
  <c r="G29" i="3" s="1"/>
  <c r="F27" i="3"/>
  <c r="G27" i="3" s="1"/>
  <c r="F26" i="3"/>
  <c r="G26" i="3" s="1"/>
  <c r="L26" i="3"/>
  <c r="M26" i="3" s="1"/>
  <c r="J29" i="3"/>
  <c r="K29" i="3" s="1"/>
  <c r="E23" i="7"/>
  <c r="E32" i="26"/>
  <c r="E34" i="26" s="1"/>
  <c r="F10" i="3"/>
  <c r="F16" i="3" s="1"/>
  <c r="G16" i="3" s="1"/>
  <c r="F8" i="3"/>
  <c r="J27" i="3"/>
  <c r="K27" i="3" s="1"/>
  <c r="L31" i="3"/>
  <c r="M31" i="3" s="1"/>
  <c r="M21" i="3"/>
  <c r="J26" i="3"/>
  <c r="K26" i="3" s="1"/>
  <c r="H8" i="3"/>
  <c r="H21" i="3" s="1"/>
  <c r="H23" i="3"/>
  <c r="H20" i="3"/>
  <c r="H9" i="3"/>
  <c r="I16" i="3" s="1"/>
  <c r="E44" i="1"/>
  <c r="I44" i="1" s="1"/>
  <c r="G23" i="3"/>
  <c r="K20" i="3"/>
  <c r="D31" i="3"/>
  <c r="E7" i="1" l="1"/>
  <c r="F7" i="1" s="1"/>
  <c r="E31" i="1"/>
  <c r="G18" i="1"/>
  <c r="H18" i="1" s="1"/>
  <c r="F18" i="1"/>
  <c r="E12" i="1"/>
  <c r="F44" i="1"/>
  <c r="E15" i="1"/>
  <c r="E14" i="1"/>
  <c r="D34" i="3"/>
  <c r="D36" i="3" s="1"/>
  <c r="E15" i="3"/>
  <c r="E32" i="6"/>
  <c r="E34" i="1"/>
  <c r="F34" i="1" s="1"/>
  <c r="E33" i="1"/>
  <c r="F33" i="1" s="1"/>
  <c r="E32" i="1"/>
  <c r="F32" i="1" s="1"/>
  <c r="E21" i="3"/>
  <c r="E18" i="3"/>
  <c r="F11" i="3"/>
  <c r="F18" i="3" s="1"/>
  <c r="I20" i="3"/>
  <c r="I23" i="3"/>
  <c r="I21" i="3"/>
  <c r="D116" i="9"/>
  <c r="E116" i="9" s="1"/>
  <c r="E17" i="1"/>
  <c r="E47" i="1"/>
  <c r="D26" i="7"/>
  <c r="E26" i="7" s="1"/>
  <c r="E28" i="7" s="1"/>
  <c r="E34" i="7" s="1"/>
  <c r="K15" i="3"/>
  <c r="J19" i="3"/>
  <c r="K19" i="3" s="1"/>
  <c r="K18" i="3"/>
  <c r="G15" i="3"/>
  <c r="M15" i="3"/>
  <c r="H29" i="3"/>
  <c r="I29" i="3" s="1"/>
  <c r="H27" i="3"/>
  <c r="I27" i="3" s="1"/>
  <c r="H32" i="3"/>
  <c r="I32" i="3" s="1"/>
  <c r="H31" i="3"/>
  <c r="H26" i="3"/>
  <c r="I26" i="3" s="1"/>
  <c r="H25" i="3"/>
  <c r="I25" i="3" s="1"/>
  <c r="H11" i="3"/>
  <c r="H18" i="3" s="1"/>
  <c r="H15" i="3"/>
  <c r="L19" i="3"/>
  <c r="M19" i="3" s="1"/>
  <c r="M18" i="3"/>
  <c r="G12" i="1" l="1"/>
  <c r="H12" i="1" s="1"/>
  <c r="I12" i="1" s="1"/>
  <c r="I18" i="1"/>
  <c r="E11" i="1"/>
  <c r="I31" i="1"/>
  <c r="F31" i="1"/>
  <c r="F17" i="1"/>
  <c r="I17" i="1"/>
  <c r="F15" i="1"/>
  <c r="I15" i="1"/>
  <c r="F14" i="1"/>
  <c r="G14" i="1"/>
  <c r="H14" i="1" s="1"/>
  <c r="I14" i="1" s="1"/>
  <c r="E13" i="1"/>
  <c r="E9" i="1"/>
  <c r="F9" i="1" s="1"/>
  <c r="E8" i="1"/>
  <c r="F8" i="1" s="1"/>
  <c r="F6" i="1"/>
  <c r="F12" i="1"/>
  <c r="F47" i="1"/>
  <c r="I47" i="1"/>
  <c r="I33" i="1"/>
  <c r="I7" i="1"/>
  <c r="I32" i="1"/>
  <c r="I34" i="1"/>
  <c r="L34" i="3"/>
  <c r="L36" i="3" s="1"/>
  <c r="L37" i="3" s="1"/>
  <c r="K34" i="3"/>
  <c r="E34" i="3"/>
  <c r="D35" i="3"/>
  <c r="E16" i="1"/>
  <c r="F21" i="3"/>
  <c r="G21" i="3" s="1"/>
  <c r="E117" i="9"/>
  <c r="E119" i="9" s="1"/>
  <c r="G116" i="9"/>
  <c r="G119" i="9" s="1"/>
  <c r="E46" i="1"/>
  <c r="J34" i="3"/>
  <c r="J36" i="3" s="1"/>
  <c r="L35" i="3"/>
  <c r="G18" i="3"/>
  <c r="F19" i="3"/>
  <c r="I15" i="3"/>
  <c r="H19" i="3"/>
  <c r="I19" i="3" s="1"/>
  <c r="I18" i="3"/>
  <c r="M34" i="3"/>
  <c r="F11" i="1" l="1"/>
  <c r="G11" i="1"/>
  <c r="H11" i="1" s="1"/>
  <c r="F13" i="1"/>
  <c r="G13" i="1"/>
  <c r="H13" i="1" s="1"/>
  <c r="I13" i="1" s="1"/>
  <c r="I46" i="1"/>
  <c r="F46" i="1"/>
  <c r="F16" i="1"/>
  <c r="G16" i="1"/>
  <c r="H16" i="1" s="1"/>
  <c r="I16" i="1" s="1"/>
  <c r="I8" i="1"/>
  <c r="I9" i="1"/>
  <c r="I34" i="3"/>
  <c r="J35" i="3"/>
  <c r="J37" i="3"/>
  <c r="G19" i="3"/>
  <c r="G34" i="3" s="1"/>
  <c r="F34" i="3"/>
  <c r="F36" i="3" s="1"/>
  <c r="D30" i="32"/>
  <c r="E30" i="32" s="1"/>
  <c r="E31" i="32" s="1"/>
  <c r="D12" i="32" s="1"/>
  <c r="E12" i="32" s="1"/>
  <c r="E13" i="32" s="1"/>
  <c r="E33" i="32" s="1"/>
  <c r="E35" i="32" s="1"/>
  <c r="D37" i="3"/>
  <c r="H34" i="3"/>
  <c r="H36" i="3" s="1"/>
  <c r="E30" i="1" l="1"/>
  <c r="E28" i="1"/>
  <c r="E39" i="1"/>
  <c r="F35" i="3"/>
  <c r="H35" i="3"/>
  <c r="I11" i="1" l="1"/>
  <c r="G39" i="1"/>
  <c r="H39" i="1" s="1"/>
  <c r="G30" i="1"/>
  <c r="H30" i="1" s="1"/>
  <c r="G28" i="1"/>
  <c r="H28" i="1" s="1"/>
  <c r="F28" i="1"/>
  <c r="F39" i="1"/>
  <c r="F30" i="1"/>
  <c r="E36" i="1"/>
  <c r="E29" i="1"/>
  <c r="E23" i="1"/>
  <c r="E37" i="1"/>
  <c r="H37" i="3"/>
  <c r="D27" i="40"/>
  <c r="E27" i="40" s="1"/>
  <c r="D28" i="40"/>
  <c r="E28" i="40" s="1"/>
  <c r="F37" i="3"/>
  <c r="E41" i="1" l="1"/>
  <c r="G37" i="1"/>
  <c r="H37" i="1" s="1"/>
  <c r="G29" i="1"/>
  <c r="H29" i="1" s="1"/>
  <c r="E26" i="1"/>
  <c r="F26" i="1" s="1"/>
  <c r="G23" i="1"/>
  <c r="H23" i="1" s="1"/>
  <c r="F36" i="1"/>
  <c r="G36" i="1"/>
  <c r="H36" i="1" s="1"/>
  <c r="I39" i="1"/>
  <c r="I30" i="1"/>
  <c r="I28" i="1"/>
  <c r="F37" i="1"/>
  <c r="F29" i="1"/>
  <c r="F23" i="1"/>
  <c r="E22" i="1"/>
  <c r="E29" i="40"/>
  <c r="D12" i="40" s="1"/>
  <c r="E12" i="40" s="1"/>
  <c r="E14" i="40" s="1"/>
  <c r="E31" i="40" s="1"/>
  <c r="E34" i="40" s="1"/>
  <c r="E42" i="1"/>
  <c r="E38" i="1"/>
  <c r="F41" i="1" l="1"/>
  <c r="G41" i="1"/>
  <c r="H41" i="1" s="1"/>
  <c r="I41" i="1" s="1"/>
  <c r="G26" i="1"/>
  <c r="H26" i="1" s="1"/>
  <c r="I26" i="1" s="1"/>
  <c r="G22" i="1"/>
  <c r="H22" i="1" s="1"/>
  <c r="I36" i="1"/>
  <c r="F38" i="1"/>
  <c r="G38" i="1"/>
  <c r="F42" i="1"/>
  <c r="G42" i="1"/>
  <c r="H42" i="1" s="1"/>
  <c r="I23" i="1"/>
  <c r="I29" i="1"/>
  <c r="F22" i="1"/>
  <c r="E45" i="1"/>
  <c r="E43" i="1"/>
  <c r="E21" i="1"/>
  <c r="G45" i="1" l="1"/>
  <c r="H45" i="1" s="1"/>
  <c r="G43" i="1"/>
  <c r="H43" i="1" s="1"/>
  <c r="H38" i="1"/>
  <c r="I38" i="1" s="1"/>
  <c r="G21" i="1"/>
  <c r="I42" i="1"/>
  <c r="F45" i="1"/>
  <c r="I37" i="1"/>
  <c r="I22" i="1"/>
  <c r="F43" i="1"/>
  <c r="F21" i="1"/>
  <c r="E48" i="1"/>
  <c r="H21" i="1" l="1"/>
  <c r="I21" i="1" s="1"/>
  <c r="I45" i="1"/>
  <c r="F48" i="1"/>
  <c r="G48" i="1"/>
  <c r="I49" i="1" s="1"/>
  <c r="I51" i="1" l="1"/>
  <c r="H48" i="1"/>
  <c r="I48" i="1" s="1"/>
  <c r="I43" i="1"/>
  <c r="I50" i="1" s="1"/>
  <c r="I54" i="1" l="1"/>
</calcChain>
</file>

<file path=xl/connections.xml><?xml version="1.0" encoding="utf-8"?>
<connections xmlns="http://schemas.openxmlformats.org/spreadsheetml/2006/main">
  <connection id="1" keepAlive="1" name="Consulta - Tabla1" description="Conexión a la consulta 'Tabla1' en el libro." type="5" refreshedVersion="8" background="1" saveData="1">
    <dbPr connection="Provider=Microsoft.Mashup.OleDb.1;Data Source=$Workbook$;Location=Tabla1;Extended Properties=&quot;&quot;" command="SELECT * FROM [Tabla1]"/>
  </connection>
</connections>
</file>

<file path=xl/sharedStrings.xml><?xml version="1.0" encoding="utf-8"?>
<sst xmlns="http://schemas.openxmlformats.org/spreadsheetml/2006/main" count="1037" uniqueCount="400">
  <si>
    <t>SUBDIRECCCIÓN DE EDUCACIÓN</t>
  </si>
  <si>
    <t>ACTIVIDADES TÍPICAS PARA LA EJECUCIÓN DE PROYECTOS POR MEDIO DE LA METODOLOGÍA PRISER</t>
  </si>
  <si>
    <t>CLAVE</t>
  </si>
  <si>
    <t>DESCRIPCIÓN</t>
  </si>
  <si>
    <t>UNIDAD</t>
  </si>
  <si>
    <t>CANTIDAD</t>
  </si>
  <si>
    <t>VALOR UNITARIO</t>
  </si>
  <si>
    <t>VALOR TOTAL</t>
  </si>
  <si>
    <t>COMPONENTE EDUCATIVO (OBLIGATORIO)</t>
  </si>
  <si>
    <t>1.1</t>
  </si>
  <si>
    <t>Taller de socialización.</t>
  </si>
  <si>
    <t>Und</t>
  </si>
  <si>
    <t>1.2</t>
  </si>
  <si>
    <t>Taller de enfoque PRISER - fortalecimiento comunitario.</t>
  </si>
  <si>
    <t>1.3</t>
  </si>
  <si>
    <t>Taller temático.</t>
  </si>
  <si>
    <t>1.4</t>
  </si>
  <si>
    <t>Encuentro de cierre PRISER - evaluación impacto del proyecto.</t>
  </si>
  <si>
    <t>2.1</t>
  </si>
  <si>
    <t>Restauración funcional.</t>
  </si>
  <si>
    <t>ha</t>
  </si>
  <si>
    <t>2.2</t>
  </si>
  <si>
    <t>Suministro, transporte e instalación de cerramiento para restauración pasiva con estacones en madera inmunizada y alambre de púas.</t>
  </si>
  <si>
    <t>ml</t>
  </si>
  <si>
    <t>2.3</t>
  </si>
  <si>
    <t>Fortalecimiento a la restauración.</t>
  </si>
  <si>
    <t>2.4</t>
  </si>
  <si>
    <t>Control de especies exóticas invasoras (ojo de poeta).</t>
  </si>
  <si>
    <t>m2</t>
  </si>
  <si>
    <t>2.5</t>
  </si>
  <si>
    <t>Inventarios participativos.</t>
  </si>
  <si>
    <t>2.6</t>
  </si>
  <si>
    <t>Repoblamiento de especies de flora amenazadas.</t>
  </si>
  <si>
    <t>2.7</t>
  </si>
  <si>
    <t>Turismo sostenible mediante la estrategia de aviturismo.</t>
  </si>
  <si>
    <t>2.8</t>
  </si>
  <si>
    <t>Recuperación de humedales.</t>
  </si>
  <si>
    <t>3.1</t>
  </si>
  <si>
    <t>Suministro, transporte y construcción de trincho en estacones de madera inmunizada y tendido entre 4 y 6 guaduas.</t>
  </si>
  <si>
    <t>3.2</t>
  </si>
  <si>
    <t>3.4</t>
  </si>
  <si>
    <t>Sellado manual de grietas con material seleccionado y compactación manual</t>
  </si>
  <si>
    <t>4.1</t>
  </si>
  <si>
    <t>Suministro, transporte e instalación de Parque Mini en madera plástica.</t>
  </si>
  <si>
    <t>Suministro, transporte e instalación de Parque mini con pasamanos.</t>
  </si>
  <si>
    <t>Suministro, transporte e instalación de Parque mediano.</t>
  </si>
  <si>
    <t>Suministro y transporte de Mesa picnic.</t>
  </si>
  <si>
    <t>Suministro y transporte de Mesa hexagonal.</t>
  </si>
  <si>
    <t>Suministro y transporte de Punto ecológico con techo.</t>
  </si>
  <si>
    <t>Suministro y transporte de Formaleta o paca biodigestora.</t>
  </si>
  <si>
    <t>MEJORAMIENTO PAISAJISTICO</t>
  </si>
  <si>
    <t>5.1</t>
  </si>
  <si>
    <t>Preparación y nivelación de terreno.</t>
  </si>
  <si>
    <t>5.2</t>
  </si>
  <si>
    <t>Excavación manual material heterogéneo seco 0-2m.</t>
  </si>
  <si>
    <t>m3</t>
  </si>
  <si>
    <t>5.3</t>
  </si>
  <si>
    <t>Colocación de llenos en material proveniente de la excavación, compactados mecánicamente hasta obtener una densidad del 95% de la máxima obtenida en el ensayo del Proctor Modificado.</t>
  </si>
  <si>
    <t>5.4</t>
  </si>
  <si>
    <t>5.5</t>
  </si>
  <si>
    <t>5.6</t>
  </si>
  <si>
    <t>Suministro, transporte e instalación de adoquines (Área urbana).</t>
  </si>
  <si>
    <t>5.7</t>
  </si>
  <si>
    <t>Suministro, transporte e instalación de cordón prefabricado (Área urbana).</t>
  </si>
  <si>
    <t>Suministro de banca con espaldar y descansa brazos en madera plástica.</t>
  </si>
  <si>
    <t>Suministro, transporte e instalación de cama huerta en madera plástica (36cm*50cm*250cm).</t>
  </si>
  <si>
    <t>Suministro y transporte  de matera triple en madera plástica (70cm*27cm*36cm).</t>
  </si>
  <si>
    <t>Suministro y transporte de matera rectangular horizontal en madera plástica (90cm*40cm*36cm).</t>
  </si>
  <si>
    <t>Suministro, transporte e instalación de kiosko de 16m2 en madera plástica, teja/cubierta de polipropileno, con perfiles de 9cm*3cm, 8cm*8cm, encierro en perfil de 2.5cm, piso en tabla de 2.2cm*12cm.</t>
  </si>
  <si>
    <t>MATERIAL</t>
  </si>
  <si>
    <t>UND</t>
  </si>
  <si>
    <t>Estacón madera inmunizada (2,20 cm de largo con 7,5 cm de diametro)</t>
  </si>
  <si>
    <t>und</t>
  </si>
  <si>
    <t>GRAPAS</t>
  </si>
  <si>
    <t>KG</t>
  </si>
  <si>
    <t>CLAVOS DE 3''</t>
  </si>
  <si>
    <t>Libra</t>
  </si>
  <si>
    <t>Plantulas árboles forestales para aprovechamiento (maderables) - Mínimo de 40cm</t>
  </si>
  <si>
    <t>Plantulas árboles forestales nativos de conservación y protección - Mínimo de 40cm</t>
  </si>
  <si>
    <t>Plantulas de árboles frutales para la fauna - Mínimo de 40cm</t>
  </si>
  <si>
    <t>Control fitosanitario biológico (3g/planta)</t>
  </si>
  <si>
    <t>kg</t>
  </si>
  <si>
    <t>Abono Orgánico (500g Plántula)</t>
  </si>
  <si>
    <t>Cal dolomita (250g/planta)</t>
  </si>
  <si>
    <t>Materiales educativo equipos y herramientas (folletos, infograficos, cartulinas, tijeras, marcadores, Video Beam)</t>
  </si>
  <si>
    <t xml:space="preserve">Refrigerios </t>
  </si>
  <si>
    <t xml:space="preserve">Almuerzos </t>
  </si>
  <si>
    <t xml:space="preserve">Logistica </t>
  </si>
  <si>
    <t>Pala hoyadora + palo</t>
  </si>
  <si>
    <t>Guantes Nitrilo Foam anticorte Steelpro</t>
  </si>
  <si>
    <t>Plantulas árboles de especies amenazadas para su preservación - Mínimo de 40cm</t>
  </si>
  <si>
    <t xml:space="preserve">Costales </t>
  </si>
  <si>
    <t>Estacon inmunizado de 2,2 m x 10 cm de diametro (punta diamante o cónica)</t>
  </si>
  <si>
    <t>Guadua de 6 m</t>
  </si>
  <si>
    <t>m</t>
  </si>
  <si>
    <t>Geotextil  no tejido ref 1600</t>
  </si>
  <si>
    <t>Clavos de 2.5"</t>
  </si>
  <si>
    <t>lb</t>
  </si>
  <si>
    <t>Cal Agricola</t>
  </si>
  <si>
    <t>Abonaza</t>
  </si>
  <si>
    <t>Agua</t>
  </si>
  <si>
    <t>litro</t>
  </si>
  <si>
    <t>Rollo de fibra x 1000m</t>
  </si>
  <si>
    <t xml:space="preserve">Tableta tipo gris Adoquín </t>
  </si>
  <si>
    <t xml:space="preserve">Arena de revoque </t>
  </si>
  <si>
    <t xml:space="preserve">lata </t>
  </si>
  <si>
    <t xml:space="preserve">Semillas Arbol velero </t>
  </si>
  <si>
    <t>Triturado 3/4</t>
  </si>
  <si>
    <t>Pintura a base de aceite</t>
  </si>
  <si>
    <t>Cordón de acera</t>
  </si>
  <si>
    <t xml:space="preserve">Cama huerta </t>
  </si>
  <si>
    <t xml:space="preserve">matera triple en madera plástica </t>
  </si>
  <si>
    <t>matera rectangular horizontal en madera plástica (90cm*40cm*36cm)</t>
  </si>
  <si>
    <t>Libreta para apuntar - tamaño 12.5 x 8.5</t>
  </si>
  <si>
    <t>Lapicero retractil negro</t>
  </si>
  <si>
    <t>Cartulina - tamaño 70 x 50 cm</t>
  </si>
  <si>
    <t>Marcadores punta gruesa</t>
  </si>
  <si>
    <t>Binoculares largo alcance 20 x 50</t>
  </si>
  <si>
    <t>Linternas manos libre led para cabeza</t>
  </si>
  <si>
    <t>Caja de pilas AA x 10</t>
  </si>
  <si>
    <t>Tijeras para podar 8" acero</t>
  </si>
  <si>
    <t>Lupa botánica de acero inoxidable 20 x 21 mm</t>
  </si>
  <si>
    <t>Bolsas transparente 20x40 paquete 100 unidades</t>
  </si>
  <si>
    <t xml:space="preserve">paquete </t>
  </si>
  <si>
    <t>pago de alimentación (desayuno) para la comunidad y profesionales del taller</t>
  </si>
  <si>
    <t xml:space="preserve">Parque mini. Incluye 1 torre con encierro y techo, 1 escalera a torre, 1 juego de 2 columpios herraje doble, 1 mataculín, 1 deslizadero de 2.40 m de largo en fibra de vidrio. </t>
  </si>
  <si>
    <t>Parque mini con pasamanos. Incluye 1 torre con techo, 1 escalera, 1 juego de dos culumpios, 1 deslizadero, 1 Mataculín, 1 pasamanos con argollar 
y trapecio.</t>
  </si>
  <si>
    <t>Parque mediano Incluye 2 torre con techo, 1 escaleras a torre, 1 juego de dos columpios,1 deslizadero, 1 Mataculin, 1 pasamanos con argollas y trapecio.</t>
  </si>
  <si>
    <t>Parque grande. Incluye 4 torres con techo, 2 escalera, 2 juegos de dos culumpios, 2 deslizaderos, 2 Mataculín, 1 pasamanos, 1 estructura con argollas y trapecio, 1 puente colgante, 1 túnel.Dimensiones y otras especificaciones: área a utilizar 11 metros de largo por 9 metros de ancho (99 metros cuadrados)</t>
  </si>
  <si>
    <t xml:space="preserve"> Mesa Picnic</t>
  </si>
  <si>
    <t xml:space="preserve"> Mesa Picnic Hexagonal</t>
  </si>
  <si>
    <t>Sendero ecológico con largueros</t>
  </si>
  <si>
    <t xml:space="preserve">Señaletica de madera plástica </t>
  </si>
  <si>
    <t>Punto ecológico con techo</t>
  </si>
  <si>
    <t>Formaleta o paca biodigestora</t>
  </si>
  <si>
    <t>Tierra abonada</t>
  </si>
  <si>
    <t>Árbol Velero (80cm)</t>
  </si>
  <si>
    <t>Kiosco</t>
  </si>
  <si>
    <t>Especies para jardines funcionales para zona cálida menores a 2000msnm (Asclepia curassavica, Cleome spinosa, Cuphea hyssopifolia, Euryops chrysanthemoides, Lantana camara, Verbena sp, Catharanthus roseus, Pentas lanceolata) Y zonas frías mayores a 2000 msnm ( Philodendron sagittifolium, Oreopanax incisus, Clusia orthoneura, Centropogon sp, Tourmefortia fuliginosa, Viburnum sp, Gautheria erecta, Cavendishia guatapensis, Palicourea angustifolia, Salvia pauciserrata)</t>
  </si>
  <si>
    <t xml:space="preserve">und </t>
  </si>
  <si>
    <t xml:space="preserve">Abono agrícola </t>
  </si>
  <si>
    <t>Bulto</t>
  </si>
  <si>
    <t xml:space="preserve">Semilla de Tomate chonto </t>
  </si>
  <si>
    <t xml:space="preserve"> 2 gr</t>
  </si>
  <si>
    <t>Semilla de Lechuga batavia (50)</t>
  </si>
  <si>
    <t>semilla</t>
  </si>
  <si>
    <t>Semilla de zanahoría</t>
  </si>
  <si>
    <t>5 gr</t>
  </si>
  <si>
    <t>SALARIO</t>
  </si>
  <si>
    <t xml:space="preserve">AYUDANTE RASO  </t>
  </si>
  <si>
    <t xml:space="preserve">AYUDANTE ENTENDIDO </t>
  </si>
  <si>
    <t xml:space="preserve">OFICIAL   </t>
  </si>
  <si>
    <t>RESIDENTE</t>
  </si>
  <si>
    <t>DIRECTOR DE OBRA</t>
  </si>
  <si>
    <t>SMMLV</t>
  </si>
  <si>
    <t>REF</t>
  </si>
  <si>
    <t>Mensual</t>
  </si>
  <si>
    <t>A</t>
  </si>
  <si>
    <t>Subsidio de Transporte</t>
  </si>
  <si>
    <t>B</t>
  </si>
  <si>
    <t>Total Mensual</t>
  </si>
  <si>
    <t>C</t>
  </si>
  <si>
    <t>Anual (A/30x360)</t>
  </si>
  <si>
    <t>D</t>
  </si>
  <si>
    <t xml:space="preserve">Subsidio Transporte Anual </t>
  </si>
  <si>
    <t>E</t>
  </si>
  <si>
    <t>Anual con subsidio Transporte</t>
  </si>
  <si>
    <t>F</t>
  </si>
  <si>
    <t>CONCEPTO</t>
  </si>
  <si>
    <t>BASE</t>
  </si>
  <si>
    <t>FACTOR</t>
  </si>
  <si>
    <t>VALOR</t>
  </si>
  <si>
    <t>%</t>
  </si>
  <si>
    <t>Salario anual (360 días)</t>
  </si>
  <si>
    <t>Subsidio transporte (1)</t>
  </si>
  <si>
    <t>PRESTACIONES</t>
  </si>
  <si>
    <t>Cesantía anual</t>
  </si>
  <si>
    <t>Intereses cesantía</t>
  </si>
  <si>
    <t>Cesantías</t>
  </si>
  <si>
    <t>Vacaciones remuneradas- 15 días</t>
  </si>
  <si>
    <t>Prima de servicios - 30 días</t>
  </si>
  <si>
    <t>OTROS COSTOS</t>
  </si>
  <si>
    <t>Botas, Camisa y pantalon</t>
  </si>
  <si>
    <t>SEGURIDAD SOCIAL</t>
  </si>
  <si>
    <t>Pensiones</t>
  </si>
  <si>
    <t>Seguridad social en salud</t>
  </si>
  <si>
    <t>Riesgos profesionales</t>
  </si>
  <si>
    <t>APORTES SENA</t>
  </si>
  <si>
    <t>Aporte ordinario</t>
  </si>
  <si>
    <t>OTROS APORTES</t>
  </si>
  <si>
    <t>I.C.B.F.</t>
  </si>
  <si>
    <t>Caja de compensación familiar</t>
  </si>
  <si>
    <t>VLR. REAL DEL SALARIO ANUAL</t>
  </si>
  <si>
    <t>VLR. REAL DEL SALARIO MENSUAL</t>
  </si>
  <si>
    <t>VLR. REAL DEL SALARIO DIARIO</t>
  </si>
  <si>
    <t>VLR. REAL DEL SALARIO HORARIO</t>
  </si>
  <si>
    <t>CORPORACIÓN AUTONOMA REGIONAL DE LOS RIOS NEGRO Y NARE</t>
  </si>
  <si>
    <t>CÓDIGO</t>
  </si>
  <si>
    <t>VERSIÓN</t>
  </si>
  <si>
    <t>PÁGINA</t>
  </si>
  <si>
    <t>DE</t>
  </si>
  <si>
    <t>FECHA</t>
  </si>
  <si>
    <t>(Día)</t>
  </si>
  <si>
    <t>(Mes)</t>
  </si>
  <si>
    <t>(Año)</t>
  </si>
  <si>
    <t>DEPENDENCIA:</t>
  </si>
  <si>
    <t xml:space="preserve">SUBDIRECCIÓN EDUCACIÓN Y PARTICIPACIÓN SOCIOAMBIENTAL </t>
  </si>
  <si>
    <t>ITEM</t>
  </si>
  <si>
    <t>I. EQUIPOS</t>
  </si>
  <si>
    <t>PORCENTAJE</t>
  </si>
  <si>
    <t>BASE DE CALCULO</t>
  </si>
  <si>
    <t>SUBTOTAL $</t>
  </si>
  <si>
    <t>II. MATERIALES</t>
  </si>
  <si>
    <t>Unidad</t>
  </si>
  <si>
    <t>III. TRANSPORTES</t>
  </si>
  <si>
    <t>Transporte de materiales</t>
  </si>
  <si>
    <t>IV. MANO DE OBRA</t>
  </si>
  <si>
    <t>RENDIMIENTO</t>
  </si>
  <si>
    <t>VALOR  TOTAL</t>
  </si>
  <si>
    <t xml:space="preserve">Tallerista </t>
  </si>
  <si>
    <t>TOTAL COSTOS DIRECTOS</t>
  </si>
  <si>
    <t>SUBTOTAL</t>
  </si>
  <si>
    <t>Profesional que elabora los APU</t>
  </si>
  <si>
    <t>Revisó:</t>
  </si>
  <si>
    <t>Equipo Subdirección Educación</t>
  </si>
  <si>
    <t>Diana Maria Henao</t>
  </si>
  <si>
    <t>Subdirectora Planeación</t>
  </si>
  <si>
    <t>ESPECIFICACIÓN TÉCNICA</t>
  </si>
  <si>
    <t>DESCRIPCIÓN Y ALCANCE</t>
  </si>
  <si>
    <t>Al suscribirse el convenio Cornare-municipio y municipio-JAC se debe iniciar con un taller de socialización del proyecto. Este espacio está diseñado para la divulgación y el intercambio de información sobre los objetivos del proyecto. En él, se debe involucrar a la comunidad beneficiaria del PRISER, para que conozcan, comprendan y se comprometan con los objetivos y actividades del mismo. La socialización va más allá de un simple acto informativo, ya que busca que los participantes se conviertan en agentes activos del cambio, contribuyendo en la creación de soluciones sostenibles para su entorno.</t>
  </si>
  <si>
    <t xml:space="preserve"> EJECUCIÓN</t>
  </si>
  <si>
    <r>
      <rPr>
        <sz val="9"/>
        <color rgb="FF000000"/>
        <rFont val="Arial"/>
        <family val="2"/>
      </rPr>
      <t xml:space="preserve">Para la correcta ejecución del taller, es fundamental que se incluyan momentos clave que aborden la información sobre las </t>
    </r>
    <r>
      <rPr>
        <b/>
        <sz val="9"/>
        <color rgb="FF000000"/>
        <rFont val="Arial"/>
        <family val="2"/>
      </rPr>
      <t>actividades</t>
    </r>
    <r>
      <rPr>
        <sz val="9"/>
        <color rgb="FF000000"/>
        <rFont val="Arial"/>
        <family val="2"/>
      </rPr>
      <t xml:space="preserve"> del proyecto, costos, </t>
    </r>
    <r>
      <rPr>
        <b/>
        <sz val="9"/>
        <color rgb="FF000000"/>
        <rFont val="Arial"/>
        <family val="2"/>
      </rPr>
      <t>cronograma</t>
    </r>
    <r>
      <rPr>
        <sz val="9"/>
        <color rgb="FF000000"/>
        <rFont val="Arial"/>
        <family val="2"/>
      </rPr>
      <t xml:space="preserve"> detallado, así como la presencia del </t>
    </r>
    <r>
      <rPr>
        <b/>
        <sz val="9"/>
        <color rgb="FF000000"/>
        <rFont val="Arial"/>
        <family val="2"/>
      </rPr>
      <t>supervisor del proyecto</t>
    </r>
    <r>
      <rPr>
        <sz val="9"/>
        <color rgb="FF000000"/>
        <rFont val="Arial"/>
        <family val="2"/>
      </rPr>
      <t xml:space="preserve">, el </t>
    </r>
    <r>
      <rPr>
        <b/>
        <sz val="9"/>
        <color rgb="FF000000"/>
        <rFont val="Arial"/>
        <family val="2"/>
      </rPr>
      <t>acompañante municipal</t>
    </r>
    <r>
      <rPr>
        <sz val="9"/>
        <color rgb="FF000000"/>
        <rFont val="Arial"/>
        <family val="2"/>
      </rPr>
      <t xml:space="preserve"> y representante de la </t>
    </r>
    <r>
      <rPr>
        <b/>
        <sz val="9"/>
        <color rgb="FF000000"/>
        <rFont val="Arial"/>
        <family val="2"/>
      </rPr>
      <t xml:space="preserve">JAC. </t>
    </r>
    <r>
      <rPr>
        <sz val="9"/>
        <color rgb="FF000000"/>
        <rFont val="Arial"/>
        <family val="2"/>
      </rPr>
      <t xml:space="preserve"> Estructura del Taller o momentos
Sensibilización
Bienvenida: Presentación inicial dando a conocer el objetivo del taller y la importancia de la participación comunitaria.
</t>
    </r>
    <r>
      <rPr>
        <b/>
        <sz val="9"/>
        <color rgb="FF000000"/>
        <rFont val="Arial"/>
        <family val="2"/>
      </rPr>
      <t>Socialización</t>
    </r>
    <r>
      <rPr>
        <sz val="9"/>
        <color rgb="FF000000"/>
        <rFont val="Arial"/>
        <family val="2"/>
      </rPr>
      <t xml:space="preserve">
Presentación de los facilitadores (supervisor del proyecto (opcional), delegado por parte del municipio, representantes JAC), dicha presentación se puede llevar a cabo por medio de una actividad rompehielos que permita que los participantes se sientan cómodos. No obstante, el facilitador del taller es libre de utilizar otra herramienta metodológica.
</t>
    </r>
    <r>
      <rPr>
        <b/>
        <sz val="9"/>
        <color rgb="FF000000"/>
        <rFont val="Arial"/>
        <family val="2"/>
      </rPr>
      <t>Capacitación</t>
    </r>
    <r>
      <rPr>
        <sz val="9"/>
        <color rgb="FF000000"/>
        <rFont val="Arial"/>
        <family val="2"/>
      </rPr>
      <t xml:space="preserve">
Presentación clara del proyecto: Explicar de manera sencilla y comprensible la definición e importancia de los PROCEDA con metodología PRISER, y específicamente del proyecto a ejecutar, su propósito, objetivos, actividades, cronograma de ejecución, costos y beneficios del proyecto. Los miembros de la comunidad deben saber cómo el proyecto impactará su entorno y su calidad de vida. Para la presentación del proyecto se puede hacer uso de herramientas educativas como materiales didácticos (folletos, infografías, video Beam, etc).                                                                                                                                         Participación: permitir un momento de participación (debate, lluvia de ideas, diálogo de saberes) en donde los asistentes manifiesten sus inquietudes, preocupaciones, sugerencias relacionadas a la ejecución del proyecto y roles en el mismo. (esto puede incluir compromisos concretos de los participantes sobre acciones que van a realizar para apoyar el proyecto). Proyectar convites, recursos necesarios, etc.
Cierre: Reconocer el compromiso y la disposición de los participantes, informar o detallar sobre la próxima actividad a ejecutar y finalmente realizar la evaluación de la actividad. </t>
    </r>
    <r>
      <rPr>
        <sz val="9"/>
        <color rgb="FFFF0000"/>
        <rFont val="Arial"/>
        <family val="2"/>
      </rPr>
      <t xml:space="preserve">
</t>
    </r>
    <r>
      <rPr>
        <sz val="9"/>
        <color rgb="FF000000"/>
        <rFont val="Arial"/>
        <family val="2"/>
      </rPr>
      <t xml:space="preserve">
Anexar lista de asistencia, registro fotográfico</t>
    </r>
  </si>
  <si>
    <r>
      <rPr>
        <b/>
        <sz val="9"/>
        <color theme="1"/>
        <rFont val="Arial"/>
        <family val="2"/>
      </rPr>
      <t>Unidad de medida</t>
    </r>
    <r>
      <rPr>
        <sz val="9"/>
        <color theme="1"/>
        <rFont val="Arial"/>
        <family val="2"/>
      </rPr>
      <t xml:space="preserve">: Unidad </t>
    </r>
  </si>
  <si>
    <r>
      <rPr>
        <b/>
        <sz val="9"/>
        <color theme="1"/>
        <rFont val="Arial"/>
        <family val="2"/>
      </rPr>
      <t>Esquema:</t>
    </r>
    <r>
      <rPr>
        <sz val="9"/>
        <color theme="1"/>
        <rFont val="Arial"/>
        <family val="2"/>
      </rPr>
      <t xml:space="preserve"> </t>
    </r>
    <r>
      <rPr>
        <sz val="9"/>
        <color rgb="FFFF0000"/>
        <rFont val="Arial"/>
        <family val="2"/>
      </rPr>
      <t>No aplica</t>
    </r>
  </si>
  <si>
    <t>ESPECIFICACION TECNICA</t>
  </si>
  <si>
    <t xml:space="preserve">
El taller de apropiación comunitaria tiene como propósito generar espacios de integración y participación activa de los habitantes beneficiarios del proyecto PRISER. Se desarrollará en un entorno adecuado, donde los asistentes se ubiquen en círculo para facilitar el diálogo horizontal y la construcción colectiva del conocimiento.</t>
  </si>
  <si>
    <t xml:space="preserve">
La ejecución del taller se dividirá en las siguientes fases:
1. Preparación del espacio:
Adecuación del lugar para garantizar comodidad y disposición circular de los participantes.
Disposición de materiales necesarios (folletos, infograficos, cartulinas, tijeras, marcadores, Video Beam, entre otros).
2. Desarrollo del taller:
Presentación del tallerista y explicación del objetivo del taller.
Actividad "Amigo Secreto" para promover la integración.
Dinámica "Nudo Humano" para fomentar el trabajo en equipo y la resolución de problemas.
Reflexión guiada sobre la importancia del liderazgo y la colaboración comunitaria.
Análisis de las actividades del PRISER y conformación de subgrupos de trabajo.
Elaboración de propuestas de sostenibilidad y planes de acción por cada subgrupo.
3. Cierre y compromisos:
Consolidación del plan de trabajo comunitario.
El desarrollo de este taller contribuirá a fortalecer la organización comunitaria y asegurar la sostenibilidad ambiental del proyecto PRISER mediante la participación activa y el compromiso de la comunidad.
</t>
  </si>
  <si>
    <r>
      <rPr>
        <b/>
        <sz val="9"/>
        <color theme="1"/>
        <rFont val="Arial"/>
        <family val="2"/>
      </rPr>
      <t>Unidad de medida</t>
    </r>
    <r>
      <rPr>
        <sz val="9"/>
        <color theme="1"/>
        <rFont val="Arial"/>
        <family val="2"/>
      </rPr>
      <t>: Unidad (Und)</t>
    </r>
  </si>
  <si>
    <t>Materiales educativo equipos y herramientas (folletos, infograficos, cartulinas, tijeras, marcadores)</t>
  </si>
  <si>
    <t>Descripción y alcance:</t>
  </si>
  <si>
    <t>El taller temático consiste en la planificación, organización y desarrollo de una sesión de capacitación sobre PRISER, dirigida a la comunidad o a un grupo objetivo. Incluye la preparación de materiales didácticos, la logística del evento y la facilitación por parte de un experto en la materia. Su propósito es generar conocimiento, promover la participación y fomentar buenas prácticas en el tema tratado.</t>
  </si>
  <si>
    <t>Ejecución:</t>
  </si>
  <si>
    <t>Los talleres temáticos en el marco de los PRISER son espacios pensados para el encuentro, la conversación y aprendizaje sobre temas que tocan las comunidades y territorios. Son oportunidades para fortalecer el conocimiento ambiental desde las realidades propias, intercambiar experiencias y construir alternativas que cuiden la naturaleza y promuevan el bienestar común.
Cada taller gira en torno a una temática particular (como conservación del agua, residuos sólidos, soberanía alimentaria, fauna silvestre, entre otros) que será elegida por el tallerista según el contexto del lugar y las personas participantes.
¿Cómo se puede estructurar un taller?
Para que el taller sea dinámico, participativo y significativo, sugerimos tener en cuenta cuatro momentos principales. Estos momentos no son rígidos, pueden adaptarse según la duración del encuentro, el número de personas, el lugar y los materiales disponibles.
1. Bienvenida y conexión (10 a 15 minutos)
Objetivo: romper el hielo, crear confianza y generar conexión con el espacio de aprendizaje.
Sugerencias:
• Juegos sencillos, dinámicas de presentación o movimiento.
• Preguntas que despierten la curiosidad: ¿Qué sabemos del tema? ¿Qué experiencias tenemos?
• Elementos del entorno como punto de partida: una semilla, una foto, un objeto local.
2. Exploración del tema (30 a 45 minutos)
Objetivo: acercamiento al tema central del taller desde las experiencias y saberes propias de los asistentes.
Sugerencias:
• Actividades de grupo que inviten a observar, dialogar, escribir o dibujar.
• Caminatas, juegos de roles, pequeños experimentos o relatos de vida.
• Material visual o ejemplos cercanos al contexto local.
3. Manos a la obra: aplicar lo aprendido (30 a 45 minutos)
Objetivo: pasar de la reflexión a la acción, desde lo sencillo y posible.
Sugerencias:
• Diseñar una propuesta, hacer un prototipo, elaborar un cartel o construir una idea en grupo.
• Imaginar escenarios: ¿Qué haríamos si…? ¿Cómo resolveríamos este problema en nuestra vereda, barrio o comunidad?
4. Cierre y valoración (15 a 20 minutos)
Objetivo: recoger aprendizajes, compartir sentimientos y proyectar acciones futuras.
Sugerencias:
• Conversar en círculo: ¿Qué me gustó? ¿Qué aprendí? ¿Qué puedo aplicar?
• Usar símbolos (colores, dibujos, palabras clave) para expresar lo que nos dejó el taller.
• Invitar a que cada persona se lleve un pequeño compromiso o mensaje.
Aspectos clave
• Conexión con el territorio: El taller debe tener sentido para quienes participan y estar ligado a su realidad.
• Educación ambiental transformadora: No es solo informar, sino motivar a cuidar, actuar y transformar.
• Diálogo de saberes: Reconocer y valorar los conocimientos locales, populares y ancestrales.
• Participación genuina: Todos y todas deben sentirse parte y tener voz en el proceso.
• Diversidad e inclusión: Considerar la participación de mujeres, jóvenes, campesinos, comunidades étnicas, etc.
• Metodologías activas: Aprender haciendo, sintiendo, observando y reflexionando.
• Evaluación continua: Observar, escuchar y ajustar durante todo el proceso.
Recomendaciones prácticas
• Siempre que sea posible, realizar los talleres en espacios naturales o comunitarios.
• Usar materiales sencillos, reutilizables y accesibles.
• Planear con antelación, pero estar abierto a improvisar según el ritmo del grupo.
• Hablar con lenguaje cercano, claro y respetuoso.
• Tener presente que lo importante no es la cantidad de información, sino la calidad del encuentro.
Cada taller será una oportunidad para sembrar conciencia, fortalecer lazos y construir juntos una cultura ambiental viva y esperanzadora, en armonía con nuestros territorios y con la vida.</t>
  </si>
  <si>
    <r>
      <rPr>
        <b/>
        <sz val="9"/>
        <color theme="1"/>
        <rFont val="Arial"/>
        <family val="2"/>
      </rPr>
      <t>Unidad de medida</t>
    </r>
    <r>
      <rPr>
        <sz val="9"/>
        <color theme="1"/>
        <rFont val="Arial"/>
        <family val="2"/>
      </rPr>
      <t>: Unidad (Und)</t>
    </r>
  </si>
  <si>
    <t xml:space="preserve">Unidad </t>
  </si>
  <si>
    <r>
      <rPr>
        <b/>
        <sz val="9"/>
        <color theme="1"/>
        <rFont val="Arial"/>
        <family val="2"/>
      </rPr>
      <t>Unidad de medida</t>
    </r>
    <r>
      <rPr>
        <sz val="9"/>
        <color theme="1"/>
        <rFont val="Arial"/>
        <family val="2"/>
      </rPr>
      <t>: Unidad (Und)</t>
    </r>
  </si>
  <si>
    <t>Jornal</t>
  </si>
  <si>
    <t>Ahoyado</t>
  </si>
  <si>
    <t>Equipo Gestión de la Biodiversidad</t>
  </si>
  <si>
    <t>GESTION DE LA BIODIVERSIDAD</t>
  </si>
  <si>
    <t>Herramienta menor ( porcentaje sobre el valor de la mano de obra)</t>
  </si>
  <si>
    <t>Grapas</t>
  </si>
  <si>
    <t>Clavos 3''</t>
  </si>
  <si>
    <t>libra</t>
  </si>
  <si>
    <t>ADMINISTRACION Y UTILIDAD (porcentaje del costo directo)</t>
  </si>
  <si>
    <t xml:space="preserve">ESQUEMA </t>
  </si>
  <si>
    <t xml:space="preserve">RENDIMIENTO </t>
  </si>
  <si>
    <t>GESTION DEL RIESGO</t>
  </si>
  <si>
    <t>Equipo ordenamiento ambiental del territorio y Gestión del riesgo</t>
  </si>
  <si>
    <t>MARIA GARDENIA RIVERA</t>
  </si>
  <si>
    <t>Jefe Oficina de Ordenamiento Ambiental del Territorio y Gestión del Riesgo</t>
  </si>
  <si>
    <t>Ayudante raso</t>
  </si>
  <si>
    <t>Imagen de referencia:</t>
  </si>
  <si>
    <t>Suministro de Mesa Picnic Hexagonal</t>
  </si>
  <si>
    <t>La mesa exagonal se fabrica utilizando largueros de madera plástica con dimensiones de 9 cm x 3 cm y 8 cm x 4 cm, complementados con tablas de 2,2 cm x 12 cm para formar una estructura robusta y estéticamente agradable. Con un diámetro de 87 cm y una altura de 75 cm, este mueble está diseñado para brindar un espacio de reunión versátil y funcional, acompañado de un área destinada a sillas con dimensiones de 112 cm x 36 cm, que complementa el conjunto en entornos recreativos o de convivencia.</t>
  </si>
  <si>
    <t xml:space="preserve">imagen de referencia </t>
  </si>
  <si>
    <r>
      <rPr>
        <b/>
        <sz val="9"/>
        <color theme="1"/>
        <rFont val="Arial"/>
        <family val="2"/>
      </rPr>
      <t>Unidad de medida</t>
    </r>
    <r>
      <rPr>
        <sz val="9"/>
        <color theme="1"/>
        <rFont val="Arial"/>
        <family val="2"/>
      </rPr>
      <t>: Unidad (Und)</t>
    </r>
  </si>
  <si>
    <t>Ordenamiento ambiental del territorio y Gestión del riesgo</t>
  </si>
  <si>
    <t>ÍTEM</t>
  </si>
  <si>
    <t>Señalética construida en madera plástica en material reciclado 100% de 120 de ancho por 250cm de alto con techo con teja de polipropileno. Publicitario de 90cm de ancho por 120cm de alto.  El suministro e instalación de señalética en madera plástica tiene como objetivo proporcionar información clara y permanente sobre las obras a realizar en el marco de los proyectos ambientales de CORNARE. Estas señales permitirán a la comunidad conocer el alcance de las intervenciones, fomentando la apropiación del territorio y la sensibilización sobre la importancia de la conservación del medio ambiente. La señalética estará diseñada con materiales duraderos, resistentes a la intemperie y de fácil lectura, garantizando su funcionalidad a largo plazo.</t>
  </si>
  <si>
    <r>
      <rPr>
        <b/>
        <sz val="9"/>
        <color theme="1"/>
        <rFont val="Arial"/>
        <family val="2"/>
      </rPr>
      <t>Unidad de medida</t>
    </r>
    <r>
      <rPr>
        <sz val="9"/>
        <color theme="1"/>
        <rFont val="Arial"/>
        <family val="2"/>
      </rPr>
      <t>: Unidad (Und)</t>
    </r>
  </si>
  <si>
    <t xml:space="preserve">Transporte de materiales </t>
  </si>
  <si>
    <t>Herramienta menor</t>
  </si>
  <si>
    <r>
      <rPr>
        <b/>
        <sz val="9"/>
        <color theme="1"/>
        <rFont val="Arial"/>
        <family val="2"/>
      </rPr>
      <t>Descripcion y alcance:</t>
    </r>
    <r>
      <rPr>
        <sz val="9"/>
        <color theme="1"/>
        <rFont val="Arial"/>
        <family val="2"/>
      </rPr>
      <t xml:space="preserve"> El suministro, transporte e instalación de un kiosko de 16 m² en madera plástica implica la provisión, traslado e instalación de una estructura de recreo o sombra, construida con materiales resistentes y de bajo mantenimiento. El kiosko tiene una base de 16 metros cuadrados, y su construcción en este material  le da una alta durabilidad frente a las inclemencias del tiempo. La cubierta está fabricada con tejas o láminas de polipropileno, un material liviano y resistente. La estructura del kiosko incluye perfiles de madera plástica de diferentes tamaños (9 cm x 3 cm y 8 cm x 8 cm) para garantizar su estabilidad, mientras que el encierro está compuesto por un perfil de 2.5 cm. El piso está formado por tablas de 2.2 cm x 12 cm, que proporcionan una superficie sólida y resistente para el uso del kiosko.</t>
    </r>
  </si>
  <si>
    <r>
      <rPr>
        <b/>
        <sz val="9"/>
        <color theme="1"/>
        <rFont val="Arial"/>
        <family val="2"/>
      </rPr>
      <t>Ejecucion:</t>
    </r>
    <r>
      <rPr>
        <sz val="9"/>
        <color theme="1"/>
        <rFont val="Arial"/>
        <family val="2"/>
      </rPr>
      <t xml:space="preserve"> El proceso inicia con el suministro del kiosko y sus componentes, asegurándose de que todos los materiales sean de calidad y cumplan con las especificaciones del proyecto. Una vez entregados al sitio de trabajo, se transportan cuidadosamente hasta el área de instalación. En el terreno preparado, se realiza una base sólida, nivelada y limpia, si es necesario, para asegurar una correcta instalación del kiosko. Se comienza montando la estructura del kiosko utilizando los perfiles de madera plástica (9 cm x 3 cm y 8 cm x 8 cm), fijándolos con los anclajes adecuados para garantizar la estabilidad. Luego, se coloca el encierro en perfil de 2.5 cm, asegurando que todo quede bien ajustado y seguro. Posteriormente, se instala la cubierta de polipropileno, asegurándose de que sea impermeable y esté bien fijada a la estructura. Finalmente, se colocan las tablas de piso de 2.2 cm x 12 cm, que se fijan firmemente al marco del kiosko. Una vez completada la instalación, se realiza una inspección para verificar que la estructura sea segura, estable y funcional, lista para su uso.</t>
    </r>
  </si>
  <si>
    <r>
      <rPr>
        <b/>
        <sz val="9"/>
        <color theme="1"/>
        <rFont val="Arial"/>
        <family val="2"/>
      </rPr>
      <t>Unidad de medida</t>
    </r>
    <r>
      <rPr>
        <sz val="9"/>
        <color theme="1"/>
        <rFont val="Arial"/>
        <family val="2"/>
      </rPr>
      <t>: Unidad (Und)</t>
    </r>
  </si>
  <si>
    <t>Alambre de púas cal 14,5 (Rollo x 200 ml)</t>
  </si>
  <si>
    <t>Obrero (Trazado)</t>
  </si>
  <si>
    <t>Obrero (Ahoyado)</t>
  </si>
  <si>
    <t>Obrero (Transporte interno de postes)</t>
  </si>
  <si>
    <t>Obrero (Hincado - pisoneo)</t>
  </si>
  <si>
    <t>Obrero (Templado y grapado)</t>
  </si>
  <si>
    <t xml:space="preserve">El aislamiento se realizará mediante el establecimiento de un cerco con postes inmunizados punta de diamante con dimensiones (220 cm largo y 7,5 cm de diámetro), distribuidos en forma lineal cada 3m y pie amigos inmunizados cada 15m. Además, el cerco deberá tener tres (3) hilos de alambre de púas calibre 14,5 templado con ayuda de las grapas, y con una distancia entre hilos de 35cm. </t>
  </si>
  <si>
    <t>LONGITUD</t>
  </si>
  <si>
    <t>VALOR METRO LINEAL</t>
  </si>
  <si>
    <t>Trazado</t>
  </si>
  <si>
    <t>Transporte interno de postes</t>
  </si>
  <si>
    <t>Hincado - pisoneo</t>
  </si>
  <si>
    <t>Templado y grapado</t>
  </si>
  <si>
    <t>TOTAL COSTOS DIRECTOS MAS INDIRECTOS ESTABLECIMIENTO 400 METROS LINEALES DE CERCO (1 HA)</t>
  </si>
  <si>
    <t>LA BASE DEL CÁLCULO DEL VALOR DEL METRO LINEAL SE HIZO CON BASE A 400 METROS LINEALES, MOSTRADO A CONTINUACIÓN.</t>
  </si>
  <si>
    <t>Kiosco 16m2</t>
  </si>
  <si>
    <t>Banca con espaldar y descansa brazos</t>
  </si>
  <si>
    <t>ACTUALIZADO A 2026 PROYECT PLAS</t>
  </si>
  <si>
    <t>ACT 2026 HOMECENTER</t>
  </si>
  <si>
    <t>Cemento bulto de 50 kg de cemento gris de uso general</t>
  </si>
  <si>
    <t>ANÁLISIS DEL FACTOR PRESTACIONAL 2026</t>
  </si>
  <si>
    <r>
      <rPr>
        <b/>
        <sz val="9"/>
        <color theme="1"/>
        <rFont val="Arial"/>
        <family val="2"/>
      </rPr>
      <t>Unidad de medida</t>
    </r>
    <r>
      <rPr>
        <sz val="9"/>
        <color theme="1"/>
        <rFont val="Arial"/>
        <family val="2"/>
      </rPr>
      <t>: Metro lineal (m)</t>
    </r>
  </si>
  <si>
    <t>2.9</t>
  </si>
  <si>
    <t>Micorrizas (80gr/planta)</t>
  </si>
  <si>
    <t>Item</t>
  </si>
  <si>
    <t>Auxilio transporte</t>
  </si>
  <si>
    <t>Aporte sin auxilio de transporte</t>
  </si>
  <si>
    <t>Aporte con auxilio de transporte</t>
  </si>
  <si>
    <t>Valor Final</t>
  </si>
  <si>
    <t>Valor diario</t>
  </si>
  <si>
    <t>Salario minimo</t>
  </si>
  <si>
    <t>Pensión (16%)</t>
  </si>
  <si>
    <t>No se tiene en cuenta para aportes a SS</t>
  </si>
  <si>
    <t>Salud (12,5%)</t>
  </si>
  <si>
    <t>ArL</t>
  </si>
  <si>
    <t>Valor total Aportes a Seguridad Social (SS)</t>
  </si>
  <si>
    <t>Prima de Servicios</t>
  </si>
  <si>
    <t>Se incluye auxilio de transporte</t>
  </si>
  <si>
    <t>Auxilio Cesantias</t>
  </si>
  <si>
    <t>Interese Sobre Cesantias</t>
  </si>
  <si>
    <t xml:space="preserve">Vacaciones </t>
  </si>
  <si>
    <t>Valor total aportes SS y Prestaciones Sociales (PS)</t>
  </si>
  <si>
    <t>Valor sin SENA e ICBF</t>
  </si>
  <si>
    <t>Caja de Compensación</t>
  </si>
  <si>
    <t>ICBF</t>
  </si>
  <si>
    <t>Sena</t>
  </si>
  <si>
    <t>Valor total aportes SS, PS y Parafiscales</t>
  </si>
  <si>
    <t>Valor Jornal a Pagar SS y PS</t>
  </si>
  <si>
    <t>Sin Parafiscales</t>
  </si>
  <si>
    <t>Incentivo (50%)</t>
  </si>
  <si>
    <t>Restauración de fuentes hídricas (160 m2)</t>
  </si>
  <si>
    <t xml:space="preserve">área </t>
  </si>
  <si>
    <t>Análisis costo del valor de jornal para ac</t>
  </si>
  <si>
    <t xml:space="preserve">ADMINISTRACIÓN Y UTILIDAD </t>
  </si>
  <si>
    <t>ALAMBRE DE PÚAS Cal 14,5</t>
  </si>
  <si>
    <t>AU</t>
  </si>
  <si>
    <t>ADMINISTRACIÓN Y UTILIDAD (AU)</t>
  </si>
  <si>
    <t>VALOR TOTAL DE ACTIVIDADES CON AU</t>
  </si>
  <si>
    <t>VALOR TOTAL DE ACTIVIDADES SIN AU</t>
  </si>
  <si>
    <t>VALOR TOTAL PROYECTO</t>
  </si>
  <si>
    <r>
      <rPr>
        <b/>
        <sz val="12"/>
        <color theme="1"/>
        <rFont val="Aptos Narrow"/>
        <family val="2"/>
        <scheme val="minor"/>
      </rPr>
      <t xml:space="preserve">En la celda de </t>
    </r>
    <r>
      <rPr>
        <b/>
        <sz val="12"/>
        <color rgb="FFFFFF00"/>
        <rFont val="Aptos Narrow"/>
        <family val="2"/>
        <scheme val="minor"/>
      </rPr>
      <t>color amarillo</t>
    </r>
    <r>
      <rPr>
        <b/>
        <sz val="12"/>
        <color theme="1"/>
        <rFont val="Aptos Narrow"/>
        <family val="2"/>
        <scheme val="minor"/>
      </rPr>
      <t xml:space="preserve">, ingrese el porcentaje correspondiente a Administración y Utilidad </t>
    </r>
  </si>
  <si>
    <t>Indique a continuación el desglose del porcentaje de Administración y Utilidad.</t>
  </si>
  <si>
    <t xml:space="preserve">COMPONENTE DE GESTIÓN DE LA BIODIVERSIDAD </t>
  </si>
  <si>
    <t>VALOR TOTAL CON AU</t>
  </si>
  <si>
    <t xml:space="preserve">COSTO DIRECTO </t>
  </si>
  <si>
    <t>COSTO DIRECTO * CANTIDAD</t>
  </si>
  <si>
    <t>COSTO DIRECTO + AU</t>
  </si>
  <si>
    <t>COSTO DIRECTO DE ACTIVIDADES A LAS CUALES SE LES APLICA AU</t>
  </si>
  <si>
    <t>Revegetalización con pasto.</t>
  </si>
  <si>
    <t>Suministro, transporte e instalación de señalética en madera plástica. Opción 1</t>
  </si>
  <si>
    <t>Suministro, transporte e instalación de señalética en madera plástica. Opción 2</t>
  </si>
  <si>
    <t>La restauración pasiva busca recuperar áreas degradadas, disminuyendo el impacto del ganado o de actividades productivas, que causan problemas como la apertura de caminos, la expansión, la compactación del suelo, y la pérdida de semillas y plántulas. Este enfoque permite que el ecosistema se regenere por sí solo, eliminando las barreras que impiden la regeneración natural mediante el uso de cerramientos con postes y alambre, promoviendo la restauración de los ciclos ecológicos y la sucesión natural de la vegetación. La restauración debe tener un margen de retiro de la fuente hídrica de al menos 10 metros.</t>
  </si>
  <si>
    <t xml:space="preserve">Semilla Pasto </t>
  </si>
  <si>
    <t xml:space="preserve">COMPONENTE ECONOMÍA CIRCULAR. ESCUELAS Y CASETAS COMUNALES </t>
  </si>
  <si>
    <t>Mantenimiento manual de fuentes hídricas incluye extracción, separación en la fuente, empacado, transporte interno (trasiego) y disposición del material extraído. Ancho promedio del cauce entre 0.00 y 5.00 metros.</t>
  </si>
  <si>
    <t>Arena de pega (Lata)</t>
  </si>
  <si>
    <t>6.1</t>
  </si>
  <si>
    <t>6.2</t>
  </si>
  <si>
    <t>6.3</t>
  </si>
  <si>
    <t>6.4</t>
  </si>
  <si>
    <t>6.5</t>
  </si>
  <si>
    <t>6.6</t>
  </si>
  <si>
    <t>6.7</t>
  </si>
  <si>
    <t>6.8</t>
  </si>
  <si>
    <t>6.9</t>
  </si>
  <si>
    <t>6.10</t>
  </si>
  <si>
    <t>6.11</t>
  </si>
  <si>
    <t>6.12</t>
  </si>
  <si>
    <t>6.13</t>
  </si>
  <si>
    <t>COMPONENTE PARA LA GESTIÓN DEL RIESGO.</t>
  </si>
  <si>
    <t>COMPONENTE PARA MANTENIMIENTO AMBIENTAL</t>
  </si>
  <si>
    <t>Estacón madera inmunizada (2,20 cm de largo con 3 pulgadas de diametro)</t>
  </si>
  <si>
    <t>Alambre galvanizado calibre 12</t>
  </si>
  <si>
    <t>Triturado 1" sin transporte</t>
  </si>
  <si>
    <t>El evento de clausura del proyecto tiene como objetivo celebrar los logros alcanzados durante su implementación, reconocer el esfuerzo y la participación activa de la comunidad, y proporcionar un espacio para compartir los resultados obtenidos a través de la ejecución de cada una de las actividades realizadas. En este evento, se convocará a la comunidad beneficiada para mostrar los avances alcanzados y reflexionar juntos sobre el impacto del proyecto en el entorno local. El evento de clausura debe involucrar a todos los miembros de la comunidad que hayan sido parte del proyecto, incluidos residentes locales, organizaciones comunitarias, escuelas, líderes locales, supervisor, representante del municipio, director regional Cornare o delegados.
Evaluar el proceso y el impacto del proyecto por medio de la construcción de un documento que permite sistematizar los resultados alcanzados, identificar lecciones aprendidas, y facilitar la transferencia de conocimientos y buenas prácticas. Además, permite ofrecer a la comunidad y a los actores involucrados una visión clara de los logros, desafíos y el impacto real del proyecto en el territorio, lo que favorece la continuidad de las acciones y el fortalecimiento de la educación ambiental en la zona.</t>
  </si>
  <si>
    <t>3.3</t>
  </si>
  <si>
    <t>Suministro, transporte e instalación de pasamano para sendero ecológico.</t>
  </si>
  <si>
    <t>Para la ejecución del evento de cierre, es fundamental presentar los resultados y logros del proyecto mediante un resumen visual que incluya fotos y videos de las actividades realizadas a lo largo del proyecto, destacando los cambios observados en el entorno intervenido y cómo estos han contribuido a la mejora ambiental local. Además, se deberá incluir la exhibición de productos o un recorrido para mostrar los resultados tangibles, como huertas, parques o estufas. Según las necesidades de la comunidad, se propone un cierre para el proyecto: 
Cierre metodológico: Este espacio se enfocará en la evaluación del proyecto mediante la estrategia del “tendedero evaluativo”. Durante la actividad, a cada participante se le entregará el formato Anexo 5: Evaluación de Impacto PRISER, en el cual deberá responder las preguntas clave que allí se encuentran, relacionadas con los avances del proyecto, así como con su impacto en la comunidad y el entorno.
Posteriormente, las respuestas se dispondrán en un tablero común, permitiendo la visualización colectiva de opiniones y reflexiones. El ejercicio será guiado con el fin de asegurar que se aborden todas las áreas relevantes.
Los resultados obtenidos se consolidarán en el Anexo 7: Resultado de evaluación y caracterización final. De esta manera, se busca promover la participación activa de todos los asistentes, fomentando la retroalimentación y propiciando una reflexión colectiva sobre los logros alcanzados y las lecciones aprendidas a lo largo del proyecto.
Entregables: 
Anexo 6. Evaluación de impacto PRISER, lista de asistencia, fotos del evento.
Anexo 7. Resultado, evaluación y caracterización final.</t>
  </si>
  <si>
    <t>Suministro, transporte e instalación de cuneta trapezoidal en concreto de 28 Mpa de 0,2 m, ancho superior 0,3 m y espesor 0.08 m</t>
  </si>
  <si>
    <t xml:space="preserve">Aporte económico de Cornare </t>
  </si>
  <si>
    <t xml:space="preserve">Aporte en especie de Cornare </t>
  </si>
  <si>
    <t xml:space="preserve">TOTAL COSTOS DIRECTOS </t>
  </si>
  <si>
    <t xml:space="preserve">HOJA PARA DESAGREGAR EL APORTE DEL MUNICIPIO </t>
  </si>
  <si>
    <t xml:space="preserve">APORTE EN ESPECIE DEL MUNICIPIO </t>
  </si>
  <si>
    <t xml:space="preserve">Aporte económico del Municipio </t>
  </si>
  <si>
    <t xml:space="preserve">Aporte en especie del Municipio </t>
  </si>
  <si>
    <t>Taller socialización</t>
  </si>
  <si>
    <t>Aporte especie municipio de Abejorral</t>
  </si>
  <si>
    <t>Retención tasa pro-deporte</t>
  </si>
  <si>
    <t>Retención estampilla para justicia familiar</t>
  </si>
  <si>
    <t>Utilidad</t>
  </si>
  <si>
    <t>Aporte económico Municipio de Abejorral</t>
  </si>
  <si>
    <t>Cofinanciación cerramiento para restauración pasiva con estacones de madera inmunizada y alambre de púas</t>
  </si>
  <si>
    <t>Cofinanciacón señalética en madera plástica. Opción 1</t>
  </si>
  <si>
    <t>Cofinanciación suministro, transporte e instalación mesa hexagonal</t>
  </si>
  <si>
    <t xml:space="preserve">         2.5%</t>
  </si>
  <si>
    <t>Valor total aportes Municipio de Abejorral</t>
  </si>
  <si>
    <t>Representado en asistencia técnica y papelería</t>
  </si>
  <si>
    <t>Alcaldia de Abejorral</t>
  </si>
  <si>
    <t>ASISTENCIA TÉCNICA</t>
  </si>
  <si>
    <t>ASISTENCIA TÉCNICA INCLUYE TRANSPORTE Y PAPELERÍA</t>
  </si>
  <si>
    <t>Mes</t>
  </si>
  <si>
    <t>Tecnóloga en gestión de recursos naturales</t>
  </si>
  <si>
    <t>Subtotal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</si>
</sst>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5">
    <numFmt numFmtId="6" formatCode="&quot;$&quot;\ #,##0;[Red]\-&quot;$&quot;\ #,##0"/>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d\.m"/>
    <numFmt numFmtId="166" formatCode="_-[$$-240A]\ * #,##0_-;\-[$$-240A]\ * #,##0_-;_-[$$-240A]\ * &quot;-&quot;??_-;_-@"/>
    <numFmt numFmtId="167" formatCode="_-&quot;$&quot;\ * #,##0_-;\-&quot;$&quot;\ * #,##0_-;_-&quot;$&quot;\ * &quot;-&quot;??_-;_-@"/>
    <numFmt numFmtId="168" formatCode="_-&quot;$&quot;* #,##0_-;\-&quot;$&quot;* #,##0_-;_-&quot;$&quot;* &quot;-&quot;_-;_-@"/>
    <numFmt numFmtId="169" formatCode="&quot;$&quot;\ #,##0"/>
    <numFmt numFmtId="170" formatCode="_ &quot;$&quot;\ * #,##0_ ;_ &quot;$&quot;\ * \-#,##0_ ;_ &quot;$&quot;\ * &quot;-&quot;??_ ;_ @_ "/>
    <numFmt numFmtId="171" formatCode="0.0%"/>
    <numFmt numFmtId="172" formatCode="0.0"/>
    <numFmt numFmtId="173" formatCode="0.000"/>
    <numFmt numFmtId="174" formatCode="[$ $]#,##0"/>
    <numFmt numFmtId="175" formatCode="#,##0.0"/>
    <numFmt numFmtId="176" formatCode="_-&quot;$&quot;\ * #,##0.00_-;\-&quot;$&quot;\ * #,##0.00_-;_-&quot;$&quot;\ * &quot;-&quot;??_-;_-@"/>
    <numFmt numFmtId="177" formatCode="#,##0.000"/>
    <numFmt numFmtId="178" formatCode="_-&quot;$&quot;\ * #,##0.0_-;\-&quot;$&quot;\ * #,##0.0_-;_-&quot;$&quot;\ * &quot;-&quot;??_-;_-@"/>
    <numFmt numFmtId="179" formatCode="_-[$$-240A]\ * #,##0.0_-;\-[$$-240A]\ * #,##0.0_-;_-[$$-240A]\ * &quot;-&quot;??_-;_-@"/>
    <numFmt numFmtId="180" formatCode="_-* #,##0_-;\-* #,##0_-;_-* &quot;-&quot;??_-;_-@_-"/>
    <numFmt numFmtId="181" formatCode="_-* #,##0.0000_-;\-* #,##0.0000_-;_-* &quot;-&quot;_-;_-@_-"/>
    <numFmt numFmtId="182" formatCode="_-&quot;$&quot;* #,##0.0_-;\-&quot;$&quot;* #,##0.0_-;_-&quot;$&quot;* &quot;-&quot;?_-;_-@_-"/>
    <numFmt numFmtId="183" formatCode="_-&quot;$&quot;* #,##0.0_-;\-&quot;$&quot;* #,##0.0_-;_-&quot;$&quot;* &quot;-&quot;_-;_-@_-"/>
    <numFmt numFmtId="184" formatCode="_-&quot;$&quot;\ * #,##0_-;\-&quot;$&quot;\ * #,##0_-;_-&quot;$&quot;\ * &quot;-&quot;??_-;_-@_-"/>
  </numFmts>
  <fonts count="52">
    <font>
      <sz val="11"/>
      <color theme="1"/>
      <name val="Aptos Narrow"/>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b/>
      <sz val="11"/>
      <color theme="1"/>
      <name val="Arial"/>
      <family val="2"/>
    </font>
    <font>
      <sz val="11"/>
      <name val="Aptos Narrow"/>
      <family val="2"/>
    </font>
    <font>
      <sz val="9"/>
      <color theme="1"/>
      <name val="Arial"/>
      <family val="2"/>
    </font>
    <font>
      <b/>
      <sz val="10"/>
      <color theme="1"/>
      <name val="Arial"/>
      <family val="2"/>
    </font>
    <font>
      <b/>
      <sz val="9"/>
      <color rgb="FF000000"/>
      <name val="Arial"/>
      <family val="2"/>
    </font>
    <font>
      <sz val="9"/>
      <color rgb="FF000000"/>
      <name val="Arial"/>
      <family val="2"/>
    </font>
    <font>
      <b/>
      <sz val="9"/>
      <color theme="1"/>
      <name val="Arial"/>
      <family val="2"/>
    </font>
    <font>
      <sz val="11"/>
      <color theme="1"/>
      <name val="Arial"/>
      <family val="2"/>
    </font>
    <font>
      <sz val="9"/>
      <color theme="1"/>
      <name val="Aptos Narrow"/>
      <family val="2"/>
    </font>
    <font>
      <b/>
      <sz val="9"/>
      <color theme="1"/>
      <name val="Aptos Narrow"/>
      <family val="2"/>
    </font>
    <font>
      <sz val="9"/>
      <color theme="1"/>
      <name val="Calibri"/>
      <family val="2"/>
    </font>
    <font>
      <sz val="9"/>
      <color rgb="FF000000"/>
      <name val="Calibri"/>
      <family val="2"/>
    </font>
    <font>
      <sz val="9"/>
      <color rgb="FF000000"/>
      <name val="Aptos Narrow"/>
      <family val="2"/>
    </font>
    <font>
      <sz val="9"/>
      <color rgb="FF132D4D"/>
      <name val="Calibri"/>
      <family val="2"/>
    </font>
    <font>
      <sz val="9"/>
      <color rgb="FFFF0000"/>
      <name val="Arial"/>
      <family val="2"/>
    </font>
    <font>
      <b/>
      <sz val="9"/>
      <color rgb="FFFF0000"/>
      <name val="Arial"/>
      <family val="2"/>
    </font>
    <font>
      <sz val="11"/>
      <color theme="1"/>
      <name val="Aptos Narrow"/>
      <family val="2"/>
    </font>
    <font>
      <sz val="11"/>
      <color theme="1"/>
      <name val="Aptos Narrow"/>
      <family val="2"/>
      <scheme val="minor"/>
    </font>
    <font>
      <sz val="12"/>
      <color theme="1"/>
      <name val="Aptos Narrow"/>
      <family val="2"/>
      <scheme val="minor"/>
    </font>
    <font>
      <b/>
      <u/>
      <sz val="10"/>
      <color theme="1"/>
      <name val="Arial"/>
      <family val="2"/>
    </font>
    <font>
      <b/>
      <sz val="11"/>
      <color theme="1"/>
      <name val="Aptos Narrow"/>
      <family val="2"/>
      <scheme val="minor"/>
    </font>
    <font>
      <sz val="8"/>
      <name val="Aptos Narrow"/>
      <family val="2"/>
      <scheme val="minor"/>
    </font>
    <font>
      <sz val="10"/>
      <color rgb="FF333333"/>
      <name val="Arial"/>
      <family val="2"/>
    </font>
    <font>
      <b/>
      <sz val="9"/>
      <name val="Arial"/>
      <family val="2"/>
    </font>
    <font>
      <b/>
      <i/>
      <u/>
      <sz val="12"/>
      <color theme="1"/>
      <name val="Aptos Narrow"/>
      <family val="2"/>
      <scheme val="minor"/>
    </font>
    <font>
      <b/>
      <sz val="16"/>
      <color theme="1"/>
      <name val="Aptos Narrow"/>
      <family val="2"/>
      <scheme val="minor"/>
    </font>
    <font>
      <b/>
      <sz val="12"/>
      <color theme="1"/>
      <name val="Aptos Narrow"/>
      <family val="2"/>
      <scheme val="minor"/>
    </font>
    <font>
      <b/>
      <sz val="12"/>
      <color rgb="FFFFFF00"/>
      <name val="Aptos Narrow"/>
      <family val="2"/>
      <scheme val="minor"/>
    </font>
    <font>
      <sz val="16"/>
      <color theme="1"/>
      <name val="Aptos Narrow"/>
      <family val="2"/>
      <scheme val="minor"/>
    </font>
    <font>
      <b/>
      <i/>
      <sz val="12"/>
      <color theme="1"/>
      <name val="Arial"/>
      <family val="2"/>
    </font>
    <font>
      <sz val="14"/>
      <color theme="1"/>
      <name val="Aptos Narrow"/>
      <family val="2"/>
      <scheme val="minor"/>
    </font>
    <font>
      <b/>
      <sz val="10"/>
      <name val="Arial"/>
      <family val="2"/>
    </font>
    <font>
      <b/>
      <sz val="10"/>
      <color rgb="FF000000"/>
      <name val="Arial"/>
      <family val="2"/>
    </font>
    <font>
      <sz val="10"/>
      <name val="Aptos Narrow"/>
      <family val="2"/>
    </font>
    <font>
      <b/>
      <i/>
      <sz val="11"/>
      <color theme="1"/>
      <name val="Arial"/>
      <family val="2"/>
    </font>
    <font>
      <sz val="9"/>
      <name val="Arial"/>
      <family val="2"/>
    </font>
    <font>
      <sz val="11"/>
      <color theme="1"/>
      <name val="Aptos Narrow"/>
      <family val="2"/>
      <scheme val="minor"/>
    </font>
    <font>
      <sz val="11"/>
      <color theme="1"/>
      <name val="Aptos Narrow"/>
      <family val="2"/>
      <scheme val="minor"/>
    </font>
    <font>
      <b/>
      <i/>
      <u/>
      <sz val="14"/>
      <color theme="1"/>
      <name val="Aptos Narrow"/>
      <family val="2"/>
      <scheme val="minor"/>
    </font>
    <font>
      <sz val="11"/>
      <color theme="1"/>
      <name val="Aptos Narrow"/>
      <scheme val="minor"/>
    </font>
    <font>
      <sz val="9"/>
      <name val="Aptos Narrow"/>
      <family val="2"/>
    </font>
  </fonts>
  <fills count="30">
    <fill>
      <patternFill patternType="none"/>
    </fill>
    <fill>
      <patternFill patternType="gray125"/>
    </fill>
    <fill>
      <patternFill patternType="solid">
        <fgColor rgb="FFD9D9D9"/>
        <bgColor rgb="FFD9D9D9"/>
      </patternFill>
    </fill>
    <fill>
      <patternFill patternType="solid">
        <fgColor theme="9"/>
        <bgColor theme="9"/>
      </patternFill>
    </fill>
    <fill>
      <patternFill patternType="solid">
        <fgColor theme="0"/>
        <bgColor theme="0"/>
      </patternFill>
    </fill>
    <fill>
      <patternFill patternType="solid">
        <fgColor rgb="FFD9F2D0"/>
        <bgColor rgb="FFD9F2D0"/>
      </patternFill>
    </fill>
    <fill>
      <patternFill patternType="solid">
        <fgColor rgb="FFFFFFFF"/>
        <bgColor rgb="FFFFFFFF"/>
      </patternFill>
    </fill>
    <fill>
      <patternFill patternType="solid">
        <fgColor rgb="FFD8D8D8"/>
        <bgColor rgb="FFD8D8D8"/>
      </patternFill>
    </fill>
    <fill>
      <patternFill patternType="solid">
        <fgColor rgb="FFFFFF00"/>
        <bgColor rgb="FFFFFF00"/>
      </patternFill>
    </fill>
    <fill>
      <patternFill patternType="solid">
        <fgColor rgb="FF8ED873"/>
        <bgColor rgb="FF8ED873"/>
      </patternFill>
    </fill>
    <fill>
      <patternFill patternType="solid">
        <fgColor rgb="FFC0C0C0"/>
        <bgColor rgb="FFC0C0C0"/>
      </patternFill>
    </fill>
    <fill>
      <patternFill patternType="solid">
        <fgColor theme="9" tint="0.79998168889431442"/>
        <bgColor indexed="64"/>
      </patternFill>
    </fill>
    <fill>
      <patternFill patternType="solid">
        <fgColor rgb="FFFFFF00"/>
        <bgColor rgb="FFFFFFFF"/>
      </patternFill>
    </fill>
    <fill>
      <patternFill patternType="solid">
        <fgColor rgb="FFFFFF00"/>
        <bgColor indexed="64"/>
      </patternFill>
    </fill>
    <fill>
      <patternFill patternType="solid">
        <fgColor rgb="FFFF0000"/>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9"/>
        <bgColor indexed="64"/>
      </patternFill>
    </fill>
    <fill>
      <patternFill patternType="solid">
        <fgColor theme="9" tint="0.39997558519241921"/>
        <bgColor indexed="64"/>
      </patternFill>
    </fill>
    <fill>
      <patternFill patternType="solid">
        <fgColor rgb="FF92D050"/>
        <bgColor indexed="64"/>
      </patternFill>
    </fill>
    <fill>
      <patternFill patternType="solid">
        <fgColor theme="9" tint="0.79998168889431442"/>
        <bgColor theme="0"/>
      </patternFill>
    </fill>
    <fill>
      <patternFill patternType="solid">
        <fgColor theme="8" tint="0.79998168889431442"/>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rgb="FF00B050"/>
        <bgColor indexed="64"/>
      </patternFill>
    </fill>
    <fill>
      <patternFill patternType="solid">
        <fgColor theme="0" tint="-0.14999847407452621"/>
        <bgColor indexed="64"/>
      </patternFill>
    </fill>
    <fill>
      <patternFill patternType="solid">
        <fgColor theme="4" tint="0.79998168889431442"/>
        <bgColor rgb="FFFFFFFF"/>
      </patternFill>
    </fill>
    <fill>
      <patternFill patternType="solid">
        <fgColor theme="4" tint="0.79998168889431442"/>
        <bgColor indexed="64"/>
      </patternFill>
    </fill>
    <fill>
      <patternFill patternType="solid">
        <fgColor theme="0"/>
        <bgColor indexed="64"/>
      </patternFill>
    </fill>
    <fill>
      <patternFill patternType="solid">
        <fgColor theme="6" tint="0.79998168889431442"/>
        <bgColor indexed="64"/>
      </patternFill>
    </fill>
  </fills>
  <borders count="11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top/>
      <bottom/>
      <diagonal/>
    </border>
    <border>
      <left style="thin">
        <color rgb="FF000000"/>
      </left>
      <right style="thin">
        <color rgb="FF000000"/>
      </right>
      <top/>
      <bottom style="thin">
        <color rgb="FF000000"/>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right/>
      <top/>
      <bottom/>
      <diagonal/>
    </border>
    <border>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thin">
        <color rgb="FF000000"/>
      </bottom>
      <diagonal/>
    </border>
    <border>
      <left/>
      <right/>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bottom style="thin">
        <color rgb="FF000000"/>
      </bottom>
      <diagonal/>
    </border>
    <border>
      <left/>
      <right style="thin">
        <color rgb="FF000000"/>
      </right>
      <top/>
      <bottom style="thin">
        <color rgb="FF000000"/>
      </bottom>
      <diagonal/>
    </border>
    <border>
      <left/>
      <right style="medium">
        <color rgb="FF000000"/>
      </right>
      <top style="medium">
        <color rgb="FF000000"/>
      </top>
      <bottom style="medium">
        <color rgb="FF000000"/>
      </bottom>
      <diagonal/>
    </border>
    <border>
      <left style="medium">
        <color rgb="FFCCCCCC"/>
      </left>
      <right style="medium">
        <color rgb="FFCCCCCC"/>
      </right>
      <top/>
      <bottom style="medium">
        <color rgb="FFCCCCCC"/>
      </bottom>
      <diagonal/>
    </border>
    <border>
      <left style="medium">
        <color rgb="FFCCCCCC"/>
      </left>
      <right style="medium">
        <color rgb="FF000000"/>
      </right>
      <top/>
      <bottom style="medium">
        <color rgb="FFCCCCCC"/>
      </bottom>
      <diagonal/>
    </border>
    <border>
      <left style="medium">
        <color rgb="FF000000"/>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
      <left/>
      <right style="medium">
        <color rgb="FFCCCCCC"/>
      </right>
      <top style="medium">
        <color rgb="FFCCCCCC"/>
      </top>
      <bottom style="medium">
        <color rgb="FFCCCCCC"/>
      </bottom>
      <diagonal/>
    </border>
    <border>
      <left/>
      <right style="thin">
        <color rgb="FF000000"/>
      </right>
      <top/>
      <bottom/>
      <diagonal/>
    </border>
    <border>
      <left style="medium">
        <color rgb="FF000000"/>
      </left>
      <right style="medium">
        <color rgb="FFCCCCCC"/>
      </right>
      <top style="medium">
        <color rgb="FFCCCCCC"/>
      </top>
      <bottom/>
      <diagonal/>
    </border>
    <border>
      <left style="medium">
        <color rgb="FFCCCCCC"/>
      </left>
      <right/>
      <top style="medium">
        <color rgb="FFCCCCCC"/>
      </top>
      <bottom/>
      <diagonal/>
    </border>
    <border>
      <left/>
      <right style="medium">
        <color rgb="FFCCCCCC"/>
      </right>
      <top style="medium">
        <color rgb="FFCCCCCC"/>
      </top>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style="thin">
        <color rgb="FF000000"/>
      </left>
      <right/>
      <top/>
      <bottom/>
      <diagonal/>
    </border>
    <border>
      <left/>
      <right/>
      <top/>
      <bottom/>
      <diagonal/>
    </border>
    <border>
      <left/>
      <right/>
      <top/>
      <bottom/>
      <diagonal/>
    </border>
    <border>
      <left/>
      <right style="thin">
        <color rgb="FF000000"/>
      </right>
      <top style="thin">
        <color rgb="FF000000"/>
      </top>
      <bottom/>
      <diagonal/>
    </border>
    <border>
      <left/>
      <right style="thin">
        <color rgb="FF000000"/>
      </right>
      <top/>
      <bottom style="medium">
        <color rgb="FF000000"/>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right/>
      <top style="thin">
        <color rgb="FF000000"/>
      </top>
      <bottom style="thin">
        <color rgb="FF000000"/>
      </bottom>
      <diagonal/>
    </border>
    <border>
      <left/>
      <right style="medium">
        <color rgb="FF000000"/>
      </right>
      <top/>
      <bottom style="medium">
        <color rgb="FF000000"/>
      </bottom>
      <diagonal/>
    </border>
    <border>
      <left style="thin">
        <color rgb="FF000000"/>
      </left>
      <right/>
      <top/>
      <bottom style="thin">
        <color rgb="FF000000"/>
      </bottom>
      <diagonal/>
    </border>
    <border>
      <left/>
      <right style="thin">
        <color rgb="FF000000"/>
      </right>
      <top/>
      <bottom/>
      <diagonal/>
    </border>
    <border>
      <left/>
      <right/>
      <top/>
      <bottom/>
      <diagonal/>
    </border>
    <border>
      <left/>
      <right/>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CCCCCC"/>
      </right>
      <top style="medium">
        <color rgb="FFCCCCCC"/>
      </top>
      <bottom style="medium">
        <color rgb="FF000000"/>
      </bottom>
      <diagonal/>
    </border>
    <border>
      <left style="medium">
        <color rgb="FFCCCCCC"/>
      </left>
      <right/>
      <top style="medium">
        <color rgb="FFCCCCCC"/>
      </top>
      <bottom style="medium">
        <color rgb="FF000000"/>
      </bottom>
      <diagonal/>
    </border>
    <border>
      <left/>
      <right style="medium">
        <color rgb="FFCCCCCC"/>
      </right>
      <top style="medium">
        <color rgb="FFCCCCCC"/>
      </top>
      <bottom style="medium">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rgb="FF000000"/>
      </right>
      <top style="medium">
        <color rgb="FF000000"/>
      </top>
      <bottom style="medium">
        <color rgb="FF000000"/>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6">
    <xf numFmtId="0" fontId="0" fillId="0" borderId="0"/>
    <xf numFmtId="9" fontId="28" fillId="0" borderId="0" applyFont="0" applyFill="0" applyBorder="0" applyAlignment="0" applyProtection="0"/>
    <xf numFmtId="164" fontId="28" fillId="0" borderId="0" applyFont="0" applyFill="0" applyBorder="0" applyAlignment="0" applyProtection="0"/>
    <xf numFmtId="0" fontId="10" fillId="0" borderId="66"/>
    <xf numFmtId="164" fontId="10" fillId="0" borderId="66" applyFont="0" applyFill="0" applyBorder="0" applyAlignment="0" applyProtection="0"/>
    <xf numFmtId="0" fontId="10" fillId="0" borderId="66"/>
    <xf numFmtId="0" fontId="9" fillId="0" borderId="66"/>
    <xf numFmtId="41" fontId="9" fillId="0" borderId="66" applyFont="0" applyFill="0" applyBorder="0" applyAlignment="0" applyProtection="0"/>
    <xf numFmtId="164" fontId="9" fillId="0" borderId="66" applyFont="0" applyFill="0" applyBorder="0" applyAlignment="0" applyProtection="0"/>
    <xf numFmtId="0" fontId="7" fillId="0" borderId="66"/>
    <xf numFmtId="0" fontId="6" fillId="0" borderId="66"/>
    <xf numFmtId="9" fontId="6" fillId="0" borderId="66" applyFont="0" applyFill="0" applyBorder="0" applyAlignment="0" applyProtection="0"/>
    <xf numFmtId="0" fontId="5" fillId="0" borderId="66"/>
    <xf numFmtId="0" fontId="47" fillId="0" borderId="66"/>
    <xf numFmtId="0" fontId="48" fillId="0" borderId="66"/>
    <xf numFmtId="44" fontId="50" fillId="0" borderId="0" applyFont="0" applyFill="0" applyBorder="0" applyAlignment="0" applyProtection="0"/>
  </cellStyleXfs>
  <cellXfs count="539">
    <xf numFmtId="0" fontId="0" fillId="0" borderId="0" xfId="0"/>
    <xf numFmtId="0" fontId="13" fillId="0" borderId="0" xfId="0" applyFont="1"/>
    <xf numFmtId="165" fontId="15" fillId="0" borderId="1" xfId="0" applyNumberFormat="1" applyFont="1" applyBorder="1" applyAlignment="1">
      <alignment horizontal="center" vertical="center" wrapText="1" readingOrder="1"/>
    </xf>
    <xf numFmtId="0" fontId="15" fillId="3" borderId="6" xfId="0" applyFont="1" applyFill="1" applyBorder="1" applyAlignment="1">
      <alignment horizontal="center" vertical="top" wrapText="1" readingOrder="1"/>
    </xf>
    <xf numFmtId="165" fontId="15" fillId="0" borderId="1" xfId="0" applyNumberFormat="1" applyFont="1" applyBorder="1" applyAlignment="1">
      <alignment horizontal="center" vertical="top" wrapText="1" readingOrder="1"/>
    </xf>
    <xf numFmtId="0" fontId="13" fillId="0" borderId="5" xfId="0" applyFont="1" applyBorder="1" applyAlignment="1">
      <alignment horizontal="left" vertical="top" wrapText="1"/>
    </xf>
    <xf numFmtId="0" fontId="13" fillId="0" borderId="5" xfId="0" applyFont="1" applyBorder="1"/>
    <xf numFmtId="0" fontId="17" fillId="0" borderId="7" xfId="0" applyFont="1" applyBorder="1" applyAlignment="1">
      <alignment horizontal="center" vertical="center"/>
    </xf>
    <xf numFmtId="0" fontId="17" fillId="0" borderId="8" xfId="0" applyFont="1" applyBorder="1" applyAlignment="1">
      <alignment horizontal="center" vertical="center"/>
    </xf>
    <xf numFmtId="0" fontId="16" fillId="0" borderId="5" xfId="0" applyFont="1" applyBorder="1" applyAlignment="1">
      <alignment horizontal="left" vertical="center" wrapText="1"/>
    </xf>
    <xf numFmtId="0" fontId="16" fillId="0" borderId="5" xfId="0" applyFont="1" applyBorder="1" applyAlignment="1">
      <alignment horizontal="center" vertical="center" wrapText="1"/>
    </xf>
    <xf numFmtId="0" fontId="13" fillId="0" borderId="5" xfId="0" applyFont="1" applyBorder="1" applyAlignment="1">
      <alignment horizontal="center"/>
    </xf>
    <xf numFmtId="0" fontId="13" fillId="0" borderId="5" xfId="0" applyFont="1" applyBorder="1" applyAlignment="1">
      <alignment horizontal="center" wrapText="1"/>
    </xf>
    <xf numFmtId="49" fontId="11" fillId="7" borderId="18" xfId="0" applyNumberFormat="1" applyFont="1" applyFill="1" applyBorder="1" applyAlignment="1">
      <alignment horizontal="center" vertical="center"/>
    </xf>
    <xf numFmtId="0" fontId="18" fillId="6" borderId="22" xfId="0" applyFont="1" applyFill="1" applyBorder="1" applyAlignment="1">
      <alignment horizontal="left"/>
    </xf>
    <xf numFmtId="170" fontId="18" fillId="6" borderId="23" xfId="0" applyNumberFormat="1" applyFont="1" applyFill="1" applyBorder="1"/>
    <xf numFmtId="2" fontId="11" fillId="6" borderId="24" xfId="0" applyNumberFormat="1" applyFont="1" applyFill="1" applyBorder="1" applyAlignment="1">
      <alignment horizontal="center"/>
    </xf>
    <xf numFmtId="0" fontId="11" fillId="6" borderId="25" xfId="0" applyFont="1" applyFill="1" applyBorder="1" applyAlignment="1">
      <alignment horizontal="center" vertical="center"/>
    </xf>
    <xf numFmtId="0" fontId="18" fillId="6" borderId="26" xfId="0" applyFont="1" applyFill="1" applyBorder="1"/>
    <xf numFmtId="0" fontId="18" fillId="6" borderId="27" xfId="0" applyFont="1" applyFill="1" applyBorder="1"/>
    <xf numFmtId="170" fontId="18" fillId="6" borderId="28" xfId="0" applyNumberFormat="1" applyFont="1" applyFill="1" applyBorder="1" applyAlignment="1">
      <alignment horizontal="center"/>
    </xf>
    <xf numFmtId="0" fontId="18" fillId="6" borderId="29" xfId="0" applyFont="1" applyFill="1" applyBorder="1" applyAlignment="1">
      <alignment horizontal="center"/>
    </xf>
    <xf numFmtId="170" fontId="18" fillId="6" borderId="29" xfId="0" applyNumberFormat="1" applyFont="1" applyFill="1" applyBorder="1" applyAlignment="1">
      <alignment horizontal="center"/>
    </xf>
    <xf numFmtId="0" fontId="18" fillId="6" borderId="30" xfId="0" applyFont="1" applyFill="1" applyBorder="1"/>
    <xf numFmtId="0" fontId="18" fillId="6" borderId="18" xfId="0" applyFont="1" applyFill="1" applyBorder="1" applyAlignment="1">
      <alignment horizontal="center"/>
    </xf>
    <xf numFmtId="170" fontId="18" fillId="6" borderId="30" xfId="0" applyNumberFormat="1" applyFont="1" applyFill="1" applyBorder="1" applyAlignment="1">
      <alignment horizontal="center"/>
    </xf>
    <xf numFmtId="170" fontId="18" fillId="6" borderId="31" xfId="0" applyNumberFormat="1" applyFont="1" applyFill="1" applyBorder="1" applyAlignment="1">
      <alignment horizontal="center"/>
    </xf>
    <xf numFmtId="0" fontId="11" fillId="7" borderId="32" xfId="0" applyFont="1" applyFill="1" applyBorder="1" applyAlignment="1">
      <alignment horizontal="center"/>
    </xf>
    <xf numFmtId="0" fontId="11" fillId="7" borderId="33" xfId="0" applyFont="1" applyFill="1" applyBorder="1" applyAlignment="1">
      <alignment horizontal="center"/>
    </xf>
    <xf numFmtId="170" fontId="11" fillId="7" borderId="34" xfId="0" applyNumberFormat="1" applyFont="1" applyFill="1" applyBorder="1" applyAlignment="1">
      <alignment horizontal="center"/>
    </xf>
    <xf numFmtId="170" fontId="11" fillId="7" borderId="32" xfId="0" applyNumberFormat="1" applyFont="1" applyFill="1" applyBorder="1" applyAlignment="1">
      <alignment horizontal="center"/>
    </xf>
    <xf numFmtId="170" fontId="11" fillId="7" borderId="35" xfId="0" applyNumberFormat="1" applyFont="1" applyFill="1" applyBorder="1" applyAlignment="1">
      <alignment horizontal="center"/>
    </xf>
    <xf numFmtId="0" fontId="11" fillId="6" borderId="30" xfId="0" applyFont="1" applyFill="1" applyBorder="1"/>
    <xf numFmtId="10" fontId="18" fillId="6" borderId="29" xfId="0" applyNumberFormat="1" applyFont="1" applyFill="1" applyBorder="1"/>
    <xf numFmtId="10" fontId="18" fillId="6" borderId="31" xfId="0" applyNumberFormat="1" applyFont="1" applyFill="1" applyBorder="1"/>
    <xf numFmtId="0" fontId="18" fillId="6" borderId="28" xfId="0" applyFont="1" applyFill="1" applyBorder="1" applyAlignment="1">
      <alignment horizontal="left"/>
    </xf>
    <xf numFmtId="0" fontId="18" fillId="6" borderId="5" xfId="0" applyFont="1" applyFill="1" applyBorder="1" applyAlignment="1">
      <alignment horizontal="center"/>
    </xf>
    <xf numFmtId="10" fontId="18" fillId="6" borderId="6" xfId="0" applyNumberFormat="1" applyFont="1" applyFill="1" applyBorder="1" applyAlignment="1">
      <alignment horizontal="center"/>
    </xf>
    <xf numFmtId="170" fontId="18" fillId="6" borderId="5" xfId="0" applyNumberFormat="1" applyFont="1" applyFill="1" applyBorder="1" applyAlignment="1">
      <alignment horizontal="center"/>
    </xf>
    <xf numFmtId="0" fontId="18" fillId="6" borderId="6" xfId="0" applyFont="1" applyFill="1" applyBorder="1" applyAlignment="1">
      <alignment horizontal="center"/>
    </xf>
    <xf numFmtId="171" fontId="18" fillId="6" borderId="6" xfId="0" applyNumberFormat="1" applyFont="1" applyFill="1" applyBorder="1" applyAlignment="1">
      <alignment horizontal="center"/>
    </xf>
    <xf numFmtId="170" fontId="11" fillId="6" borderId="28" xfId="0" applyNumberFormat="1" applyFont="1" applyFill="1" applyBorder="1" applyAlignment="1">
      <alignment horizontal="center"/>
    </xf>
    <xf numFmtId="9" fontId="11" fillId="6" borderId="29" xfId="0" applyNumberFormat="1" applyFont="1" applyFill="1" applyBorder="1"/>
    <xf numFmtId="170" fontId="11" fillId="6" borderId="5" xfId="0" applyNumberFormat="1" applyFont="1" applyFill="1" applyBorder="1" applyAlignment="1">
      <alignment horizontal="center"/>
    </xf>
    <xf numFmtId="170" fontId="11" fillId="8" borderId="5" xfId="0" applyNumberFormat="1" applyFont="1" applyFill="1" applyBorder="1" applyAlignment="1">
      <alignment horizontal="center"/>
    </xf>
    <xf numFmtId="1" fontId="16" fillId="0" borderId="5" xfId="0" applyNumberFormat="1" applyFont="1" applyBorder="1" applyAlignment="1">
      <alignment horizontal="center" vertical="top" shrinkToFit="1"/>
    </xf>
    <xf numFmtId="0" fontId="13" fillId="0" borderId="5" xfId="0" applyFont="1" applyBorder="1" applyAlignment="1">
      <alignment horizontal="center" vertical="top" wrapText="1"/>
    </xf>
    <xf numFmtId="3" fontId="16" fillId="0" borderId="5" xfId="0" applyNumberFormat="1" applyFont="1" applyBorder="1" applyAlignment="1">
      <alignment horizontal="center" vertical="top" shrinkToFit="1"/>
    </xf>
    <xf numFmtId="0" fontId="13" fillId="0" borderId="5" xfId="0" applyFont="1" applyBorder="1" applyAlignment="1">
      <alignment horizontal="left" wrapText="1"/>
    </xf>
    <xf numFmtId="0" fontId="17" fillId="0" borderId="5" xfId="0" applyFont="1" applyBorder="1" applyAlignment="1">
      <alignment horizontal="left" vertical="top" wrapText="1"/>
    </xf>
    <xf numFmtId="0" fontId="17" fillId="9" borderId="5" xfId="0" applyFont="1" applyFill="1" applyBorder="1" applyAlignment="1">
      <alignment horizontal="left" vertical="top" wrapText="1"/>
    </xf>
    <xf numFmtId="0" fontId="13" fillId="0" borderId="1" xfId="0" applyFont="1" applyBorder="1" applyAlignment="1">
      <alignment horizontal="left" vertical="top" wrapText="1"/>
    </xf>
    <xf numFmtId="0" fontId="17" fillId="0" borderId="5" xfId="0" applyFont="1" applyBorder="1" applyAlignment="1">
      <alignment horizontal="center" vertical="center" wrapText="1"/>
    </xf>
    <xf numFmtId="1" fontId="15" fillId="0" borderId="5" xfId="0" applyNumberFormat="1" applyFont="1" applyBorder="1" applyAlignment="1">
      <alignment horizontal="center" vertical="center" shrinkToFit="1"/>
    </xf>
    <xf numFmtId="0" fontId="17" fillId="9" borderId="5" xfId="0" applyFont="1" applyFill="1" applyBorder="1" applyAlignment="1">
      <alignment horizontal="center" vertical="top" wrapText="1"/>
    </xf>
    <xf numFmtId="9" fontId="16" fillId="0" borderId="5" xfId="0" applyNumberFormat="1" applyFont="1" applyBorder="1" applyAlignment="1">
      <alignment horizontal="center" vertical="center" shrinkToFit="1"/>
    </xf>
    <xf numFmtId="4" fontId="16" fillId="0" borderId="5" xfId="0" applyNumberFormat="1" applyFont="1" applyBorder="1" applyAlignment="1">
      <alignment horizontal="center" vertical="center" shrinkToFit="1"/>
    </xf>
    <xf numFmtId="0" fontId="17" fillId="9" borderId="9" xfId="0" applyFont="1" applyFill="1" applyBorder="1" applyAlignment="1">
      <alignment horizontal="left" vertical="top" wrapText="1"/>
    </xf>
    <xf numFmtId="1" fontId="16" fillId="0" borderId="5" xfId="0" quotePrefix="1" applyNumberFormat="1" applyFont="1" applyBorder="1" applyAlignment="1">
      <alignment horizontal="center" vertical="center" wrapText="1"/>
    </xf>
    <xf numFmtId="172" fontId="16" fillId="0" borderId="5" xfId="0" applyNumberFormat="1" applyFont="1" applyBorder="1" applyAlignment="1">
      <alignment horizontal="center" vertical="center" wrapText="1"/>
    </xf>
    <xf numFmtId="169" fontId="16" fillId="0" borderId="1" xfId="0" applyNumberFormat="1" applyFont="1" applyBorder="1" applyAlignment="1">
      <alignment horizontal="right" vertical="center" wrapText="1"/>
    </xf>
    <xf numFmtId="169" fontId="16" fillId="0" borderId="5" xfId="0" applyNumberFormat="1" applyFont="1" applyBorder="1" applyAlignment="1">
      <alignment horizontal="right" vertical="center" wrapText="1"/>
    </xf>
    <xf numFmtId="1" fontId="16" fillId="0" borderId="5" xfId="0" applyNumberFormat="1" applyFont="1" applyBorder="1" applyAlignment="1">
      <alignment horizontal="center" vertical="center" wrapText="1"/>
    </xf>
    <xf numFmtId="169" fontId="16" fillId="0" borderId="1" xfId="0" applyNumberFormat="1" applyFont="1" applyBorder="1"/>
    <xf numFmtId="169" fontId="16" fillId="0" borderId="5" xfId="0" applyNumberFormat="1" applyFont="1" applyBorder="1" applyAlignment="1">
      <alignment horizontal="right" wrapText="1"/>
    </xf>
    <xf numFmtId="173" fontId="16" fillId="0" borderId="5" xfId="0" applyNumberFormat="1" applyFont="1" applyBorder="1" applyAlignment="1">
      <alignment horizontal="center" vertical="top" shrinkToFit="1"/>
    </xf>
    <xf numFmtId="3" fontId="16" fillId="0" borderId="5" xfId="0" applyNumberFormat="1" applyFont="1" applyBorder="1" applyAlignment="1">
      <alignment horizontal="left" vertical="top" shrinkToFit="1"/>
    </xf>
    <xf numFmtId="3" fontId="16" fillId="0" borderId="5" xfId="0" applyNumberFormat="1" applyFont="1" applyBorder="1" applyAlignment="1">
      <alignment horizontal="left" vertical="center" shrinkToFit="1"/>
    </xf>
    <xf numFmtId="3" fontId="15" fillId="0" borderId="5" xfId="0" applyNumberFormat="1" applyFont="1" applyBorder="1" applyAlignment="1">
      <alignment horizontal="right" vertical="top" shrinkToFit="1"/>
    </xf>
    <xf numFmtId="3" fontId="16" fillId="0" borderId="5" xfId="0" applyNumberFormat="1" applyFont="1" applyBorder="1" applyAlignment="1">
      <alignment horizontal="center" vertical="center" shrinkToFit="1"/>
    </xf>
    <xf numFmtId="0" fontId="13" fillId="0" borderId="5" xfId="0" applyFont="1" applyBorder="1" applyAlignment="1">
      <alignment horizontal="left" vertical="center" wrapText="1"/>
    </xf>
    <xf numFmtId="2" fontId="13" fillId="0" borderId="5" xfId="0" applyNumberFormat="1" applyFont="1" applyBorder="1" applyAlignment="1">
      <alignment horizontal="center" vertical="center" wrapText="1"/>
    </xf>
    <xf numFmtId="2" fontId="16" fillId="0" borderId="5" xfId="0" applyNumberFormat="1" applyFont="1" applyBorder="1" applyAlignment="1">
      <alignment horizontal="center" vertical="center" shrinkToFit="1"/>
    </xf>
    <xf numFmtId="3" fontId="15" fillId="8" borderId="5" xfId="0" applyNumberFormat="1" applyFont="1" applyFill="1" applyBorder="1" applyAlignment="1">
      <alignment horizontal="right" vertical="top" shrinkToFit="1"/>
    </xf>
    <xf numFmtId="0" fontId="15" fillId="0" borderId="42" xfId="0" applyFont="1" applyBorder="1" applyAlignment="1">
      <alignment vertical="top" wrapText="1"/>
    </xf>
    <xf numFmtId="0" fontId="19" fillId="0" borderId="42" xfId="0" applyFont="1" applyBorder="1" applyAlignment="1">
      <alignment vertical="center" wrapText="1"/>
    </xf>
    <xf numFmtId="0" fontId="19" fillId="0" borderId="43" xfId="0" applyFont="1" applyBorder="1" applyAlignment="1">
      <alignment vertical="center" wrapText="1"/>
    </xf>
    <xf numFmtId="0" fontId="16" fillId="4" borderId="44" xfId="0" applyFont="1" applyFill="1" applyBorder="1" applyAlignment="1">
      <alignment vertical="center" wrapText="1"/>
    </xf>
    <xf numFmtId="0" fontId="16" fillId="0" borderId="48" xfId="0" applyFont="1" applyBorder="1" applyAlignment="1">
      <alignment vertical="center" wrapText="1"/>
    </xf>
    <xf numFmtId="173" fontId="16" fillId="0" borderId="5" xfId="0" applyNumberFormat="1" applyFont="1" applyBorder="1" applyAlignment="1">
      <alignment horizontal="left" vertical="top" shrinkToFit="1"/>
    </xf>
    <xf numFmtId="168" fontId="15" fillId="0" borderId="5" xfId="0" applyNumberFormat="1" applyFont="1" applyBorder="1" applyAlignment="1">
      <alignment horizontal="right" vertical="top" shrinkToFit="1"/>
    </xf>
    <xf numFmtId="168" fontId="15" fillId="8" borderId="5" xfId="0" applyNumberFormat="1" applyFont="1" applyFill="1" applyBorder="1" applyAlignment="1">
      <alignment horizontal="right" vertical="top" shrinkToFit="1"/>
    </xf>
    <xf numFmtId="0" fontId="17" fillId="9" borderId="5" xfId="0" applyFont="1" applyFill="1" applyBorder="1" applyAlignment="1">
      <alignment horizontal="right" vertical="top" wrapText="1"/>
    </xf>
    <xf numFmtId="0" fontId="19" fillId="0" borderId="0" xfId="0" applyFont="1"/>
    <xf numFmtId="0" fontId="13" fillId="4" borderId="5" xfId="0" applyFont="1" applyFill="1" applyBorder="1" applyAlignment="1">
      <alignment horizontal="left" vertical="top" wrapText="1"/>
    </xf>
    <xf numFmtId="0" fontId="13" fillId="0" borderId="5" xfId="0" applyFont="1" applyBorder="1" applyAlignment="1">
      <alignment horizontal="center" vertical="center" wrapText="1"/>
    </xf>
    <xf numFmtId="172" fontId="16" fillId="0" borderId="5" xfId="0" applyNumberFormat="1" applyFont="1" applyBorder="1" applyAlignment="1">
      <alignment horizontal="center" vertical="center" shrinkToFit="1"/>
    </xf>
    <xf numFmtId="172" fontId="16" fillId="0" borderId="5" xfId="0" applyNumberFormat="1" applyFont="1" applyBorder="1" applyAlignment="1">
      <alignment horizontal="center" vertical="top" shrinkToFit="1"/>
    </xf>
    <xf numFmtId="0" fontId="13" fillId="0" borderId="37" xfId="0" applyFont="1" applyBorder="1" applyAlignment="1">
      <alignment horizontal="left" vertical="top" wrapText="1"/>
    </xf>
    <xf numFmtId="172" fontId="13" fillId="0" borderId="5" xfId="0" applyNumberFormat="1" applyFont="1" applyBorder="1" applyAlignment="1">
      <alignment horizontal="center" vertical="top" wrapText="1"/>
    </xf>
    <xf numFmtId="172" fontId="17" fillId="9" borderId="5" xfId="0" applyNumberFormat="1" applyFont="1" applyFill="1" applyBorder="1" applyAlignment="1">
      <alignment horizontal="left" vertical="top" wrapText="1"/>
    </xf>
    <xf numFmtId="0" fontId="13" fillId="4" borderId="5" xfId="0" applyFont="1" applyFill="1" applyBorder="1" applyAlignment="1">
      <alignment horizontal="left" vertical="center" wrapText="1"/>
    </xf>
    <xf numFmtId="3" fontId="15" fillId="0" borderId="0" xfId="0" applyNumberFormat="1" applyFont="1" applyAlignment="1">
      <alignment horizontal="right" vertical="top" shrinkToFit="1"/>
    </xf>
    <xf numFmtId="2" fontId="16" fillId="4" borderId="5" xfId="0" applyNumberFormat="1" applyFont="1" applyFill="1" applyBorder="1" applyAlignment="1">
      <alignment horizontal="center" vertical="center" shrinkToFit="1"/>
    </xf>
    <xf numFmtId="3" fontId="15" fillId="0" borderId="11" xfId="0" applyNumberFormat="1" applyFont="1" applyBorder="1" applyAlignment="1">
      <alignment horizontal="right" vertical="top" shrinkToFit="1"/>
    </xf>
    <xf numFmtId="3" fontId="15" fillId="8" borderId="7" xfId="0" applyNumberFormat="1" applyFont="1" applyFill="1" applyBorder="1" applyAlignment="1">
      <alignment horizontal="right" vertical="top" shrinkToFit="1"/>
    </xf>
    <xf numFmtId="6" fontId="23" fillId="0" borderId="0" xfId="0" applyNumberFormat="1" applyFont="1"/>
    <xf numFmtId="0" fontId="23" fillId="0" borderId="0" xfId="0" applyFont="1"/>
    <xf numFmtId="0" fontId="22" fillId="0" borderId="0" xfId="0" applyFont="1"/>
    <xf numFmtId="0" fontId="13" fillId="0" borderId="0" xfId="0" applyFont="1" applyAlignment="1">
      <alignment horizontal="left" wrapText="1"/>
    </xf>
    <xf numFmtId="0" fontId="16" fillId="0" borderId="69" xfId="0" applyFont="1" applyBorder="1" applyAlignment="1">
      <alignment vertical="center" wrapText="1"/>
    </xf>
    <xf numFmtId="0" fontId="13" fillId="0" borderId="10" xfId="0" applyFont="1" applyBorder="1" applyAlignment="1">
      <alignment horizontal="left" wrapText="1"/>
    </xf>
    <xf numFmtId="0" fontId="13" fillId="0" borderId="52" xfId="0" applyFont="1" applyBorder="1" applyAlignment="1">
      <alignment horizontal="center" vertical="top" wrapText="1"/>
    </xf>
    <xf numFmtId="0" fontId="13" fillId="0" borderId="57" xfId="0" applyFont="1" applyBorder="1" applyAlignment="1">
      <alignment horizontal="center" vertical="top" wrapText="1"/>
    </xf>
    <xf numFmtId="0" fontId="13" fillId="0" borderId="40" xfId="0" applyFont="1" applyBorder="1" applyAlignment="1">
      <alignment horizontal="left" wrapText="1"/>
    </xf>
    <xf numFmtId="0" fontId="17" fillId="9" borderId="6" xfId="0" applyFont="1" applyFill="1" applyBorder="1" applyAlignment="1">
      <alignment horizontal="center" vertical="top" wrapText="1"/>
    </xf>
    <xf numFmtId="173" fontId="16" fillId="0" borderId="5" xfId="0" applyNumberFormat="1" applyFont="1" applyBorder="1" applyAlignment="1">
      <alignment horizontal="center" vertical="center" shrinkToFit="1"/>
    </xf>
    <xf numFmtId="0" fontId="13" fillId="0" borderId="64" xfId="0" applyFont="1" applyBorder="1" applyAlignment="1">
      <alignment horizontal="left" vertical="center" wrapText="1"/>
    </xf>
    <xf numFmtId="2" fontId="13" fillId="0" borderId="39" xfId="0" applyNumberFormat="1" applyFont="1" applyBorder="1" applyAlignment="1">
      <alignment horizontal="center" vertical="center" wrapText="1"/>
    </xf>
    <xf numFmtId="2" fontId="16" fillId="0" borderId="39" xfId="0" applyNumberFormat="1" applyFont="1" applyBorder="1" applyAlignment="1">
      <alignment horizontal="center" vertical="center" shrinkToFit="1"/>
    </xf>
    <xf numFmtId="4" fontId="16" fillId="0" borderId="40" xfId="0" applyNumberFormat="1" applyFont="1" applyBorder="1" applyAlignment="1">
      <alignment horizontal="center" vertical="center" shrinkToFit="1"/>
    </xf>
    <xf numFmtId="4" fontId="16" fillId="0" borderId="11" xfId="0" applyNumberFormat="1" applyFont="1" applyBorder="1" applyAlignment="1">
      <alignment horizontal="center" vertical="center" shrinkToFit="1"/>
    </xf>
    <xf numFmtId="0" fontId="17" fillId="9" borderId="74" xfId="0" applyFont="1" applyFill="1" applyBorder="1" applyAlignment="1">
      <alignment horizontal="center" vertical="top" wrapText="1"/>
    </xf>
    <xf numFmtId="0" fontId="13" fillId="0" borderId="11" xfId="0" applyFont="1" applyBorder="1" applyAlignment="1">
      <alignment horizontal="left" vertical="top" wrapText="1"/>
    </xf>
    <xf numFmtId="0" fontId="21" fillId="0" borderId="5" xfId="0" applyFont="1" applyBorder="1" applyAlignment="1">
      <alignment horizontal="left" vertical="center" wrapText="1"/>
    </xf>
    <xf numFmtId="169" fontId="21" fillId="0" borderId="5" xfId="0" applyNumberFormat="1" applyFont="1" applyBorder="1" applyAlignment="1">
      <alignment horizontal="center" vertical="center"/>
    </xf>
    <xf numFmtId="1" fontId="21" fillId="0" borderId="5" xfId="0" applyNumberFormat="1" applyFont="1" applyBorder="1" applyAlignment="1">
      <alignment horizontal="center" vertical="center"/>
    </xf>
    <xf numFmtId="169" fontId="21" fillId="0" borderId="5" xfId="0" applyNumberFormat="1" applyFont="1" applyBorder="1" applyAlignment="1">
      <alignment horizontal="right" vertical="center"/>
    </xf>
    <xf numFmtId="0" fontId="21" fillId="0" borderId="11" xfId="0" applyFont="1" applyBorder="1" applyAlignment="1">
      <alignment horizontal="left" vertical="center" wrapText="1"/>
    </xf>
    <xf numFmtId="169" fontId="21" fillId="0" borderId="11" xfId="0" applyNumberFormat="1" applyFont="1" applyBorder="1" applyAlignment="1">
      <alignment horizontal="center" vertical="center"/>
    </xf>
    <xf numFmtId="1" fontId="21" fillId="0" borderId="11" xfId="0" applyNumberFormat="1" applyFont="1" applyBorder="1" applyAlignment="1">
      <alignment horizontal="center" vertical="center"/>
    </xf>
    <xf numFmtId="2" fontId="21" fillId="0" borderId="5" xfId="0" applyNumberFormat="1" applyFont="1" applyBorder="1" applyAlignment="1">
      <alignment horizontal="center" vertical="center"/>
    </xf>
    <xf numFmtId="3" fontId="21" fillId="0" borderId="5" xfId="0" applyNumberFormat="1" applyFont="1" applyBorder="1" applyAlignment="1">
      <alignment horizontal="right" vertical="center"/>
    </xf>
    <xf numFmtId="174" fontId="21" fillId="0" borderId="5" xfId="0" applyNumberFormat="1" applyFont="1" applyBorder="1" applyAlignment="1">
      <alignment horizontal="right" vertical="center"/>
    </xf>
    <xf numFmtId="0" fontId="24" fillId="0" borderId="5" xfId="0" applyFont="1" applyBorder="1" applyAlignment="1">
      <alignment horizontal="left" vertical="center" wrapText="1"/>
    </xf>
    <xf numFmtId="169" fontId="24" fillId="0" borderId="5" xfId="0" applyNumberFormat="1" applyFont="1" applyBorder="1" applyAlignment="1">
      <alignment horizontal="right" vertical="center"/>
    </xf>
    <xf numFmtId="3" fontId="24" fillId="0" borderId="5" xfId="0" applyNumberFormat="1" applyFont="1" applyBorder="1" applyAlignment="1">
      <alignment horizontal="right" vertical="center"/>
    </xf>
    <xf numFmtId="174" fontId="24" fillId="0" borderId="5" xfId="0" applyNumberFormat="1" applyFont="1" applyBorder="1" applyAlignment="1">
      <alignment horizontal="right" vertical="center"/>
    </xf>
    <xf numFmtId="2" fontId="17" fillId="0" borderId="5" xfId="0" applyNumberFormat="1" applyFont="1" applyBorder="1" applyAlignment="1">
      <alignment horizontal="center" vertical="center" wrapText="1"/>
    </xf>
    <xf numFmtId="0" fontId="16" fillId="0" borderId="5" xfId="0" applyFont="1" applyBorder="1" applyAlignment="1">
      <alignment vertical="top" wrapText="1"/>
    </xf>
    <xf numFmtId="0" fontId="16" fillId="0" borderId="5" xfId="0" applyFont="1" applyBorder="1" applyAlignment="1">
      <alignment horizontal="center" vertical="top" wrapText="1"/>
    </xf>
    <xf numFmtId="0" fontId="19" fillId="0" borderId="5" xfId="0" applyFont="1" applyBorder="1" applyAlignment="1">
      <alignment wrapText="1"/>
    </xf>
    <xf numFmtId="0" fontId="15" fillId="0" borderId="5" xfId="0" applyFont="1" applyBorder="1" applyAlignment="1">
      <alignment vertical="top" wrapText="1"/>
    </xf>
    <xf numFmtId="0" fontId="15" fillId="9" borderId="5" xfId="0" applyFont="1" applyFill="1" applyBorder="1" applyAlignment="1">
      <alignment horizontal="center" vertical="center" wrapText="1"/>
    </xf>
    <xf numFmtId="0" fontId="15" fillId="0" borderId="5" xfId="0" applyFont="1" applyBorder="1" applyAlignment="1">
      <alignment horizontal="center" vertical="center" wrapText="1"/>
    </xf>
    <xf numFmtId="4" fontId="16" fillId="0" borderId="5" xfId="0" applyNumberFormat="1" applyFont="1" applyBorder="1" applyAlignment="1">
      <alignment horizontal="center" vertical="center" wrapText="1"/>
    </xf>
    <xf numFmtId="4" fontId="15" fillId="0" borderId="5" xfId="0" applyNumberFormat="1" applyFont="1" applyBorder="1" applyAlignment="1">
      <alignment horizontal="right" vertical="center" wrapText="1"/>
    </xf>
    <xf numFmtId="167" fontId="15" fillId="8" borderId="7" xfId="0" applyNumberFormat="1" applyFont="1" applyFill="1" applyBorder="1" applyAlignment="1">
      <alignment horizontal="right" vertical="top" wrapText="1"/>
    </xf>
    <xf numFmtId="176" fontId="15" fillId="8" borderId="5" xfId="0" applyNumberFormat="1" applyFont="1" applyFill="1" applyBorder="1" applyAlignment="1">
      <alignment horizontal="right" vertical="top" wrapText="1"/>
    </xf>
    <xf numFmtId="175" fontId="16" fillId="0" borderId="5" xfId="0" applyNumberFormat="1" applyFont="1" applyBorder="1" applyAlignment="1">
      <alignment horizontal="center" vertical="center" wrapText="1"/>
    </xf>
    <xf numFmtId="177" fontId="16" fillId="0" borderId="5" xfId="0" applyNumberFormat="1" applyFont="1" applyBorder="1" applyAlignment="1">
      <alignment horizontal="center" vertical="center" wrapText="1"/>
    </xf>
    <xf numFmtId="3" fontId="16" fillId="0" borderId="5" xfId="0" applyNumberFormat="1" applyFont="1" applyBorder="1" applyAlignment="1">
      <alignment horizontal="center" vertical="center" wrapText="1"/>
    </xf>
    <xf numFmtId="9" fontId="16" fillId="0" borderId="5" xfId="0" applyNumberFormat="1" applyFont="1" applyBorder="1" applyAlignment="1">
      <alignment horizontal="center" vertical="center" wrapText="1"/>
    </xf>
    <xf numFmtId="175" fontId="15" fillId="8" borderId="7" xfId="0" applyNumberFormat="1" applyFont="1" applyFill="1" applyBorder="1" applyAlignment="1">
      <alignment horizontal="right" vertical="top" shrinkToFit="1"/>
    </xf>
    <xf numFmtId="2" fontId="16" fillId="5" borderId="75" xfId="0" applyNumberFormat="1" applyFont="1" applyFill="1" applyBorder="1" applyAlignment="1" applyProtection="1">
      <alignment horizontal="center" vertical="center" wrapText="1" readingOrder="1"/>
      <protection locked="0"/>
    </xf>
    <xf numFmtId="0" fontId="17" fillId="9" borderId="37" xfId="0" applyFont="1" applyFill="1" applyBorder="1" applyAlignment="1">
      <alignment horizontal="center" vertical="top" wrapText="1"/>
    </xf>
    <xf numFmtId="172" fontId="17" fillId="9" borderId="37" xfId="0" applyNumberFormat="1" applyFont="1" applyFill="1" applyBorder="1" applyAlignment="1">
      <alignment horizontal="left" vertical="top" wrapText="1"/>
    </xf>
    <xf numFmtId="0" fontId="17" fillId="9" borderId="37" xfId="0" applyFont="1" applyFill="1" applyBorder="1" applyAlignment="1">
      <alignment horizontal="left" vertical="top" wrapText="1"/>
    </xf>
    <xf numFmtId="0" fontId="21" fillId="0" borderId="5" xfId="0" applyFont="1" applyBorder="1"/>
    <xf numFmtId="9" fontId="16" fillId="0" borderId="5" xfId="1" applyFont="1" applyBorder="1" applyAlignment="1">
      <alignment horizontal="center" vertical="center" shrinkToFit="1"/>
    </xf>
    <xf numFmtId="3" fontId="15" fillId="0" borderId="5" xfId="0" applyNumberFormat="1" applyFont="1" applyBorder="1" applyAlignment="1">
      <alignment horizontal="left" vertical="center" shrinkToFit="1"/>
    </xf>
    <xf numFmtId="0" fontId="21" fillId="0" borderId="0" xfId="0" applyFont="1"/>
    <xf numFmtId="0" fontId="13" fillId="0" borderId="0" xfId="0" applyFont="1" applyAlignment="1">
      <alignment horizontal="left" vertical="center" wrapText="1"/>
    </xf>
    <xf numFmtId="0" fontId="15" fillId="0" borderId="75" xfId="0" applyFont="1" applyBorder="1" applyAlignment="1">
      <alignment vertical="top" wrapText="1"/>
    </xf>
    <xf numFmtId="0" fontId="19" fillId="0" borderId="75" xfId="0" applyFont="1" applyBorder="1" applyAlignment="1">
      <alignment vertical="center" wrapText="1"/>
    </xf>
    <xf numFmtId="0" fontId="16" fillId="4" borderId="75" xfId="0" applyFont="1" applyFill="1" applyBorder="1" applyAlignment="1">
      <alignment vertical="center" wrapText="1"/>
    </xf>
    <xf numFmtId="0" fontId="16" fillId="0" borderId="75" xfId="0" applyFont="1" applyBorder="1" applyAlignment="1">
      <alignment vertical="center" wrapText="1"/>
    </xf>
    <xf numFmtId="3" fontId="15" fillId="4" borderId="41" xfId="0" applyNumberFormat="1" applyFont="1" applyFill="1" applyBorder="1" applyAlignment="1">
      <alignment horizontal="center" vertical="center" shrinkToFit="1"/>
    </xf>
    <xf numFmtId="3" fontId="15" fillId="8" borderId="76" xfId="0" applyNumberFormat="1" applyFont="1" applyFill="1" applyBorder="1" applyAlignment="1">
      <alignment horizontal="right" vertical="top" shrinkToFit="1"/>
    </xf>
    <xf numFmtId="10" fontId="18" fillId="6" borderId="27" xfId="1" applyNumberFormat="1" applyFont="1" applyFill="1" applyBorder="1"/>
    <xf numFmtId="170" fontId="0" fillId="0" borderId="0" xfId="0" applyNumberFormat="1"/>
    <xf numFmtId="170" fontId="11" fillId="12" borderId="5" xfId="0" applyNumberFormat="1" applyFont="1" applyFill="1" applyBorder="1" applyAlignment="1">
      <alignment horizontal="center"/>
    </xf>
    <xf numFmtId="1" fontId="0" fillId="0" borderId="0" xfId="0" applyNumberFormat="1"/>
    <xf numFmtId="0" fontId="13" fillId="0" borderId="75" xfId="0" applyFont="1" applyBorder="1"/>
    <xf numFmtId="0" fontId="30" fillId="13" borderId="75" xfId="0" applyFont="1" applyFill="1" applyBorder="1" applyAlignment="1">
      <alignment horizontal="center" vertical="center"/>
    </xf>
    <xf numFmtId="0" fontId="30" fillId="14" borderId="75" xfId="0" applyFont="1" applyFill="1" applyBorder="1" applyAlignment="1">
      <alignment vertical="center"/>
    </xf>
    <xf numFmtId="0" fontId="16" fillId="13" borderId="5" xfId="0" applyFont="1" applyFill="1" applyBorder="1" applyAlignment="1">
      <alignment horizontal="left" vertical="center" wrapText="1"/>
    </xf>
    <xf numFmtId="164" fontId="13" fillId="0" borderId="1" xfId="2" applyFont="1" applyBorder="1" applyAlignment="1">
      <alignment horizontal="left" vertical="top" wrapText="1"/>
    </xf>
    <xf numFmtId="164" fontId="13" fillId="0" borderId="75" xfId="2" applyFont="1" applyBorder="1" applyAlignment="1">
      <alignment horizontal="left" vertical="top" wrapText="1"/>
    </xf>
    <xf numFmtId="0" fontId="15" fillId="2" borderId="73" xfId="0" applyFont="1" applyFill="1" applyBorder="1" applyAlignment="1">
      <alignment horizontal="center" vertical="center" wrapText="1" readingOrder="1"/>
    </xf>
    <xf numFmtId="0" fontId="15" fillId="2" borderId="75" xfId="0" applyFont="1" applyFill="1" applyBorder="1" applyAlignment="1">
      <alignment horizontal="center" vertical="center" wrapText="1" readingOrder="1"/>
    </xf>
    <xf numFmtId="0" fontId="16" fillId="13" borderId="5" xfId="0" applyFont="1" applyFill="1" applyBorder="1" applyAlignment="1">
      <alignment horizontal="center" vertical="center" wrapText="1"/>
    </xf>
    <xf numFmtId="164" fontId="0" fillId="0" borderId="75" xfId="2" applyFont="1" applyBorder="1"/>
    <xf numFmtId="0" fontId="11" fillId="6" borderId="67" xfId="0" applyFont="1" applyFill="1" applyBorder="1" applyAlignment="1">
      <alignment vertical="center"/>
    </xf>
    <xf numFmtId="0" fontId="18" fillId="6" borderId="62" xfId="0" applyFont="1" applyFill="1" applyBorder="1"/>
    <xf numFmtId="170" fontId="18" fillId="6" borderId="66" xfId="0" applyNumberFormat="1" applyFont="1" applyFill="1" applyBorder="1" applyAlignment="1">
      <alignment horizontal="center"/>
    </xf>
    <xf numFmtId="2" fontId="11" fillId="6" borderId="72" xfId="0" applyNumberFormat="1" applyFont="1" applyFill="1" applyBorder="1" applyAlignment="1">
      <alignment horizontal="center"/>
    </xf>
    <xf numFmtId="170" fontId="18" fillId="6" borderId="68" xfId="0" applyNumberFormat="1" applyFont="1" applyFill="1" applyBorder="1" applyAlignment="1">
      <alignment horizontal="center"/>
    </xf>
    <xf numFmtId="170" fontId="11" fillId="7" borderId="82" xfId="0" applyNumberFormat="1" applyFont="1" applyFill="1" applyBorder="1" applyAlignment="1">
      <alignment horizontal="center"/>
    </xf>
    <xf numFmtId="170" fontId="11" fillId="6" borderId="68" xfId="0" applyNumberFormat="1" applyFont="1" applyFill="1" applyBorder="1" applyAlignment="1">
      <alignment horizontal="center"/>
    </xf>
    <xf numFmtId="170" fontId="11" fillId="8" borderId="68" xfId="0" applyNumberFormat="1" applyFont="1" applyFill="1" applyBorder="1" applyAlignment="1">
      <alignment horizontal="center"/>
    </xf>
    <xf numFmtId="0" fontId="9" fillId="0" borderId="66" xfId="6"/>
    <xf numFmtId="0" fontId="31" fillId="16" borderId="66" xfId="6" applyFont="1" applyFill="1" applyAlignment="1">
      <alignment vertical="center"/>
    </xf>
    <xf numFmtId="0" fontId="31" fillId="16" borderId="66" xfId="6" applyFont="1" applyFill="1" applyAlignment="1">
      <alignment horizontal="center" vertical="center"/>
    </xf>
    <xf numFmtId="0" fontId="31" fillId="16" borderId="66" xfId="6" applyFont="1" applyFill="1" applyAlignment="1">
      <alignment horizontal="center" vertical="center" wrapText="1"/>
    </xf>
    <xf numFmtId="0" fontId="31" fillId="16" borderId="66" xfId="6" applyFont="1" applyFill="1" applyAlignment="1">
      <alignment vertical="center" wrapText="1"/>
    </xf>
    <xf numFmtId="41" fontId="0" fillId="0" borderId="66" xfId="7" applyFont="1" applyAlignment="1">
      <alignment horizontal="center"/>
    </xf>
    <xf numFmtId="41" fontId="0" fillId="0" borderId="66" xfId="7" applyFont="1"/>
    <xf numFmtId="41" fontId="9" fillId="0" borderId="66" xfId="6" applyNumberFormat="1"/>
    <xf numFmtId="9" fontId="9" fillId="0" borderId="66" xfId="6" applyNumberFormat="1" applyAlignment="1">
      <alignment horizontal="center"/>
    </xf>
    <xf numFmtId="171" fontId="9" fillId="0" borderId="66" xfId="6" applyNumberFormat="1" applyAlignment="1">
      <alignment horizontal="center"/>
    </xf>
    <xf numFmtId="10" fontId="9" fillId="0" borderId="66" xfId="6" applyNumberFormat="1" applyAlignment="1">
      <alignment horizontal="center"/>
    </xf>
    <xf numFmtId="0" fontId="31" fillId="16" borderId="66" xfId="6" applyFont="1" applyFill="1" applyAlignment="1">
      <alignment wrapText="1"/>
    </xf>
    <xf numFmtId="0" fontId="31" fillId="16" borderId="66" xfId="6" applyFont="1" applyFill="1" applyAlignment="1">
      <alignment horizontal="center"/>
    </xf>
    <xf numFmtId="0" fontId="31" fillId="16" borderId="66" xfId="6" applyFont="1" applyFill="1"/>
    <xf numFmtId="41" fontId="31" fillId="16" borderId="66" xfId="6" applyNumberFormat="1" applyFont="1" applyFill="1"/>
    <xf numFmtId="41" fontId="31" fillId="17" borderId="66" xfId="6" applyNumberFormat="1" applyFont="1" applyFill="1"/>
    <xf numFmtId="180" fontId="9" fillId="0" borderId="66" xfId="6" applyNumberFormat="1"/>
    <xf numFmtId="181" fontId="9" fillId="0" borderId="66" xfId="6" applyNumberFormat="1"/>
    <xf numFmtId="43" fontId="31" fillId="16" borderId="66" xfId="6" applyNumberFormat="1" applyFont="1" applyFill="1"/>
    <xf numFmtId="0" fontId="9" fillId="0" borderId="75" xfId="6" applyBorder="1" applyAlignment="1">
      <alignment horizontal="center" wrapText="1"/>
    </xf>
    <xf numFmtId="41" fontId="9" fillId="0" borderId="66" xfId="6" applyNumberFormat="1" applyAlignment="1">
      <alignment wrapText="1"/>
    </xf>
    <xf numFmtId="41" fontId="31" fillId="16" borderId="75" xfId="6" applyNumberFormat="1" applyFont="1" applyFill="1" applyBorder="1"/>
    <xf numFmtId="0" fontId="33" fillId="0" borderId="66" xfId="6" applyFont="1" applyAlignment="1">
      <alignment horizontal="left" vertical="center" wrapText="1"/>
    </xf>
    <xf numFmtId="9" fontId="33" fillId="0" borderId="66" xfId="6" applyNumberFormat="1" applyFont="1" applyAlignment="1">
      <alignment horizontal="center" vertical="center" wrapText="1"/>
    </xf>
    <xf numFmtId="6" fontId="33" fillId="0" borderId="66" xfId="6" applyNumberFormat="1" applyFont="1" applyAlignment="1">
      <alignment horizontal="left" vertical="center" wrapText="1"/>
    </xf>
    <xf numFmtId="43" fontId="9" fillId="0" borderId="66" xfId="6" applyNumberFormat="1"/>
    <xf numFmtId="0" fontId="31" fillId="0" borderId="75" xfId="6" applyFont="1" applyBorder="1" applyAlignment="1">
      <alignment horizontal="center" vertical="center" wrapText="1"/>
    </xf>
    <xf numFmtId="0" fontId="31" fillId="0" borderId="75" xfId="6" applyFont="1" applyBorder="1" applyAlignment="1">
      <alignment horizontal="center" vertical="center"/>
    </xf>
    <xf numFmtId="164" fontId="9" fillId="19" borderId="66" xfId="6" applyNumberFormat="1" applyFill="1"/>
    <xf numFmtId="164" fontId="9" fillId="17" borderId="66" xfId="6" applyNumberFormat="1" applyFill="1"/>
    <xf numFmtId="0" fontId="16" fillId="0" borderId="75" xfId="0" applyFont="1" applyBorder="1" applyAlignment="1">
      <alignment horizontal="left" vertical="top" wrapText="1" readingOrder="1"/>
    </xf>
    <xf numFmtId="0" fontId="16" fillId="0" borderId="75" xfId="0" applyFont="1" applyBorder="1" applyAlignment="1">
      <alignment horizontal="center" vertical="center" wrapText="1" readingOrder="1"/>
    </xf>
    <xf numFmtId="166" fontId="13" fillId="0" borderId="75" xfId="0" applyNumberFormat="1" applyFont="1" applyBorder="1" applyAlignment="1">
      <alignment horizontal="center" vertical="center" wrapText="1" readingOrder="1"/>
    </xf>
    <xf numFmtId="165" fontId="15" fillId="0" borderId="74" xfId="0" applyNumberFormat="1" applyFont="1" applyBorder="1" applyAlignment="1">
      <alignment horizontal="center" vertical="center" wrapText="1" readingOrder="1"/>
    </xf>
    <xf numFmtId="2" fontId="16" fillId="11" borderId="75" xfId="0" applyNumberFormat="1" applyFont="1" applyFill="1" applyBorder="1" applyAlignment="1" applyProtection="1">
      <alignment horizontal="center" vertical="center" wrapText="1" readingOrder="1"/>
      <protection locked="0"/>
    </xf>
    <xf numFmtId="166" fontId="13" fillId="4" borderId="75" xfId="0" applyNumberFormat="1" applyFont="1" applyFill="1" applyBorder="1" applyAlignment="1">
      <alignment horizontal="center" vertical="center" wrapText="1" readingOrder="1"/>
    </xf>
    <xf numFmtId="179" fontId="13" fillId="15" borderId="75" xfId="0" applyNumberFormat="1" applyFont="1" applyFill="1" applyBorder="1"/>
    <xf numFmtId="0" fontId="13" fillId="0" borderId="75" xfId="0" applyFont="1" applyBorder="1" applyAlignment="1">
      <alignment horizontal="center" vertical="center"/>
    </xf>
    <xf numFmtId="167" fontId="13" fillId="0" borderId="75" xfId="0" applyNumberFormat="1" applyFont="1" applyBorder="1" applyAlignment="1">
      <alignment horizontal="center" vertical="center"/>
    </xf>
    <xf numFmtId="165" fontId="15" fillId="0" borderId="6" xfId="0" applyNumberFormat="1" applyFont="1" applyBorder="1" applyAlignment="1">
      <alignment horizontal="center" vertical="top" wrapText="1" readingOrder="1"/>
    </xf>
    <xf numFmtId="166" fontId="16" fillId="0" borderId="75" xfId="0" applyNumberFormat="1" applyFont="1" applyBorder="1" applyAlignment="1">
      <alignment horizontal="center" vertical="center" wrapText="1" readingOrder="1"/>
    </xf>
    <xf numFmtId="179" fontId="16" fillId="15" borderId="75" xfId="0" applyNumberFormat="1" applyFont="1" applyFill="1" applyBorder="1" applyAlignment="1">
      <alignment horizontal="center" vertical="center" wrapText="1" readingOrder="1"/>
    </xf>
    <xf numFmtId="178" fontId="13" fillId="15" borderId="75" xfId="0" applyNumberFormat="1" applyFont="1" applyFill="1" applyBorder="1" applyAlignment="1">
      <alignment horizontal="center" vertical="center"/>
    </xf>
    <xf numFmtId="0" fontId="13" fillId="6" borderId="75" xfId="0" applyFont="1" applyFill="1" applyBorder="1" applyAlignment="1">
      <alignment horizontal="center" vertical="center"/>
    </xf>
    <xf numFmtId="165" fontId="15" fillId="0" borderId="6" xfId="0" applyNumberFormat="1" applyFont="1" applyBorder="1" applyAlignment="1">
      <alignment horizontal="center" vertical="center" wrapText="1" readingOrder="1"/>
    </xf>
    <xf numFmtId="0" fontId="16" fillId="0" borderId="38" xfId="0" applyFont="1" applyBorder="1" applyAlignment="1">
      <alignment horizontal="left" vertical="top" wrapText="1" readingOrder="1"/>
    </xf>
    <xf numFmtId="0" fontId="16" fillId="0" borderId="38" xfId="0" applyFont="1" applyBorder="1" applyAlignment="1">
      <alignment horizontal="center" vertical="center" wrapText="1" readingOrder="1"/>
    </xf>
    <xf numFmtId="2" fontId="16" fillId="11" borderId="38" xfId="0" applyNumberFormat="1" applyFont="1" applyFill="1" applyBorder="1" applyAlignment="1" applyProtection="1">
      <alignment horizontal="center" vertical="center" wrapText="1" readingOrder="1"/>
      <protection locked="0"/>
    </xf>
    <xf numFmtId="166" fontId="13" fillId="6" borderId="75" xfId="0" applyNumberFormat="1" applyFont="1" applyFill="1" applyBorder="1" applyAlignment="1">
      <alignment horizontal="center" vertical="center" wrapText="1" readingOrder="1"/>
    </xf>
    <xf numFmtId="167" fontId="13" fillId="0" borderId="86" xfId="0" applyNumberFormat="1" applyFont="1" applyBorder="1" applyAlignment="1">
      <alignment horizontal="center" vertical="center"/>
    </xf>
    <xf numFmtId="0" fontId="39" fillId="0" borderId="91" xfId="10" applyFont="1" applyBorder="1" applyAlignment="1" applyProtection="1">
      <alignment vertical="center" wrapText="1"/>
      <protection locked="0"/>
    </xf>
    <xf numFmtId="0" fontId="39" fillId="0" borderId="92" xfId="10" applyFont="1" applyBorder="1" applyAlignment="1" applyProtection="1">
      <alignment vertical="center"/>
      <protection locked="0"/>
    </xf>
    <xf numFmtId="0" fontId="39" fillId="0" borderId="93" xfId="10" applyFont="1" applyBorder="1" applyAlignment="1" applyProtection="1">
      <alignment vertical="center"/>
      <protection locked="0"/>
    </xf>
    <xf numFmtId="0" fontId="39" fillId="0" borderId="98" xfId="10" applyFont="1" applyBorder="1" applyAlignment="1" applyProtection="1">
      <alignment vertical="center"/>
      <protection locked="0"/>
    </xf>
    <xf numFmtId="0" fontId="39" fillId="0" borderId="66" xfId="10" applyFont="1" applyAlignment="1" applyProtection="1">
      <alignment vertical="center"/>
      <protection locked="0"/>
    </xf>
    <xf numFmtId="0" fontId="39" fillId="0" borderId="99" xfId="10" applyFont="1" applyBorder="1" applyAlignment="1" applyProtection="1">
      <alignment vertical="center"/>
      <protection locked="0"/>
    </xf>
    <xf numFmtId="0" fontId="39" fillId="0" borderId="95" xfId="10" applyFont="1" applyBorder="1" applyAlignment="1" applyProtection="1">
      <alignment vertical="center"/>
      <protection locked="0"/>
    </xf>
    <xf numFmtId="0" fontId="39" fillId="0" borderId="96" xfId="10" applyFont="1" applyBorder="1" applyAlignment="1" applyProtection="1">
      <alignment vertical="center"/>
      <protection locked="0"/>
    </xf>
    <xf numFmtId="0" fontId="39" fillId="0" borderId="97" xfId="10" applyFont="1" applyBorder="1" applyAlignment="1" applyProtection="1">
      <alignment vertical="center"/>
      <protection locked="0"/>
    </xf>
    <xf numFmtId="0" fontId="13" fillId="23" borderId="0" xfId="0" applyFont="1" applyFill="1"/>
    <xf numFmtId="0" fontId="12" fillId="13" borderId="90" xfId="0" applyFont="1" applyFill="1" applyBorder="1" applyAlignment="1">
      <alignment horizontal="center" vertical="center"/>
    </xf>
    <xf numFmtId="164" fontId="0" fillId="0" borderId="0" xfId="2" applyFont="1"/>
    <xf numFmtId="164" fontId="0" fillId="0" borderId="0" xfId="0" applyNumberFormat="1"/>
    <xf numFmtId="0" fontId="41" fillId="0" borderId="66" xfId="10" applyFont="1" applyAlignment="1" applyProtection="1">
      <alignment vertical="center"/>
      <protection locked="0"/>
    </xf>
    <xf numFmtId="164" fontId="41" fillId="0" borderId="66" xfId="2" applyFont="1" applyBorder="1" applyAlignment="1" applyProtection="1">
      <alignment vertical="center"/>
      <protection locked="0"/>
    </xf>
    <xf numFmtId="166" fontId="13" fillId="4" borderId="85" xfId="0" applyNumberFormat="1" applyFont="1" applyFill="1" applyBorder="1" applyAlignment="1">
      <alignment horizontal="center" vertical="center" wrapText="1" readingOrder="1"/>
    </xf>
    <xf numFmtId="0" fontId="12" fillId="13" borderId="79" xfId="0" applyFont="1" applyFill="1" applyBorder="1" applyAlignment="1">
      <alignment horizontal="center" vertical="center"/>
    </xf>
    <xf numFmtId="179" fontId="13" fillId="26" borderId="75" xfId="0" applyNumberFormat="1" applyFont="1" applyFill="1" applyBorder="1" applyAlignment="1">
      <alignment horizontal="center" vertical="center" wrapText="1" readingOrder="1"/>
    </xf>
    <xf numFmtId="179" fontId="13" fillId="27" borderId="75" xfId="0" applyNumberFormat="1" applyFont="1" applyFill="1" applyBorder="1"/>
    <xf numFmtId="179" fontId="13" fillId="27" borderId="85" xfId="0" applyNumberFormat="1" applyFont="1" applyFill="1" applyBorder="1"/>
    <xf numFmtId="0" fontId="15" fillId="3" borderId="81" xfId="0" applyFont="1" applyFill="1" applyBorder="1" applyAlignment="1">
      <alignment vertical="top" wrapText="1" readingOrder="1"/>
    </xf>
    <xf numFmtId="0" fontId="15" fillId="3" borderId="83" xfId="0" applyFont="1" applyFill="1" applyBorder="1" applyAlignment="1">
      <alignment vertical="top" wrapText="1" readingOrder="1"/>
    </xf>
    <xf numFmtId="0" fontId="15" fillId="3" borderId="84" xfId="0" applyFont="1" applyFill="1" applyBorder="1" applyAlignment="1">
      <alignment vertical="top" wrapText="1" readingOrder="1"/>
    </xf>
    <xf numFmtId="183" fontId="0" fillId="0" borderId="0" xfId="2" applyNumberFormat="1" applyFont="1"/>
    <xf numFmtId="167" fontId="0" fillId="0" borderId="0" xfId="0" applyNumberFormat="1"/>
    <xf numFmtId="182" fontId="0" fillId="0" borderId="0" xfId="0" applyNumberFormat="1"/>
    <xf numFmtId="171" fontId="0" fillId="0" borderId="0" xfId="1" applyNumberFormat="1" applyFont="1"/>
    <xf numFmtId="0" fontId="39" fillId="0" borderId="66" xfId="10" applyFont="1" applyAlignment="1" applyProtection="1">
      <alignment horizontal="center" vertical="center"/>
      <protection locked="0"/>
    </xf>
    <xf numFmtId="10" fontId="41" fillId="0" borderId="66" xfId="1" applyNumberFormat="1" applyFont="1" applyBorder="1" applyAlignment="1" applyProtection="1">
      <alignment horizontal="center" vertical="center"/>
      <protection locked="0"/>
    </xf>
    <xf numFmtId="10" fontId="39" fillId="0" borderId="66" xfId="10" applyNumberFormat="1" applyFont="1" applyAlignment="1" applyProtection="1">
      <alignment horizontal="center" vertical="center"/>
      <protection locked="0"/>
    </xf>
    <xf numFmtId="165" fontId="15" fillId="0" borderId="73" xfId="0" applyNumberFormat="1" applyFont="1" applyBorder="1" applyAlignment="1">
      <alignment horizontal="center" vertical="top" wrapText="1" readingOrder="1"/>
    </xf>
    <xf numFmtId="0" fontId="15" fillId="3" borderId="75" xfId="0" applyFont="1" applyFill="1" applyBorder="1" applyAlignment="1">
      <alignment horizontal="center" vertical="top" wrapText="1" readingOrder="1"/>
    </xf>
    <xf numFmtId="164" fontId="13" fillId="0" borderId="0" xfId="2" applyFont="1"/>
    <xf numFmtId="165" fontId="15" fillId="28" borderId="1" xfId="0" applyNumberFormat="1" applyFont="1" applyFill="1" applyBorder="1" applyAlignment="1">
      <alignment horizontal="center" vertical="top" wrapText="1" readingOrder="1"/>
    </xf>
    <xf numFmtId="0" fontId="16" fillId="28" borderId="75" xfId="0" applyFont="1" applyFill="1" applyBorder="1" applyAlignment="1">
      <alignment horizontal="center" vertical="center" wrapText="1" readingOrder="1"/>
    </xf>
    <xf numFmtId="9" fontId="36" fillId="13" borderId="94" xfId="11" applyFont="1" applyFill="1" applyBorder="1" applyAlignment="1" applyProtection="1">
      <alignment horizontal="center" vertical="center"/>
      <protection locked="0"/>
    </xf>
    <xf numFmtId="179" fontId="34" fillId="13" borderId="76" xfId="0" applyNumberFormat="1" applyFont="1" applyFill="1" applyBorder="1" applyAlignment="1">
      <alignment horizontal="center" vertical="center" wrapText="1" readingOrder="1"/>
    </xf>
    <xf numFmtId="0" fontId="13" fillId="0" borderId="75" xfId="0" applyFont="1" applyBorder="1" applyAlignment="1">
      <alignment wrapText="1"/>
    </xf>
    <xf numFmtId="0" fontId="13" fillId="0" borderId="75" xfId="0" applyFont="1" applyBorder="1" applyAlignment="1">
      <alignment vertical="center" wrapText="1"/>
    </xf>
    <xf numFmtId="0" fontId="13" fillId="0" borderId="86" xfId="0" applyFont="1" applyBorder="1" applyAlignment="1">
      <alignment wrapText="1"/>
    </xf>
    <xf numFmtId="0" fontId="46" fillId="0" borderId="75" xfId="0" applyFont="1" applyBorder="1" applyAlignment="1">
      <alignment horizontal="left" vertical="top" wrapText="1" readingOrder="1"/>
    </xf>
    <xf numFmtId="3" fontId="16" fillId="0" borderId="73" xfId="0" applyNumberFormat="1" applyFont="1" applyBorder="1" applyAlignment="1">
      <alignment horizontal="center" vertical="center" wrapText="1"/>
    </xf>
    <xf numFmtId="4" fontId="16" fillId="0" borderId="9" xfId="0" applyNumberFormat="1" applyFont="1" applyBorder="1" applyAlignment="1">
      <alignment horizontal="center" vertical="center" wrapText="1"/>
    </xf>
    <xf numFmtId="0" fontId="16" fillId="0" borderId="1" xfId="0" applyFont="1" applyBorder="1" applyAlignment="1">
      <alignment horizontal="center" vertical="center" wrapText="1"/>
    </xf>
    <xf numFmtId="3" fontId="16" fillId="0" borderId="4" xfId="0" applyNumberFormat="1" applyFont="1" applyBorder="1" applyAlignment="1">
      <alignment horizontal="center" vertical="center" wrapText="1"/>
    </xf>
    <xf numFmtId="0" fontId="16" fillId="0" borderId="11" xfId="0" applyFont="1" applyBorder="1" applyAlignment="1">
      <alignment horizontal="left" vertical="center" wrapText="1"/>
    </xf>
    <xf numFmtId="3" fontId="16" fillId="13" borderId="5" xfId="0" applyNumberFormat="1" applyFont="1" applyFill="1" applyBorder="1" applyAlignment="1">
      <alignment horizontal="center" vertical="center" wrapText="1"/>
    </xf>
    <xf numFmtId="0" fontId="15" fillId="3" borderId="81" xfId="0" applyFont="1" applyFill="1" applyBorder="1" applyAlignment="1">
      <alignment horizontal="left" vertical="top" wrapText="1" readingOrder="1"/>
    </xf>
    <xf numFmtId="165" fontId="15" fillId="25" borderId="79" xfId="0" applyNumberFormat="1" applyFont="1" applyFill="1" applyBorder="1" applyAlignment="1">
      <alignment horizontal="center" vertical="center" wrapText="1" readingOrder="1"/>
    </xf>
    <xf numFmtId="178" fontId="17" fillId="25" borderId="76" xfId="0" applyNumberFormat="1" applyFont="1" applyFill="1" applyBorder="1" applyAlignment="1">
      <alignment horizontal="center" vertical="center"/>
    </xf>
    <xf numFmtId="165" fontId="15" fillId="22" borderId="79" xfId="0" applyNumberFormat="1" applyFont="1" applyFill="1" applyBorder="1" applyAlignment="1">
      <alignment horizontal="center" vertical="center" wrapText="1" readingOrder="1"/>
    </xf>
    <xf numFmtId="178" fontId="17" fillId="22" borderId="76" xfId="0" applyNumberFormat="1" applyFont="1" applyFill="1" applyBorder="1" applyAlignment="1">
      <alignment horizontal="center" vertical="center"/>
    </xf>
    <xf numFmtId="10" fontId="45" fillId="21" borderId="76" xfId="1" applyNumberFormat="1" applyFont="1" applyFill="1" applyBorder="1" applyAlignment="1" applyProtection="1">
      <alignment horizontal="center" vertical="center"/>
    </xf>
    <xf numFmtId="10" fontId="40" fillId="21" borderId="79" xfId="1" applyNumberFormat="1" applyFont="1" applyFill="1" applyBorder="1" applyAlignment="1" applyProtection="1">
      <alignment horizontal="center" vertical="center"/>
    </xf>
    <xf numFmtId="9" fontId="13" fillId="21" borderId="79" xfId="1" applyFont="1" applyFill="1" applyBorder="1" applyAlignment="1" applyProtection="1">
      <alignment horizontal="center" vertical="center"/>
    </xf>
    <xf numFmtId="178" fontId="26" fillId="21" borderId="76" xfId="0" applyNumberFormat="1" applyFont="1" applyFill="1" applyBorder="1" applyAlignment="1">
      <alignment horizontal="center" vertical="center"/>
    </xf>
    <xf numFmtId="0" fontId="6" fillId="0" borderId="66" xfId="10" applyProtection="1">
      <protection locked="0"/>
    </xf>
    <xf numFmtId="0" fontId="4" fillId="0" borderId="66" xfId="10" applyFont="1" applyProtection="1">
      <protection locked="0"/>
    </xf>
    <xf numFmtId="0" fontId="3" fillId="0" borderId="66" xfId="10" applyFont="1" applyProtection="1">
      <protection locked="0"/>
    </xf>
    <xf numFmtId="0" fontId="2" fillId="0" borderId="66" xfId="10" applyFont="1" applyProtection="1">
      <protection locked="0"/>
    </xf>
    <xf numFmtId="179" fontId="13" fillId="4" borderId="75" xfId="0" applyNumberFormat="1" applyFont="1" applyFill="1" applyBorder="1" applyAlignment="1">
      <alignment horizontal="center" vertical="center" wrapText="1" readingOrder="1"/>
    </xf>
    <xf numFmtId="179" fontId="13" fillId="4" borderId="54" xfId="0" applyNumberFormat="1" applyFont="1" applyFill="1" applyBorder="1" applyAlignment="1">
      <alignment horizontal="center" vertical="center" wrapText="1" readingOrder="1"/>
    </xf>
    <xf numFmtId="179" fontId="13" fillId="6" borderId="75" xfId="0" applyNumberFormat="1" applyFont="1" applyFill="1" applyBorder="1" applyAlignment="1">
      <alignment horizontal="center" vertical="center" wrapText="1" readingOrder="1"/>
    </xf>
    <xf numFmtId="179" fontId="13" fillId="0" borderId="75" xfId="0" applyNumberFormat="1" applyFont="1" applyBorder="1" applyAlignment="1">
      <alignment horizontal="center" vertical="center" wrapText="1" readingOrder="1"/>
    </xf>
    <xf numFmtId="179" fontId="16" fillId="0" borderId="75" xfId="0" applyNumberFormat="1" applyFont="1" applyBorder="1" applyAlignment="1">
      <alignment horizontal="center" vertical="center" wrapText="1" readingOrder="1"/>
    </xf>
    <xf numFmtId="165" fontId="15" fillId="0" borderId="74" xfId="0" applyNumberFormat="1" applyFont="1" applyBorder="1" applyAlignment="1">
      <alignment horizontal="center" vertical="top" wrapText="1" readingOrder="1"/>
    </xf>
    <xf numFmtId="0" fontId="13" fillId="6" borderId="86" xfId="0" applyFont="1" applyFill="1" applyBorder="1" applyAlignment="1">
      <alignment horizontal="center" vertical="center"/>
    </xf>
    <xf numFmtId="2" fontId="16" fillId="5" borderId="86" xfId="0" applyNumberFormat="1" applyFont="1" applyFill="1" applyBorder="1" applyAlignment="1" applyProtection="1">
      <alignment horizontal="center" vertical="center" wrapText="1" readingOrder="1"/>
      <protection locked="0"/>
    </xf>
    <xf numFmtId="166" fontId="13" fillId="0" borderId="86" xfId="0" applyNumberFormat="1" applyFont="1" applyBorder="1" applyAlignment="1">
      <alignment horizontal="center" vertical="center" wrapText="1" readingOrder="1"/>
    </xf>
    <xf numFmtId="178" fontId="13" fillId="15" borderId="86" xfId="0" applyNumberFormat="1" applyFont="1" applyFill="1" applyBorder="1" applyAlignment="1">
      <alignment horizontal="center" vertical="center"/>
    </xf>
    <xf numFmtId="165" fontId="34" fillId="14" borderId="96" xfId="0" applyNumberFormat="1" applyFont="1" applyFill="1" applyBorder="1" applyAlignment="1">
      <alignment horizontal="center" vertical="center" wrapText="1" readingOrder="1"/>
    </xf>
    <xf numFmtId="178" fontId="34" fillId="14" borderId="101" xfId="0" applyNumberFormat="1" applyFont="1" applyFill="1" applyBorder="1" applyAlignment="1">
      <alignment horizontal="center" vertical="center"/>
    </xf>
    <xf numFmtId="165" fontId="15" fillId="0" borderId="75" xfId="0" applyNumberFormat="1" applyFont="1" applyBorder="1" applyAlignment="1">
      <alignment horizontal="center" vertical="top" wrapText="1" readingOrder="1"/>
    </xf>
    <xf numFmtId="0" fontId="15" fillId="0" borderId="66" xfId="0" applyFont="1" applyBorder="1" applyAlignment="1">
      <alignment horizontal="center" vertical="center" wrapText="1" readingOrder="1"/>
    </xf>
    <xf numFmtId="179" fontId="13" fillId="20" borderId="75" xfId="0" applyNumberFormat="1" applyFont="1" applyFill="1" applyBorder="1" applyAlignment="1">
      <alignment horizontal="center" vertical="center" wrapText="1" readingOrder="1"/>
    </xf>
    <xf numFmtId="179" fontId="15" fillId="3" borderId="83" xfId="0" applyNumberFormat="1" applyFont="1" applyFill="1" applyBorder="1" applyAlignment="1">
      <alignment vertical="top" wrapText="1" readingOrder="1"/>
    </xf>
    <xf numFmtId="179" fontId="13" fillId="4" borderId="86" xfId="0" applyNumberFormat="1" applyFont="1" applyFill="1" applyBorder="1" applyAlignment="1">
      <alignment horizontal="center" vertical="center" wrapText="1" readingOrder="1"/>
    </xf>
    <xf numFmtId="179" fontId="13" fillId="0" borderId="75" xfId="0" applyNumberFormat="1" applyFont="1" applyBorder="1" applyAlignment="1">
      <alignment horizontal="center" vertical="center"/>
    </xf>
    <xf numFmtId="179" fontId="13" fillId="6" borderId="75" xfId="0" applyNumberFormat="1" applyFont="1" applyFill="1" applyBorder="1" applyAlignment="1">
      <alignment horizontal="center" vertical="center"/>
    </xf>
    <xf numFmtId="179" fontId="13" fillId="6" borderId="86" xfId="0" applyNumberFormat="1" applyFont="1" applyFill="1" applyBorder="1" applyAlignment="1">
      <alignment horizontal="center" vertical="center"/>
    </xf>
    <xf numFmtId="0" fontId="15" fillId="3" borderId="84" xfId="0" applyFont="1" applyFill="1" applyBorder="1" applyAlignment="1" applyProtection="1">
      <alignment vertical="top" wrapText="1" readingOrder="1"/>
      <protection locked="0"/>
    </xf>
    <xf numFmtId="0" fontId="0" fillId="0" borderId="75" xfId="0" applyBorder="1" applyProtection="1">
      <protection locked="0"/>
    </xf>
    <xf numFmtId="0" fontId="1" fillId="0" borderId="75" xfId="0" applyFont="1" applyBorder="1" applyProtection="1">
      <protection locked="0"/>
    </xf>
    <xf numFmtId="178" fontId="34" fillId="29" borderId="76" xfId="0" applyNumberFormat="1" applyFont="1" applyFill="1" applyBorder="1" applyAlignment="1" applyProtection="1">
      <alignment horizontal="center" vertical="center"/>
      <protection locked="0"/>
    </xf>
    <xf numFmtId="0" fontId="1" fillId="0" borderId="66" xfId="10" applyFont="1" applyProtection="1">
      <protection locked="0"/>
    </xf>
    <xf numFmtId="0" fontId="1" fillId="0" borderId="0" xfId="0" applyFont="1"/>
    <xf numFmtId="166" fontId="0" fillId="0" borderId="75" xfId="0" applyNumberFormat="1" applyBorder="1" applyProtection="1">
      <protection locked="0"/>
    </xf>
    <xf numFmtId="9" fontId="39" fillId="0" borderId="66" xfId="10" applyNumberFormat="1" applyFont="1" applyAlignment="1" applyProtection="1">
      <alignment vertical="center"/>
      <protection locked="0"/>
    </xf>
    <xf numFmtId="10" fontId="39" fillId="0" borderId="66" xfId="10" applyNumberFormat="1" applyFont="1" applyAlignment="1" applyProtection="1">
      <alignment vertical="center"/>
      <protection locked="0"/>
    </xf>
    <xf numFmtId="6" fontId="1" fillId="0" borderId="75" xfId="0" applyNumberFormat="1" applyFont="1" applyBorder="1" applyProtection="1">
      <protection locked="0"/>
    </xf>
    <xf numFmtId="6" fontId="0" fillId="0" borderId="75" xfId="0" applyNumberFormat="1" applyBorder="1" applyProtection="1">
      <protection locked="0"/>
    </xf>
    <xf numFmtId="6" fontId="0" fillId="0" borderId="84" xfId="0" applyNumberFormat="1" applyBorder="1" applyProtection="1">
      <protection locked="0"/>
    </xf>
    <xf numFmtId="6" fontId="18" fillId="0" borderId="75" xfId="0" applyNumberFormat="1" applyFont="1" applyBorder="1"/>
    <xf numFmtId="0" fontId="18" fillId="0" borderId="75" xfId="0" applyFont="1" applyBorder="1"/>
    <xf numFmtId="6" fontId="18" fillId="0" borderId="75" xfId="0" applyNumberFormat="1" applyFont="1" applyBorder="1" applyAlignment="1">
      <alignment vertical="center"/>
    </xf>
    <xf numFmtId="0" fontId="17" fillId="9" borderId="5" xfId="0" applyFont="1" applyFill="1" applyBorder="1" applyAlignment="1">
      <alignment horizontal="center" vertical="center" wrapText="1"/>
    </xf>
    <xf numFmtId="0" fontId="16" fillId="0" borderId="5" xfId="0" applyNumberFormat="1" applyFont="1" applyBorder="1" applyAlignment="1">
      <alignment horizontal="center" vertical="center" shrinkToFit="1"/>
    </xf>
    <xf numFmtId="0" fontId="17" fillId="9" borderId="37" xfId="0" applyFont="1" applyFill="1" applyBorder="1" applyAlignment="1">
      <alignment horizontal="center" vertical="center" wrapText="1"/>
    </xf>
    <xf numFmtId="0" fontId="16" fillId="0" borderId="6" xfId="0" applyFont="1" applyBorder="1" applyAlignment="1">
      <alignment horizontal="left" vertical="center" wrapText="1"/>
    </xf>
    <xf numFmtId="0" fontId="12" fillId="0" borderId="75" xfId="0" applyFont="1" applyBorder="1" applyAlignment="1">
      <alignment horizontal="center" vertical="center"/>
    </xf>
    <xf numFmtId="0" fontId="51" fillId="0" borderId="75" xfId="0" applyFont="1" applyBorder="1" applyAlignment="1">
      <alignment horizontal="center"/>
    </xf>
    <xf numFmtId="184" fontId="16" fillId="0" borderId="68" xfId="15" applyNumberFormat="1" applyFont="1" applyBorder="1" applyAlignment="1">
      <alignment horizontal="center" vertical="center" shrinkToFit="1"/>
    </xf>
    <xf numFmtId="184" fontId="15" fillId="0" borderId="5" xfId="15" applyNumberFormat="1" applyFont="1" applyBorder="1" applyAlignment="1">
      <alignment horizontal="center" vertical="center" shrinkToFit="1"/>
    </xf>
    <xf numFmtId="0" fontId="42" fillId="13" borderId="88" xfId="0" applyFont="1" applyFill="1" applyBorder="1" applyAlignment="1">
      <alignment horizontal="center" vertical="center" wrapText="1" readingOrder="1"/>
    </xf>
    <xf numFmtId="0" fontId="44" fillId="13" borderId="89" xfId="0" applyFont="1" applyFill="1" applyBorder="1" applyAlignment="1">
      <alignment horizontal="center" vertical="center"/>
    </xf>
    <xf numFmtId="0" fontId="11" fillId="0" borderId="1" xfId="0" applyFont="1" applyBorder="1" applyAlignment="1">
      <alignment horizontal="center" vertical="center"/>
    </xf>
    <xf numFmtId="0" fontId="12" fillId="0" borderId="2" xfId="0" applyFont="1" applyBorder="1"/>
    <xf numFmtId="0" fontId="12" fillId="0" borderId="62" xfId="0" applyFont="1" applyBorder="1"/>
    <xf numFmtId="0" fontId="12" fillId="0" borderId="3" xfId="0" applyFont="1" applyBorder="1"/>
    <xf numFmtId="0" fontId="14" fillId="0" borderId="1" xfId="0" applyFont="1" applyBorder="1" applyAlignment="1">
      <alignment horizontal="center" vertical="center" wrapText="1"/>
    </xf>
    <xf numFmtId="0" fontId="14" fillId="0" borderId="1" xfId="0" applyFont="1" applyBorder="1" applyAlignment="1">
      <alignment horizontal="center" vertical="center"/>
    </xf>
    <xf numFmtId="0" fontId="12" fillId="0" borderId="53" xfId="0" applyFont="1" applyBorder="1"/>
    <xf numFmtId="0" fontId="12" fillId="0" borderId="57" xfId="0" applyFont="1" applyBorder="1"/>
    <xf numFmtId="165" fontId="43" fillId="21" borderId="88" xfId="0" applyNumberFormat="1" applyFont="1" applyFill="1" applyBorder="1" applyAlignment="1">
      <alignment horizontal="center" vertical="center" wrapText="1" readingOrder="1"/>
    </xf>
    <xf numFmtId="165" fontId="43" fillId="21" borderId="89" xfId="0" applyNumberFormat="1" applyFont="1" applyFill="1" applyBorder="1" applyAlignment="1">
      <alignment horizontal="center" vertical="center" wrapText="1" readingOrder="1"/>
    </xf>
    <xf numFmtId="165" fontId="43" fillId="21" borderId="90" xfId="0" applyNumberFormat="1" applyFont="1" applyFill="1" applyBorder="1" applyAlignment="1">
      <alignment horizontal="center" vertical="center" wrapText="1" readingOrder="1"/>
    </xf>
    <xf numFmtId="165" fontId="43" fillId="25" borderId="78" xfId="0" applyNumberFormat="1" applyFont="1" applyFill="1" applyBorder="1" applyAlignment="1">
      <alignment horizontal="center" vertical="center" wrapText="1" readingOrder="1"/>
    </xf>
    <xf numFmtId="165" fontId="43" fillId="25" borderId="79" xfId="0" applyNumberFormat="1" applyFont="1" applyFill="1" applyBorder="1" applyAlignment="1">
      <alignment horizontal="center" vertical="center" wrapText="1" readingOrder="1"/>
    </xf>
    <xf numFmtId="165" fontId="43" fillId="25" borderId="87" xfId="0" applyNumberFormat="1" applyFont="1" applyFill="1" applyBorder="1" applyAlignment="1">
      <alignment horizontal="center" vertical="center" wrapText="1" readingOrder="1"/>
    </xf>
    <xf numFmtId="165" fontId="43" fillId="22" borderId="78" xfId="0" applyNumberFormat="1" applyFont="1" applyFill="1" applyBorder="1" applyAlignment="1">
      <alignment horizontal="center" vertical="center" wrapText="1" readingOrder="1"/>
    </xf>
    <xf numFmtId="165" fontId="43" fillId="22" borderId="79" xfId="0" applyNumberFormat="1" applyFont="1" applyFill="1" applyBorder="1" applyAlignment="1">
      <alignment horizontal="center" vertical="center" wrapText="1" readingOrder="1"/>
    </xf>
    <xf numFmtId="165" fontId="43" fillId="22" borderId="87" xfId="0" applyNumberFormat="1" applyFont="1" applyFill="1" applyBorder="1" applyAlignment="1">
      <alignment horizontal="center" vertical="center" wrapText="1" readingOrder="1"/>
    </xf>
    <xf numFmtId="165" fontId="42" fillId="14" borderId="95" xfId="0" applyNumberFormat="1" applyFont="1" applyFill="1" applyBorder="1" applyAlignment="1">
      <alignment horizontal="center" vertical="center" wrapText="1" readingOrder="1"/>
    </xf>
    <xf numFmtId="165" fontId="42" fillId="14" borderId="96" xfId="0" applyNumberFormat="1" applyFont="1" applyFill="1" applyBorder="1" applyAlignment="1">
      <alignment horizontal="center" vertical="center" wrapText="1" readingOrder="1"/>
    </xf>
    <xf numFmtId="165" fontId="42" fillId="14" borderId="100" xfId="0" applyNumberFormat="1" applyFont="1" applyFill="1" applyBorder="1" applyAlignment="1">
      <alignment horizontal="center" vertical="center" wrapText="1" readingOrder="1"/>
    </xf>
    <xf numFmtId="165" fontId="43" fillId="29" borderId="78" xfId="0" applyNumberFormat="1" applyFont="1" applyFill="1" applyBorder="1" applyAlignment="1">
      <alignment horizontal="center" vertical="center" wrapText="1" readingOrder="1"/>
    </xf>
    <xf numFmtId="165" fontId="43" fillId="29" borderId="79" xfId="0" applyNumberFormat="1" applyFont="1" applyFill="1" applyBorder="1" applyAlignment="1">
      <alignment horizontal="center" vertical="center" wrapText="1" readingOrder="1"/>
    </xf>
    <xf numFmtId="165" fontId="43" fillId="29" borderId="80" xfId="0" applyNumberFormat="1" applyFont="1" applyFill="1" applyBorder="1" applyAlignment="1">
      <alignment horizontal="center" vertical="center" wrapText="1" readingOrder="1"/>
    </xf>
    <xf numFmtId="0" fontId="35" fillId="24" borderId="91" xfId="10" applyFont="1" applyFill="1" applyBorder="1" applyAlignment="1">
      <alignment horizontal="center" vertical="center"/>
    </xf>
    <xf numFmtId="0" fontId="35" fillId="24" borderId="92" xfId="10" applyFont="1" applyFill="1" applyBorder="1" applyAlignment="1">
      <alignment horizontal="center" vertical="center"/>
    </xf>
    <xf numFmtId="0" fontId="35" fillId="24" borderId="93" xfId="10" applyFont="1" applyFill="1" applyBorder="1" applyAlignment="1">
      <alignment horizontal="center" vertical="center"/>
    </xf>
    <xf numFmtId="0" fontId="37" fillId="24" borderId="91" xfId="10" applyFont="1" applyFill="1" applyBorder="1" applyAlignment="1">
      <alignment horizontal="center" vertical="center" wrapText="1"/>
    </xf>
    <xf numFmtId="0" fontId="29" fillId="24" borderId="92" xfId="10" applyFont="1" applyFill="1" applyBorder="1" applyAlignment="1">
      <alignment horizontal="center" vertical="center" wrapText="1"/>
    </xf>
    <xf numFmtId="0" fontId="29" fillId="24" borderId="93" xfId="10" applyFont="1" applyFill="1" applyBorder="1" applyAlignment="1">
      <alignment horizontal="center" vertical="center" wrapText="1"/>
    </xf>
    <xf numFmtId="0" fontId="37" fillId="24" borderId="91" xfId="10" applyFont="1" applyFill="1" applyBorder="1" applyAlignment="1">
      <alignment horizontal="center" vertical="center"/>
    </xf>
    <xf numFmtId="0" fontId="37" fillId="24" borderId="92" xfId="10" applyFont="1" applyFill="1" applyBorder="1" applyAlignment="1">
      <alignment horizontal="center" vertical="center"/>
    </xf>
    <xf numFmtId="0" fontId="37" fillId="24" borderId="93" xfId="10" applyFont="1" applyFill="1" applyBorder="1" applyAlignment="1">
      <alignment horizontal="center" vertical="center"/>
    </xf>
    <xf numFmtId="0" fontId="8" fillId="0" borderId="66" xfId="6" applyFont="1" applyAlignment="1">
      <alignment horizontal="center"/>
    </xf>
    <xf numFmtId="0" fontId="9" fillId="0" borderId="66" xfId="6" applyAlignment="1">
      <alignment horizontal="center"/>
    </xf>
    <xf numFmtId="41" fontId="9" fillId="0" borderId="66" xfId="6" applyNumberFormat="1" applyAlignment="1">
      <alignment horizontal="center" wrapText="1"/>
    </xf>
    <xf numFmtId="0" fontId="9" fillId="0" borderId="66" xfId="6" applyAlignment="1">
      <alignment horizontal="center" vertical="center" wrapText="1"/>
    </xf>
    <xf numFmtId="164" fontId="31" fillId="18" borderId="81" xfId="8" applyFont="1" applyFill="1" applyBorder="1" applyAlignment="1">
      <alignment horizontal="center" vertical="center"/>
    </xf>
    <xf numFmtId="164" fontId="31" fillId="0" borderId="66" xfId="8" applyFont="1" applyFill="1" applyBorder="1" applyAlignment="1">
      <alignment horizontal="center" vertical="center"/>
    </xf>
    <xf numFmtId="170" fontId="11" fillId="6" borderId="37" xfId="0" applyNumberFormat="1" applyFont="1" applyFill="1" applyBorder="1" applyAlignment="1">
      <alignment horizontal="center"/>
    </xf>
    <xf numFmtId="0" fontId="12" fillId="0" borderId="38" xfId="0" applyFont="1" applyBorder="1"/>
    <xf numFmtId="0" fontId="12" fillId="0" borderId="11" xfId="0" applyFont="1" applyBorder="1"/>
    <xf numFmtId="49" fontId="11" fillId="7" borderId="12" xfId="0" applyNumberFormat="1" applyFont="1" applyFill="1" applyBorder="1" applyAlignment="1">
      <alignment horizontal="center" vertical="center"/>
    </xf>
    <xf numFmtId="0" fontId="12" fillId="0" borderId="13" xfId="0" applyFont="1" applyBorder="1"/>
    <xf numFmtId="0" fontId="12" fillId="0" borderId="14" xfId="0" applyFont="1" applyBorder="1"/>
    <xf numFmtId="0" fontId="12" fillId="0" borderId="15" xfId="0" applyFont="1" applyBorder="1"/>
    <xf numFmtId="0" fontId="12" fillId="0" borderId="16" xfId="0" applyFont="1" applyBorder="1"/>
    <xf numFmtId="0" fontId="12" fillId="0" borderId="17" xfId="0" applyFont="1" applyBorder="1"/>
    <xf numFmtId="0" fontId="11" fillId="7" borderId="8" xfId="0" applyFont="1" applyFill="1" applyBorder="1" applyAlignment="1">
      <alignment horizontal="center" vertical="center"/>
    </xf>
    <xf numFmtId="0" fontId="12" fillId="0" borderId="19" xfId="0" applyFont="1" applyBorder="1"/>
    <xf numFmtId="0" fontId="12" fillId="0" borderId="20" xfId="0" applyFont="1" applyBorder="1"/>
    <xf numFmtId="0" fontId="11" fillId="7" borderId="20" xfId="0" applyFont="1" applyFill="1" applyBorder="1" applyAlignment="1">
      <alignment horizontal="center" vertical="center" wrapText="1"/>
    </xf>
    <xf numFmtId="0" fontId="12" fillId="0" borderId="21" xfId="0" applyFont="1" applyBorder="1"/>
    <xf numFmtId="0" fontId="11" fillId="7" borderId="8" xfId="0" applyFont="1" applyFill="1" applyBorder="1" applyAlignment="1">
      <alignment horizontal="center" vertical="center" wrapText="1"/>
    </xf>
    <xf numFmtId="0" fontId="11" fillId="8" borderId="1" xfId="0" applyFont="1" applyFill="1" applyBorder="1" applyAlignment="1">
      <alignment horizontal="left"/>
    </xf>
    <xf numFmtId="0" fontId="11" fillId="6" borderId="1" xfId="0" applyFont="1" applyFill="1" applyBorder="1" applyAlignment="1">
      <alignment horizontal="left"/>
    </xf>
    <xf numFmtId="0" fontId="11" fillId="6" borderId="36" xfId="0" applyFont="1" applyFill="1" applyBorder="1" applyAlignment="1">
      <alignment horizontal="left"/>
    </xf>
    <xf numFmtId="0" fontId="17" fillId="0" borderId="6" xfId="0" applyFont="1" applyBorder="1" applyAlignment="1">
      <alignment horizontal="left" vertical="top" wrapText="1"/>
    </xf>
    <xf numFmtId="0" fontId="12" fillId="0" borderId="67" xfId="0" applyFont="1" applyBorder="1" applyAlignment="1">
      <alignment horizontal="left"/>
    </xf>
    <xf numFmtId="0" fontId="12" fillId="0" borderId="68" xfId="0" applyFont="1" applyBorder="1" applyAlignment="1">
      <alignment horizontal="left"/>
    </xf>
    <xf numFmtId="0" fontId="12" fillId="0" borderId="68" xfId="0" applyFont="1" applyBorder="1"/>
    <xf numFmtId="0" fontId="17" fillId="9" borderId="6" xfId="0" applyFont="1" applyFill="1" applyBorder="1" applyAlignment="1">
      <alignment horizontal="left" vertical="top" wrapText="1"/>
    </xf>
    <xf numFmtId="0" fontId="12" fillId="0" borderId="62" xfId="0" applyFont="1" applyBorder="1" applyAlignment="1">
      <alignment horizontal="left"/>
    </xf>
    <xf numFmtId="0" fontId="16" fillId="0" borderId="6" xfId="0" applyFont="1" applyBorder="1" applyAlignment="1">
      <alignment horizontal="left" vertical="center" wrapText="1"/>
    </xf>
    <xf numFmtId="0" fontId="13" fillId="0" borderId="6" xfId="0" applyFont="1" applyBorder="1" applyAlignment="1">
      <alignment horizontal="left" wrapText="1"/>
    </xf>
    <xf numFmtId="0" fontId="17" fillId="10" borderId="6" xfId="0" applyFont="1" applyFill="1" applyBorder="1" applyAlignment="1">
      <alignment horizontal="left" vertical="top" wrapText="1"/>
    </xf>
    <xf numFmtId="0" fontId="18" fillId="0" borderId="81" xfId="0" applyFont="1" applyBorder="1" applyAlignment="1">
      <alignment horizontal="left" vertical="top"/>
    </xf>
    <xf numFmtId="0" fontId="18" fillId="0" borderId="83" xfId="0" applyFont="1" applyBorder="1" applyAlignment="1">
      <alignment horizontal="left" vertical="top"/>
    </xf>
    <xf numFmtId="0" fontId="18" fillId="0" borderId="84" xfId="0" applyFont="1" applyBorder="1" applyAlignment="1">
      <alignment horizontal="left" vertical="top"/>
    </xf>
    <xf numFmtId="0" fontId="18" fillId="0" borderId="81" xfId="0" applyFont="1" applyBorder="1" applyAlignment="1">
      <alignment horizontal="center"/>
    </xf>
    <xf numFmtId="0" fontId="18" fillId="0" borderId="83" xfId="0" applyFont="1" applyBorder="1" applyAlignment="1">
      <alignment horizontal="center"/>
    </xf>
    <xf numFmtId="0" fontId="18" fillId="0" borderId="84" xfId="0" applyFont="1" applyBorder="1" applyAlignment="1">
      <alignment horizontal="center"/>
    </xf>
    <xf numFmtId="0" fontId="49" fillId="13" borderId="0" xfId="0" applyFont="1" applyFill="1" applyAlignment="1">
      <alignment horizontal="center" vertical="center"/>
    </xf>
    <xf numFmtId="6" fontId="18" fillId="0" borderId="81" xfId="0" applyNumberFormat="1" applyFont="1" applyBorder="1" applyAlignment="1">
      <alignment horizontal="left" wrapText="1"/>
    </xf>
    <xf numFmtId="6" fontId="18" fillId="0" borderId="83" xfId="0" applyNumberFormat="1" applyFont="1" applyBorder="1" applyAlignment="1">
      <alignment horizontal="left" wrapText="1"/>
    </xf>
    <xf numFmtId="6" fontId="18" fillId="0" borderId="84" xfId="0" applyNumberFormat="1" applyFont="1" applyBorder="1" applyAlignment="1">
      <alignment horizontal="left" wrapText="1"/>
    </xf>
    <xf numFmtId="0" fontId="18" fillId="0" borderId="102" xfId="0" applyFont="1" applyBorder="1" applyAlignment="1">
      <alignment horizontal="center" vertical="center" wrapText="1"/>
    </xf>
    <xf numFmtId="0" fontId="18" fillId="0" borderId="103" xfId="0" applyFont="1" applyBorder="1" applyAlignment="1">
      <alignment horizontal="center" vertical="center" wrapText="1"/>
    </xf>
    <xf numFmtId="0" fontId="18" fillId="0" borderId="104" xfId="0" applyFont="1" applyBorder="1" applyAlignment="1">
      <alignment horizontal="center" vertical="center" wrapText="1"/>
    </xf>
    <xf numFmtId="0" fontId="18" fillId="0" borderId="105" xfId="0" applyFont="1" applyBorder="1" applyAlignment="1">
      <alignment horizontal="center" vertical="center" wrapText="1"/>
    </xf>
    <xf numFmtId="0" fontId="18" fillId="0" borderId="66" xfId="0" applyFont="1" applyBorder="1" applyAlignment="1">
      <alignment horizontal="center" vertical="center" wrapText="1"/>
    </xf>
    <xf numFmtId="0" fontId="18" fillId="0" borderId="106" xfId="0" applyFont="1" applyBorder="1" applyAlignment="1">
      <alignment horizontal="center" vertical="center" wrapText="1"/>
    </xf>
    <xf numFmtId="0" fontId="18" fillId="0" borderId="107" xfId="0" applyFont="1" applyBorder="1" applyAlignment="1">
      <alignment horizontal="center" vertical="center" wrapText="1"/>
    </xf>
    <xf numFmtId="0" fontId="18" fillId="0" borderId="108" xfId="0" applyFont="1" applyBorder="1" applyAlignment="1">
      <alignment horizontal="center" vertical="center" wrapText="1"/>
    </xf>
    <xf numFmtId="0" fontId="18" fillId="0" borderId="109" xfId="0" applyFont="1" applyBorder="1" applyAlignment="1">
      <alignment horizontal="center" vertical="center" wrapText="1"/>
    </xf>
    <xf numFmtId="0" fontId="17" fillId="0" borderId="1" xfId="0" applyFont="1" applyBorder="1" applyAlignment="1">
      <alignment horizontal="right" vertical="top" wrapText="1"/>
    </xf>
    <xf numFmtId="0" fontId="17" fillId="0" borderId="37" xfId="0" applyFont="1" applyBorder="1" applyAlignment="1">
      <alignment horizontal="center" vertical="center" wrapText="1"/>
    </xf>
    <xf numFmtId="0" fontId="13" fillId="0" borderId="1" xfId="0" applyFont="1" applyBorder="1" applyAlignment="1">
      <alignment horizontal="center" vertical="top" wrapText="1"/>
    </xf>
    <xf numFmtId="1" fontId="16" fillId="0" borderId="1" xfId="0" applyNumberFormat="1" applyFont="1" applyBorder="1" applyAlignment="1">
      <alignment horizontal="center" vertical="top" shrinkToFit="1"/>
    </xf>
    <xf numFmtId="0" fontId="13" fillId="0" borderId="1" xfId="0" applyFont="1" applyBorder="1" applyAlignment="1">
      <alignment horizontal="right" vertical="top" wrapText="1"/>
    </xf>
    <xf numFmtId="0" fontId="17" fillId="0" borderId="1" xfId="0" applyFont="1" applyBorder="1" applyAlignment="1">
      <alignment horizontal="left" vertical="top" wrapText="1"/>
    </xf>
    <xf numFmtId="0" fontId="17" fillId="9" borderId="1" xfId="0" applyFont="1" applyFill="1" applyBorder="1" applyAlignment="1">
      <alignment horizontal="center" vertical="top" wrapText="1"/>
    </xf>
    <xf numFmtId="0" fontId="16" fillId="0" borderId="1" xfId="0" applyFont="1" applyBorder="1" applyAlignment="1">
      <alignment horizontal="left" vertical="center" wrapText="1"/>
    </xf>
    <xf numFmtId="0" fontId="13" fillId="0" borderId="1" xfId="0" applyFont="1" applyBorder="1" applyAlignment="1">
      <alignment horizontal="left" wrapText="1"/>
    </xf>
    <xf numFmtId="0" fontId="17" fillId="10" borderId="1" xfId="0" applyFont="1" applyFill="1" applyBorder="1" applyAlignment="1">
      <alignment horizontal="left" vertical="top" wrapText="1"/>
    </xf>
    <xf numFmtId="0" fontId="17" fillId="0" borderId="6" xfId="14" applyFont="1" applyBorder="1" applyAlignment="1" applyProtection="1">
      <alignment horizontal="center" vertical="center" wrapText="1"/>
      <protection locked="0"/>
    </xf>
    <xf numFmtId="0" fontId="12" fillId="0" borderId="62" xfId="14" applyFont="1" applyBorder="1" applyProtection="1">
      <protection locked="0"/>
    </xf>
    <xf numFmtId="0" fontId="12" fillId="0" borderId="68" xfId="14" applyFont="1" applyBorder="1" applyProtection="1">
      <protection locked="0"/>
    </xf>
    <xf numFmtId="0" fontId="17" fillId="4" borderId="1" xfId="0" applyFont="1" applyFill="1" applyBorder="1" applyAlignment="1">
      <alignment horizontal="left" vertical="top" wrapText="1"/>
    </xf>
    <xf numFmtId="0" fontId="19" fillId="4" borderId="45" xfId="0" applyFont="1" applyFill="1" applyBorder="1" applyAlignment="1">
      <alignment vertical="center" wrapText="1"/>
    </xf>
    <xf numFmtId="0" fontId="12" fillId="0" borderId="46" xfId="0" applyFont="1" applyBorder="1"/>
    <xf numFmtId="0" fontId="17" fillId="0" borderId="0" xfId="0" applyFont="1" applyAlignment="1">
      <alignment horizontal="left" vertical="center" wrapText="1"/>
    </xf>
    <xf numFmtId="0" fontId="12" fillId="0" borderId="47" xfId="0" applyFont="1" applyBorder="1"/>
    <xf numFmtId="0" fontId="19" fillId="0" borderId="49" xfId="0" applyFont="1" applyBorder="1" applyAlignment="1">
      <alignment vertical="top" wrapText="1"/>
    </xf>
    <xf numFmtId="0" fontId="12" fillId="0" borderId="50" xfId="0" applyFont="1" applyBorder="1"/>
    <xf numFmtId="0" fontId="13" fillId="0" borderId="0" xfId="0" applyFont="1" applyAlignment="1">
      <alignment horizontal="left" vertical="top" wrapText="1"/>
    </xf>
    <xf numFmtId="0" fontId="17" fillId="9" borderId="74" xfId="14" applyFont="1" applyFill="1" applyBorder="1" applyAlignment="1" applyProtection="1">
      <alignment horizontal="center" vertical="center" wrapText="1"/>
      <protection locked="0"/>
    </xf>
    <xf numFmtId="0" fontId="12" fillId="0" borderId="53" xfId="14" applyFont="1" applyBorder="1" applyProtection="1">
      <protection locked="0"/>
    </xf>
    <xf numFmtId="0" fontId="12" fillId="0" borderId="54" xfId="14" applyFont="1" applyBorder="1" applyProtection="1">
      <protection locked="0"/>
    </xf>
    <xf numFmtId="0" fontId="12" fillId="0" borderId="66" xfId="14" applyFont="1" applyProtection="1">
      <protection locked="0"/>
    </xf>
    <xf numFmtId="0" fontId="13" fillId="0" borderId="12" xfId="14" applyFont="1" applyBorder="1" applyAlignment="1" applyProtection="1">
      <alignment horizontal="center" vertical="center" wrapText="1"/>
      <protection locked="0"/>
    </xf>
    <xf numFmtId="0" fontId="12" fillId="0" borderId="14" xfId="14" applyFont="1" applyBorder="1" applyProtection="1">
      <protection locked="0"/>
    </xf>
    <xf numFmtId="0" fontId="12" fillId="0" borderId="59" xfId="14" applyFont="1" applyBorder="1" applyProtection="1">
      <protection locked="0"/>
    </xf>
    <xf numFmtId="0" fontId="12" fillId="0" borderId="60" xfId="14" applyFont="1" applyBorder="1" applyProtection="1">
      <protection locked="0"/>
    </xf>
    <xf numFmtId="0" fontId="48" fillId="0" borderId="66" xfId="14" applyProtection="1">
      <protection locked="0"/>
    </xf>
    <xf numFmtId="0" fontId="12" fillId="0" borderId="61" xfId="14" applyFont="1" applyBorder="1" applyProtection="1">
      <protection locked="0"/>
    </xf>
    <xf numFmtId="0" fontId="13" fillId="0" borderId="8" xfId="14" applyFont="1" applyBorder="1" applyAlignment="1" applyProtection="1">
      <alignment horizontal="center" vertical="center" wrapText="1"/>
      <protection locked="0"/>
    </xf>
    <xf numFmtId="0" fontId="12" fillId="0" borderId="20" xfId="14" applyFont="1" applyBorder="1" applyProtection="1">
      <protection locked="0"/>
    </xf>
    <xf numFmtId="0" fontId="12" fillId="0" borderId="41" xfId="14" applyFont="1" applyBorder="1" applyProtection="1">
      <protection locked="0"/>
    </xf>
    <xf numFmtId="0" fontId="16" fillId="0" borderId="53" xfId="14" applyFont="1" applyBorder="1" applyAlignment="1" applyProtection="1">
      <alignment horizontal="left" vertical="center" wrapText="1"/>
      <protection locked="0"/>
    </xf>
    <xf numFmtId="0" fontId="12" fillId="0" borderId="57" xfId="14" applyFont="1" applyBorder="1" applyProtection="1">
      <protection locked="0"/>
    </xf>
    <xf numFmtId="0" fontId="12" fillId="0" borderId="65" xfId="14" applyFont="1" applyBorder="1" applyProtection="1">
      <protection locked="0"/>
    </xf>
    <xf numFmtId="0" fontId="16" fillId="0" borderId="53" xfId="14" applyFont="1" applyBorder="1" applyAlignment="1" applyProtection="1">
      <alignment horizontal="left" vertical="top" wrapText="1"/>
      <protection locked="0"/>
    </xf>
    <xf numFmtId="0" fontId="12" fillId="0" borderId="17" xfId="14" applyFont="1" applyBorder="1" applyProtection="1">
      <protection locked="0"/>
    </xf>
    <xf numFmtId="0" fontId="12" fillId="0" borderId="58" xfId="14" applyFont="1" applyBorder="1" applyProtection="1">
      <protection locked="0"/>
    </xf>
    <xf numFmtId="0" fontId="13" fillId="0" borderId="60" xfId="0" applyFont="1" applyBorder="1" applyAlignment="1">
      <alignment horizontal="left" vertical="top" wrapText="1"/>
    </xf>
    <xf numFmtId="0" fontId="0" fillId="0" borderId="0" xfId="0"/>
    <xf numFmtId="0" fontId="12" fillId="0" borderId="61" xfId="0" applyFont="1" applyBorder="1"/>
    <xf numFmtId="0" fontId="12" fillId="0" borderId="60" xfId="0" applyFont="1" applyBorder="1"/>
    <xf numFmtId="0" fontId="13" fillId="0" borderId="12" xfId="0" applyFont="1" applyBorder="1" applyAlignment="1">
      <alignment horizontal="center" vertical="center" wrapText="1"/>
    </xf>
    <xf numFmtId="0" fontId="12" fillId="0" borderId="59" xfId="0" applyFont="1" applyBorder="1"/>
    <xf numFmtId="0" fontId="12" fillId="0" borderId="63" xfId="0" applyFont="1" applyBorder="1"/>
    <xf numFmtId="0" fontId="17" fillId="9" borderId="51" xfId="0" applyFont="1" applyFill="1" applyBorder="1" applyAlignment="1">
      <alignment horizontal="center" vertical="center" wrapText="1"/>
    </xf>
    <xf numFmtId="0" fontId="12" fillId="0" borderId="52" xfId="0" applyFont="1" applyBorder="1"/>
    <xf numFmtId="0" fontId="12" fillId="0" borderId="54" xfId="0" applyFont="1" applyBorder="1"/>
    <xf numFmtId="0" fontId="12" fillId="0" borderId="55" xfId="0" applyFont="1" applyBorder="1"/>
    <xf numFmtId="0" fontId="12" fillId="0" borderId="56" xfId="0" applyFont="1" applyBorder="1"/>
    <xf numFmtId="0" fontId="17" fillId="0" borderId="8" xfId="0" applyFont="1" applyBorder="1" applyAlignment="1">
      <alignment horizontal="center" vertical="center" wrapText="1"/>
    </xf>
    <xf numFmtId="0" fontId="13" fillId="0" borderId="60" xfId="0" applyFont="1" applyBorder="1" applyAlignment="1">
      <alignment horizontal="left" vertical="center" wrapText="1"/>
    </xf>
    <xf numFmtId="0" fontId="17" fillId="0" borderId="1" xfId="0" applyFont="1" applyBorder="1" applyAlignment="1">
      <alignment horizontal="center" vertical="top" wrapText="1"/>
    </xf>
    <xf numFmtId="0" fontId="13" fillId="0" borderId="12" xfId="0" applyFont="1" applyBorder="1" applyAlignment="1">
      <alignment horizontal="left" vertical="center" wrapText="1"/>
    </xf>
    <xf numFmtId="0" fontId="13" fillId="0" borderId="60" xfId="0" applyFont="1" applyBorder="1" applyAlignment="1">
      <alignment horizontal="center" wrapText="1"/>
    </xf>
    <xf numFmtId="0" fontId="17" fillId="9" borderId="12" xfId="0" applyFont="1" applyFill="1" applyBorder="1" applyAlignment="1">
      <alignment horizontal="center" vertical="center" wrapText="1"/>
    </xf>
    <xf numFmtId="0" fontId="17" fillId="0" borderId="15" xfId="0" applyFont="1" applyBorder="1" applyAlignment="1">
      <alignment horizontal="center" wrapText="1"/>
    </xf>
    <xf numFmtId="0" fontId="17" fillId="0" borderId="8" xfId="0" applyFont="1" applyBorder="1" applyAlignment="1">
      <alignment horizontal="center" wrapText="1"/>
    </xf>
    <xf numFmtId="0" fontId="13" fillId="0" borderId="64" xfId="0" applyFont="1" applyBorder="1" applyAlignment="1">
      <alignment horizontal="left" wrapText="1"/>
    </xf>
    <xf numFmtId="0" fontId="12" fillId="0" borderId="39" xfId="0" applyFont="1" applyBorder="1"/>
    <xf numFmtId="0" fontId="12" fillId="0" borderId="40" xfId="0" applyFont="1" applyBorder="1"/>
    <xf numFmtId="0" fontId="12" fillId="0" borderId="65" xfId="0" applyFont="1" applyBorder="1"/>
    <xf numFmtId="0" fontId="16" fillId="0" borderId="0" xfId="0" applyFont="1" applyAlignment="1">
      <alignment horizontal="left" vertical="top" wrapText="1"/>
    </xf>
    <xf numFmtId="0" fontId="16" fillId="0" borderId="13" xfId="0" applyFont="1" applyBorder="1" applyAlignment="1">
      <alignment horizontal="left" vertical="top" wrapText="1"/>
    </xf>
    <xf numFmtId="0" fontId="19" fillId="0" borderId="75" xfId="0" applyFont="1" applyBorder="1" applyAlignment="1">
      <alignment vertical="top" wrapText="1"/>
    </xf>
    <xf numFmtId="0" fontId="12" fillId="0" borderId="75" xfId="0" applyFont="1" applyBorder="1"/>
    <xf numFmtId="0" fontId="13" fillId="0" borderId="75" xfId="0" applyFont="1" applyBorder="1" applyAlignment="1">
      <alignment horizontal="left" vertical="top" wrapText="1"/>
    </xf>
    <xf numFmtId="0" fontId="29" fillId="0" borderId="78" xfId="0" applyFont="1" applyBorder="1" applyAlignment="1">
      <alignment horizontal="center"/>
    </xf>
    <xf numFmtId="0" fontId="29" fillId="0" borderId="79" xfId="0" applyFont="1" applyBorder="1" applyAlignment="1">
      <alignment horizontal="center"/>
    </xf>
    <xf numFmtId="0" fontId="29" fillId="0" borderId="80" xfId="0" applyFont="1" applyBorder="1" applyAlignment="1">
      <alignment horizontal="center"/>
    </xf>
    <xf numFmtId="0" fontId="17" fillId="0" borderId="73" xfId="0" applyFont="1" applyBorder="1" applyAlignment="1">
      <alignment horizontal="right" vertical="top" wrapText="1"/>
    </xf>
    <xf numFmtId="0" fontId="12" fillId="0" borderId="67" xfId="0" applyFont="1" applyBorder="1"/>
    <xf numFmtId="0" fontId="12" fillId="0" borderId="72" xfId="0" applyFont="1" applyBorder="1"/>
    <xf numFmtId="0" fontId="13" fillId="0" borderId="74" xfId="0" applyFont="1" applyBorder="1" applyAlignment="1">
      <alignment horizontal="left" wrapText="1"/>
    </xf>
    <xf numFmtId="0" fontId="17" fillId="4" borderId="12" xfId="0" applyFont="1" applyFill="1" applyBorder="1" applyAlignment="1">
      <alignment horizontal="left" vertical="top" wrapText="1"/>
    </xf>
    <xf numFmtId="0" fontId="13" fillId="0" borderId="75" xfId="0" applyFont="1" applyBorder="1" applyAlignment="1">
      <alignment horizontal="left" wrapText="1"/>
    </xf>
    <xf numFmtId="0" fontId="12" fillId="0" borderId="77" xfId="0" applyFont="1" applyBorder="1"/>
    <xf numFmtId="0" fontId="19" fillId="4" borderId="75" xfId="0" applyFont="1" applyFill="1" applyBorder="1" applyAlignment="1">
      <alignment vertical="center" wrapText="1"/>
    </xf>
    <xf numFmtId="0" fontId="17" fillId="0" borderId="75" xfId="0" applyFont="1" applyBorder="1" applyAlignment="1">
      <alignment horizontal="left" vertical="center" wrapText="1"/>
    </xf>
    <xf numFmtId="0" fontId="17" fillId="0" borderId="6" xfId="0" applyFont="1" applyBorder="1" applyAlignment="1">
      <alignment horizontal="right" vertical="top" wrapText="1"/>
    </xf>
    <xf numFmtId="0" fontId="17" fillId="9" borderId="6" xfId="0" applyFont="1" applyFill="1" applyBorder="1" applyAlignment="1">
      <alignment horizontal="center" vertical="top" wrapText="1"/>
    </xf>
    <xf numFmtId="0" fontId="13" fillId="0" borderId="6" xfId="0" applyFont="1" applyBorder="1" applyAlignment="1">
      <alignment horizontal="left" vertical="top" wrapText="1"/>
    </xf>
    <xf numFmtId="0" fontId="17" fillId="0" borderId="38" xfId="0" applyFont="1" applyBorder="1" applyAlignment="1">
      <alignment horizontal="left" vertical="center" wrapText="1"/>
    </xf>
    <xf numFmtId="0" fontId="13" fillId="0" borderId="73" xfId="0" applyFont="1" applyBorder="1" applyAlignment="1">
      <alignment horizontal="center" vertical="top" wrapText="1"/>
    </xf>
    <xf numFmtId="1" fontId="16" fillId="0" borderId="6" xfId="0" applyNumberFormat="1" applyFont="1" applyBorder="1" applyAlignment="1">
      <alignment horizontal="center" vertical="top" shrinkToFit="1"/>
    </xf>
    <xf numFmtId="0" fontId="13" fillId="0" borderId="6" xfId="0" applyFont="1" applyBorder="1" applyAlignment="1">
      <alignment horizontal="right" vertical="top" wrapText="1"/>
    </xf>
    <xf numFmtId="0" fontId="17" fillId="0" borderId="37" xfId="0" applyFont="1" applyBorder="1" applyAlignment="1">
      <alignment horizontal="left" vertical="center" wrapText="1"/>
    </xf>
    <xf numFmtId="0" fontId="13" fillId="0" borderId="6" xfId="0" applyFont="1" applyBorder="1" applyAlignment="1">
      <alignment horizontal="center" vertical="top" wrapText="1"/>
    </xf>
    <xf numFmtId="0" fontId="17" fillId="4" borderId="8" xfId="0" applyFont="1" applyFill="1" applyBorder="1" applyAlignment="1">
      <alignment horizontal="left" vertical="top" wrapText="1"/>
    </xf>
    <xf numFmtId="0" fontId="12" fillId="0" borderId="41" xfId="0" applyFont="1" applyBorder="1"/>
    <xf numFmtId="0" fontId="13" fillId="0" borderId="73" xfId="0" applyFont="1" applyBorder="1" applyAlignment="1">
      <alignment horizontal="left" wrapText="1"/>
    </xf>
    <xf numFmtId="0" fontId="17" fillId="9" borderId="74" xfId="0" applyFont="1" applyFill="1" applyBorder="1" applyAlignment="1">
      <alignment horizontal="center" vertical="center" wrapText="1"/>
    </xf>
    <xf numFmtId="0" fontId="12" fillId="0" borderId="73" xfId="0" applyFont="1" applyBorder="1"/>
    <xf numFmtId="0" fontId="16" fillId="0" borderId="14" xfId="0" applyFont="1" applyBorder="1" applyAlignment="1">
      <alignment horizontal="left" vertical="top" wrapText="1"/>
    </xf>
    <xf numFmtId="0" fontId="27" fillId="0" borderId="0" xfId="0" applyFont="1"/>
    <xf numFmtId="0" fontId="13" fillId="0" borderId="60" xfId="0" applyFont="1" applyBorder="1" applyAlignment="1">
      <alignment horizontal="center" vertical="center" wrapText="1"/>
    </xf>
    <xf numFmtId="0" fontId="17" fillId="0" borderId="51" xfId="0" applyFont="1" applyBorder="1" applyAlignment="1">
      <alignment horizontal="center" vertical="center" wrapText="1"/>
    </xf>
    <xf numFmtId="0" fontId="12" fillId="0" borderId="10" xfId="0" applyFont="1" applyBorder="1"/>
    <xf numFmtId="0" fontId="17" fillId="0" borderId="39" xfId="0" applyFont="1" applyBorder="1" applyAlignment="1">
      <alignment horizontal="left" vertical="top" wrapText="1"/>
    </xf>
    <xf numFmtId="0" fontId="13" fillId="0" borderId="1" xfId="0" applyFont="1" applyBorder="1" applyAlignment="1">
      <alignment horizontal="left" vertical="top" wrapText="1"/>
    </xf>
    <xf numFmtId="0" fontId="17" fillId="0" borderId="64" xfId="0" applyFont="1" applyBorder="1" applyAlignment="1">
      <alignment horizontal="right" vertical="top" wrapText="1"/>
    </xf>
    <xf numFmtId="0" fontId="19" fillId="0" borderId="12" xfId="0" applyFont="1" applyBorder="1" applyAlignment="1">
      <alignment horizontal="left" vertical="center" wrapText="1"/>
    </xf>
    <xf numFmtId="0" fontId="19" fillId="0" borderId="70" xfId="0" applyFont="1" applyBorder="1" applyAlignment="1">
      <alignment vertical="top" wrapText="1"/>
    </xf>
    <xf numFmtId="0" fontId="12" fillId="0" borderId="71" xfId="0" applyFont="1" applyBorder="1"/>
    <xf numFmtId="0" fontId="13" fillId="0" borderId="39" xfId="0" applyFont="1" applyBorder="1" applyAlignment="1">
      <alignment horizontal="left" vertical="top" wrapText="1"/>
    </xf>
    <xf numFmtId="0" fontId="20" fillId="0" borderId="8" xfId="0" applyFont="1" applyBorder="1" applyAlignment="1">
      <alignment horizontal="center" wrapText="1"/>
    </xf>
    <xf numFmtId="0" fontId="13" fillId="0" borderId="12" xfId="0" applyFont="1" applyBorder="1" applyAlignment="1">
      <alignment horizontal="center" wrapText="1"/>
    </xf>
    <xf numFmtId="0" fontId="15" fillId="0" borderId="37" xfId="0" applyFont="1" applyBorder="1" applyAlignment="1">
      <alignment horizontal="center" vertical="center" wrapText="1"/>
    </xf>
    <xf numFmtId="0" fontId="16" fillId="0" borderId="1" xfId="0" applyFont="1" applyBorder="1" applyAlignment="1">
      <alignment horizontal="center" vertical="top" wrapText="1"/>
    </xf>
    <xf numFmtId="0" fontId="16" fillId="0" borderId="1" xfId="0" applyFont="1" applyBorder="1" applyAlignment="1">
      <alignment horizontal="right" vertical="top" wrapText="1"/>
    </xf>
    <xf numFmtId="0" fontId="15" fillId="0" borderId="1" xfId="0" applyFont="1" applyBorder="1" applyAlignment="1">
      <alignment vertical="top" wrapText="1"/>
    </xf>
    <xf numFmtId="0" fontId="15" fillId="9" borderId="1" xfId="0" applyFont="1" applyFill="1" applyBorder="1" applyAlignment="1">
      <alignment horizontal="center" vertical="center" wrapText="1"/>
    </xf>
    <xf numFmtId="0" fontId="19" fillId="0" borderId="1" xfId="0" applyFont="1" applyBorder="1" applyAlignment="1">
      <alignment wrapText="1"/>
    </xf>
    <xf numFmtId="0" fontId="15" fillId="10" borderId="1" xfId="0" applyFont="1" applyFill="1" applyBorder="1" applyAlignment="1">
      <alignment horizontal="left" vertical="center" wrapText="1"/>
    </xf>
    <xf numFmtId="0" fontId="15" fillId="0" borderId="1" xfId="0" applyFont="1" applyBorder="1" applyAlignment="1">
      <alignment horizontal="right" vertical="top" wrapText="1"/>
    </xf>
    <xf numFmtId="0" fontId="15" fillId="4" borderId="1" xfId="0" applyFont="1" applyFill="1" applyBorder="1" applyAlignment="1">
      <alignment horizontal="left" vertical="center" wrapText="1"/>
    </xf>
    <xf numFmtId="0" fontId="17" fillId="0" borderId="8" xfId="0" applyFont="1" applyBorder="1" applyAlignment="1">
      <alignment horizontal="center"/>
    </xf>
  </cellXfs>
  <cellStyles count="16">
    <cellStyle name="Millares [0] 2" xfId="7"/>
    <cellStyle name="Moneda" xfId="15" builtinId="4"/>
    <cellStyle name="Moneda [0]" xfId="2" builtinId="7"/>
    <cellStyle name="Moneda [0] 2" xfId="4"/>
    <cellStyle name="Moneda [0] 2 2" xfId="8"/>
    <cellStyle name="Normal" xfId="0" builtinId="0"/>
    <cellStyle name="Normal 2" xfId="3"/>
    <cellStyle name="Normal 2 2" xfId="14"/>
    <cellStyle name="Normal 3" xfId="6"/>
    <cellStyle name="Normal 4" xfId="9"/>
    <cellStyle name="Normal 5" xfId="10"/>
    <cellStyle name="Normal 6" xfId="12"/>
    <cellStyle name="Normal 7" xfId="5"/>
    <cellStyle name="Normal 8" xfId="13"/>
    <cellStyle name="Porcentaje" xfId="1" builtinId="5"/>
    <cellStyle name="Porcentaje 2"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externalLink" Target="externalLinks/externalLink7.xml"/><Relationship Id="rId55" Type="http://customschemas.google.com/relationships/workbookmetadata" Target="metadata"/><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59"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externalLink" Target="externalLinks/externalLink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8"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1.xml"/><Relationship Id="rId57" Type="http://schemas.openxmlformats.org/officeDocument/2006/relationships/connections" Target="connections.xml"/><Relationship Id="rId61"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externalLink" Target="externalLinks/externalLink5.xml"/><Relationship Id="rId6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56"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jpeg"/></Relationships>
</file>

<file path=xl/drawings/_rels/drawing5.xml.rels><?xml version="1.0" encoding="UTF-8" standalone="yes"?>
<Relationships xmlns="http://schemas.openxmlformats.org/package/2006/relationships"><Relationship Id="rId1" Type="http://schemas.openxmlformats.org/officeDocument/2006/relationships/image" Target="../media/image7.jpeg"/></Relationships>
</file>

<file path=xl/drawings/drawing1.xml><?xml version="1.0" encoding="utf-8"?>
<xdr:wsDr xmlns:xdr="http://schemas.openxmlformats.org/drawingml/2006/spreadsheetDrawing" xmlns:a="http://schemas.openxmlformats.org/drawingml/2006/main">
  <xdr:oneCellAnchor>
    <xdr:from>
      <xdr:col>0</xdr:col>
      <xdr:colOff>308181</xdr:colOff>
      <xdr:row>0</xdr:row>
      <xdr:rowOff>174113</xdr:rowOff>
    </xdr:from>
    <xdr:ext cx="866776" cy="809625"/>
    <xdr:pic>
      <xdr:nvPicPr>
        <xdr:cNvPr id="2" name="image1.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308181" y="174113"/>
          <a:ext cx="866776" cy="80962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3257550</xdr:colOff>
      <xdr:row>61</xdr:row>
      <xdr:rowOff>28575</xdr:rowOff>
    </xdr:from>
    <xdr:ext cx="2676525" cy="2286000"/>
    <xdr:pic>
      <xdr:nvPicPr>
        <xdr:cNvPr id="2" name="image4.png">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xfrm>
          <a:off x="3257550" y="12544425"/>
          <a:ext cx="2676525" cy="2286000"/>
        </a:xfrm>
        <a:prstGeom prst="rect">
          <a:avLst/>
        </a:prstGeom>
        <a:noFill/>
      </xdr:spPr>
    </xdr:pic>
    <xdr:clientData fLocksWithSheet="0"/>
  </xdr:oneCellAnchor>
  <xdr:twoCellAnchor editAs="oneCell">
    <xdr:from>
      <xdr:col>7</xdr:col>
      <xdr:colOff>0</xdr:colOff>
      <xdr:row>45</xdr:row>
      <xdr:rowOff>0</xdr:rowOff>
    </xdr:from>
    <xdr:to>
      <xdr:col>7</xdr:col>
      <xdr:colOff>304800</xdr:colOff>
      <xdr:row>46</xdr:row>
      <xdr:rowOff>133350</xdr:rowOff>
    </xdr:to>
    <xdr:sp macro="" textlink="">
      <xdr:nvSpPr>
        <xdr:cNvPr id="3073" name="AutoShape 1">
          <a:extLst>
            <a:ext uri="{FF2B5EF4-FFF2-40B4-BE49-F238E27FC236}">
              <a16:creationId xmlns:a16="http://schemas.microsoft.com/office/drawing/2014/main" id="{3CFF4FD9-B48F-2B9E-31B7-65BA3B0F9504}"/>
            </a:ext>
          </a:extLst>
        </xdr:cNvPr>
        <xdr:cNvSpPr>
          <a:spLocks noChangeAspect="1" noChangeArrowheads="1"/>
        </xdr:cNvSpPr>
      </xdr:nvSpPr>
      <xdr:spPr bwMode="auto">
        <a:xfrm>
          <a:off x="10753725" y="925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47</xdr:row>
      <xdr:rowOff>0</xdr:rowOff>
    </xdr:from>
    <xdr:to>
      <xdr:col>6</xdr:col>
      <xdr:colOff>304800</xdr:colOff>
      <xdr:row>47</xdr:row>
      <xdr:rowOff>304800</xdr:rowOff>
    </xdr:to>
    <xdr:sp macro="" textlink="">
      <xdr:nvSpPr>
        <xdr:cNvPr id="3074" name="AutoShape 2">
          <a:extLst>
            <a:ext uri="{FF2B5EF4-FFF2-40B4-BE49-F238E27FC236}">
              <a16:creationId xmlns:a16="http://schemas.microsoft.com/office/drawing/2014/main" id="{C293C2AC-098C-9F69-24EE-D7BF77B08D08}"/>
            </a:ext>
          </a:extLst>
        </xdr:cNvPr>
        <xdr:cNvSpPr>
          <a:spLocks noChangeAspect="1" noChangeArrowheads="1"/>
        </xdr:cNvSpPr>
      </xdr:nvSpPr>
      <xdr:spPr bwMode="auto">
        <a:xfrm>
          <a:off x="10172700" y="9629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285750</xdr:colOff>
      <xdr:row>44</xdr:row>
      <xdr:rowOff>79375</xdr:rowOff>
    </xdr:from>
    <xdr:to>
      <xdr:col>22</xdr:col>
      <xdr:colOff>36755</xdr:colOff>
      <xdr:row>56</xdr:row>
      <xdr:rowOff>79374</xdr:rowOff>
    </xdr:to>
    <xdr:pic>
      <xdr:nvPicPr>
        <xdr:cNvPr id="4" name="Imagen 3">
          <a:extLst>
            <a:ext uri="{FF2B5EF4-FFF2-40B4-BE49-F238E27FC236}">
              <a16:creationId xmlns:a16="http://schemas.microsoft.com/office/drawing/2014/main" id="{4D243FAF-CB1A-BE90-395D-E0010DB375D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255125" y="9175750"/>
          <a:ext cx="13362230" cy="2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2409825</xdr:colOff>
      <xdr:row>47</xdr:row>
      <xdr:rowOff>123825</xdr:rowOff>
    </xdr:from>
    <xdr:ext cx="3314700" cy="2124075"/>
    <xdr:pic>
      <xdr:nvPicPr>
        <xdr:cNvPr id="2" name="image10.png" title="Imagen">
          <a:extLst>
            <a:ext uri="{FF2B5EF4-FFF2-40B4-BE49-F238E27FC236}">
              <a16:creationId xmlns:a16="http://schemas.microsoft.com/office/drawing/2014/main" id="{00000000-0008-0000-19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2189126</xdr:colOff>
      <xdr:row>49</xdr:row>
      <xdr:rowOff>157421</xdr:rowOff>
    </xdr:from>
    <xdr:ext cx="2009775" cy="2219325"/>
    <xdr:pic>
      <xdr:nvPicPr>
        <xdr:cNvPr id="2" name="image14.png" title="Imagen">
          <a:extLst>
            <a:ext uri="{FF2B5EF4-FFF2-40B4-BE49-F238E27FC236}">
              <a16:creationId xmlns:a16="http://schemas.microsoft.com/office/drawing/2014/main" id="{00000000-0008-0000-1F00-000002000000}"/>
            </a:ext>
          </a:extLst>
        </xdr:cNvPr>
        <xdr:cNvPicPr preferRelativeResize="0"/>
      </xdr:nvPicPr>
      <xdr:blipFill>
        <a:blip xmlns:r="http://schemas.openxmlformats.org/officeDocument/2006/relationships" r:embed="rId1" cstate="print"/>
        <a:stretch>
          <a:fillRect/>
        </a:stretch>
      </xdr:blipFill>
      <xdr:spPr>
        <a:xfrm>
          <a:off x="2189126" y="10391258"/>
          <a:ext cx="2009775" cy="2219325"/>
        </a:xfrm>
        <a:prstGeom prst="rect">
          <a:avLst/>
        </a:prstGeom>
        <a:noFill/>
      </xdr:spPr>
    </xdr:pic>
    <xdr:clientData fLocksWithSheet="0"/>
  </xdr:oneCellAnchor>
  <xdr:oneCellAnchor>
    <xdr:from>
      <xdr:col>1</xdr:col>
      <xdr:colOff>635443</xdr:colOff>
      <xdr:row>49</xdr:row>
      <xdr:rowOff>157420</xdr:rowOff>
    </xdr:from>
    <xdr:ext cx="2200275" cy="2266950"/>
    <xdr:pic>
      <xdr:nvPicPr>
        <xdr:cNvPr id="3" name="image13.png" title="Imagen">
          <a:extLst>
            <a:ext uri="{FF2B5EF4-FFF2-40B4-BE49-F238E27FC236}">
              <a16:creationId xmlns:a16="http://schemas.microsoft.com/office/drawing/2014/main" id="{00000000-0008-0000-1F00-000003000000}"/>
            </a:ext>
          </a:extLst>
        </xdr:cNvPr>
        <xdr:cNvPicPr preferRelativeResize="0"/>
      </xdr:nvPicPr>
      <xdr:blipFill>
        <a:blip xmlns:r="http://schemas.openxmlformats.org/officeDocument/2006/relationships" r:embed="rId2" cstate="print"/>
        <a:stretch>
          <a:fillRect/>
        </a:stretch>
      </xdr:blipFill>
      <xdr:spPr>
        <a:xfrm>
          <a:off x="4570966" y="10413408"/>
          <a:ext cx="2200275" cy="22669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2876550</xdr:colOff>
      <xdr:row>56</xdr:row>
      <xdr:rowOff>47625</xdr:rowOff>
    </xdr:from>
    <xdr:ext cx="3790950" cy="2352675"/>
    <xdr:pic>
      <xdr:nvPicPr>
        <xdr:cNvPr id="2" name="image20.png" title="Imagen">
          <a:extLst>
            <a:ext uri="{FF2B5EF4-FFF2-40B4-BE49-F238E27FC236}">
              <a16:creationId xmlns:a16="http://schemas.microsoft.com/office/drawing/2014/main" id="{00000000-0008-0000-2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juang/Documents/APUs%20ProyectoTipo_Mitigacion%20temprana%20GP%202026%20def.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uang/Downloads/PRESUPUESTO%20Y%20APUs%20PRISER%2002.03.2026%20-%20SIN-AU.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uang/Downloads/APUs%20ProyectoTipo_LimpiezaQuebradas%202026.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epqs/Desktop/PROYECTOS%20TIPO/Mitigacion%20Temprana/Presupuesto%20tipo%20Mitigacion%20temprana%20final%20(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juang/Downloads/APUs_ProyectoTipo_LimpiezaQuebradas_2026.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juang/Documents/PRISER%202025/PRESUPUESTO%20Y%20APUs%20PRISER%20DESPROTEGIDOmenospes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juang/Documents/PRISER%202025/PRESUPUESTO%20Y%20APUs%20PRISER%20DES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IDADES"/>
      <sheetName val="INSUMOS"/>
      <sheetName val="CÁLCULO FP"/>
      <sheetName val="1.1 CERRAMIENTO"/>
      <sheetName val="1.2 ROCERIA"/>
      <sheetName val="2.1 DESMONTE GAVION"/>
      <sheetName val="2.2 TALA"/>
      <sheetName val="3.1 EXC MAN HET"/>
      <sheetName val="3.2 EXPLANACIÓN Y NIVELACIÓN"/>
      <sheetName val="3.3 PERFILADO Y RECONFORM TALUD"/>
      <sheetName val="4.1 LLENOS MAT EXC"/>
      <sheetName val="5.1 ENTIBADO TEMPORAL"/>
      <sheetName val="6.1 SOLADO"/>
      <sheetName val="6.2 CONCRETO CICLÓPEO"/>
      <sheetName val="6.3 CONCRETO 14 Mpa"/>
      <sheetName val="6.4 CONCRETO 28 Mpa"/>
      <sheetName val="7.1 TRINCHO EN GUADUA"/>
      <sheetName val="7.2 MURO EN GAVION CON PIEDRA"/>
      <sheetName val="7.3 CUNETA CONCRETO"/>
      <sheetName val="7.4 CAJA DISIPADORA"/>
      <sheetName val="7.5 FILTRO"/>
      <sheetName val="7.6 CUNETA SUELOCEMENTO"/>
      <sheetName val="7.7 HEXAPODOS"/>
      <sheetName val="7.8 ACERO DE REFUERZO"/>
      <sheetName val="7.9 SEMILLA REVEGETALIZACION"/>
      <sheetName val="EXC MAN RIO"/>
      <sheetName val="EXCAVACIÓN EN ROCA CEMENTO"/>
      <sheetName val="EXCAVACIÓN EN ROCA CUÑA"/>
      <sheetName val="ENTIBADO TEMPORAL en TELERAS"/>
      <sheetName val="CARGUE MANUAL, TRANSPORTE Y BOT"/>
      <sheetName val="VIGA ANTISOCAVACION"/>
      <sheetName val="MURO DE CONTENCIÓN"/>
      <sheetName val="MURO DE CONTENCIÓN (2)"/>
      <sheetName val="MURO DE CONTENCIÓN (3)"/>
      <sheetName val="MURO DE CONTENCIÓN (4)"/>
      <sheetName val="MANEJO AGUAS"/>
      <sheetName val="ENROCADO"/>
      <sheetName val="7.10 SELLAMIENTO"/>
      <sheetName val="8.1 EDUCACION Y SENSIBILIZACION"/>
      <sheetName val="CÁLCULO FACTOR PRESTACIONAL"/>
      <sheetName val="MANO DE OBRA"/>
      <sheetName val="CONCRETOS Y MORTEROS"/>
      <sheetName val="EQUIPOS"/>
    </sheetNames>
    <sheetDataSet>
      <sheetData sheetId="0">
        <row r="41">
          <cell r="C41" t="str">
            <v>und</v>
          </cell>
        </row>
      </sheetData>
      <sheetData sheetId="1">
        <row r="3">
          <cell r="E3">
            <v>625</v>
          </cell>
        </row>
        <row r="4">
          <cell r="E4">
            <v>4500</v>
          </cell>
        </row>
        <row r="7">
          <cell r="E7">
            <v>8454</v>
          </cell>
        </row>
        <row r="8">
          <cell r="E8">
            <v>128000</v>
          </cell>
        </row>
        <row r="10">
          <cell r="E10">
            <v>6000</v>
          </cell>
        </row>
        <row r="11">
          <cell r="E11">
            <v>36000</v>
          </cell>
        </row>
        <row r="12">
          <cell r="E12">
            <v>5100</v>
          </cell>
        </row>
        <row r="18">
          <cell r="E18">
            <v>15000</v>
          </cell>
        </row>
        <row r="46">
          <cell r="E46">
            <v>15000</v>
          </cell>
        </row>
      </sheetData>
      <sheetData sheetId="2">
        <row r="36">
          <cell r="D36">
            <v>155325.30840776724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35">
          <cell r="E35">
            <v>630119.30848771741</v>
          </cell>
        </row>
      </sheetData>
      <sheetData sheetId="15">
        <row r="35">
          <cell r="E35">
            <v>773197.98893049778</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dministración y Utilidad "/>
      <sheetName val="INSUMOS"/>
      <sheetName val="Jornal"/>
      <sheetName val="FACTOR PRESTACIONAL (para obra)"/>
      <sheetName val="1.1 Taller socialización"/>
      <sheetName val="1.2 Taller de enfoque PRISER (F"/>
      <sheetName val="1.3 Taller temático"/>
      <sheetName val="1.4 Evento cierre"/>
      <sheetName val="2.1 Restauración funcional"/>
      <sheetName val="2.2 Restauración pasiva"/>
      <sheetName val="2.3 fortalecimientoRestauración"/>
      <sheetName val="2.4 Control invasoras"/>
      <sheetName val="2.5 InventarioParticipativo"/>
      <sheetName val="2.6 RepoblamientoFlora"/>
      <sheetName val="2.7 Aviturismo"/>
      <sheetName val="2.8 RecuperaciónHumedales"/>
      <sheetName val="2,9 Restauración fuentes H"/>
      <sheetName val="3.1 Trincho madera inmunizada"/>
      <sheetName val="3.2 Revegetali. pasto "/>
      <sheetName val="3.3 Sellamiento"/>
      <sheetName val="3.4 Cuneta 0,2x0,3x0,08 "/>
      <sheetName val="4.1 Limpieza manual 0m-5m"/>
      <sheetName val="5.1 Parque mini madera plás"/>
      <sheetName val="5.2 Parque mini pasa mad. plást"/>
      <sheetName val="5.3 Parque mediano"/>
      <sheetName val="5.4 Mesa picnic"/>
      <sheetName val="5.5 Mesa hexagonal"/>
      <sheetName val="5.6 Punto ecológico con techo "/>
      <sheetName val="5.7 Paca biodigestora"/>
      <sheetName val="6.1 Nivelación de terreno"/>
      <sheetName val="6.2 Excava. 0-2m"/>
      <sheetName val="6.3Llenos"/>
      <sheetName val="6.4 señalética madera plástica"/>
      <sheetName val="6.5 señaletica madera Plastica"/>
      <sheetName val="6.6 Sendero ecológico con largu"/>
      <sheetName val="6.7 Adoquines"/>
      <sheetName val="6.8 Cordón prefabricado"/>
      <sheetName val="6.9 Banca con espaldar"/>
      <sheetName val=" 6.10 Cama huerta madera plásti"/>
      <sheetName val="6.11 Matera triple madera plást"/>
      <sheetName val="6.12 matera rectangu madera pla"/>
      <sheetName val="6.13 kiosco 16m2 madera plásti"/>
      <sheetName val="2.10 Siembra de árboles frutal"/>
      <sheetName val="3.4 Sellamiento"/>
    </sheetNames>
    <sheetDataSet>
      <sheetData sheetId="0">
        <row r="6">
          <cell r="B6" t="str">
            <v>Taller de socialización.</v>
          </cell>
        </row>
      </sheetData>
      <sheetData sheetId="1"/>
      <sheetData sheetId="2">
        <row r="6">
          <cell r="E6">
            <v>17900</v>
          </cell>
        </row>
      </sheetData>
      <sheetData sheetId="3"/>
      <sheetData sheetId="4">
        <row r="36">
          <cell r="D36">
            <v>142978.12595888888</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IDADES"/>
      <sheetName val="Administración y Utilidad "/>
      <sheetName val="CÁLCULO FP"/>
      <sheetName val="INSUMOS"/>
      <sheetName val="1.1 LIMPIEZA 5.00m"/>
      <sheetName val="1.2 LIMPIEZA 10.00 m"/>
      <sheetName val="1.3 ROCERIA"/>
      <sheetName val="2.1 CARGUE MAN TRANS Y BOT"/>
      <sheetName val="3.1 RECOLECCION COLCHONES"/>
      <sheetName val="3.2 Recolección material recup"/>
      <sheetName val="3.3 RECOLECCIÓN DE MUEBLES"/>
      <sheetName val="3.4Transporte muebles y colchon"/>
      <sheetName val="3,5 DIFUSION"/>
      <sheetName val="4,1 EDUCACION Y SENSIBILIZAC "/>
      <sheetName val="4,2 INICIO CAMPAÑA"/>
      <sheetName val="EQUIPOS"/>
      <sheetName val="LIMPIEZA 5.00m"/>
      <sheetName val="LIMPIEZA 10.00 m"/>
      <sheetName val="LIMPIEZA MECANIZADA"/>
      <sheetName val="ROCERIA"/>
      <sheetName val="CARGUE MANUAL, TRANSPORTE Y BOT"/>
      <sheetName val="EDUCACION Y SENSIBILIZACION"/>
      <sheetName val="DIFUSION"/>
      <sheetName val="RECOLECCION COLCHONES"/>
      <sheetName val="RECOLECCIÓN DE MUEBLES"/>
      <sheetName val="Transporte de muebles y colchon"/>
    </sheetNames>
    <sheetDataSet>
      <sheetData sheetId="0" refreshError="1"/>
      <sheetData sheetId="1" refreshError="1"/>
      <sheetData sheetId="2">
        <row r="36">
          <cell r="D36">
            <v>142978.12595888888</v>
          </cell>
          <cell r="F36">
            <v>179048.14194169862</v>
          </cell>
          <cell r="H36">
            <v>248437.67650876709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IDADES"/>
      <sheetName val="CÁLCULO FP"/>
      <sheetName val="INSUMOS"/>
      <sheetName val="CERRAMIENTO"/>
      <sheetName val="ROCERIA"/>
      <sheetName val="DESMONTE GAVION"/>
      <sheetName val="TALA"/>
      <sheetName val="EXC MAN HET"/>
      <sheetName val="EXC MAN RIO"/>
      <sheetName val="EXPLANACIÓN Y NIVELACIÓN"/>
      <sheetName val="EXCAVACIÓN EN ROCA CEMENTO"/>
      <sheetName val="EXCAVACIÓN EN ROCA CUÑA"/>
      <sheetName val="PERFILADO Y RECONFORM TALUDES"/>
      <sheetName val="LLENOS MAT EXC"/>
      <sheetName val="ENTIBADO TEMPORAL"/>
      <sheetName val="ENTIBADO TEMPORAL en TELERAS"/>
      <sheetName val="CARGUE MANUAL, TRANSPORTE Y BOT"/>
      <sheetName val="CONCRETO 14 Mpa"/>
      <sheetName val="CONCRETO 28 Mpa"/>
      <sheetName val="SOLADO"/>
      <sheetName val="CONCRETO CICLÓPEO"/>
      <sheetName val="TRINCHO EN GUADUA"/>
      <sheetName val="MURO EN GAVION CON PIEDRA"/>
      <sheetName val="VIGA ANTISOCAVACION"/>
      <sheetName val="MURO DE CONTENCIÓN"/>
      <sheetName val="MURO DE CONTENCIÓN (2)"/>
      <sheetName val="MURO DE CONTENCIÓN (3)"/>
      <sheetName val="MURO DE CONTENCIÓN (4)"/>
      <sheetName val="CUNETA CONCRETO"/>
      <sheetName val="CAJA DISIPADORA"/>
      <sheetName val="FILTRO"/>
      <sheetName val="CUNETA SUELOCEMENTO"/>
      <sheetName val="MANEJO AGUAS"/>
      <sheetName val="HEXAPODOS"/>
      <sheetName val="ACERO DE REFUERZO"/>
      <sheetName val="SEMILLA PARA REVEGETALIZACION"/>
      <sheetName val="ENROCADO"/>
      <sheetName val="SELLAMIENTO"/>
      <sheetName val="EDUCACION Y SENSIBILIZACION"/>
      <sheetName val="CÁLCULO FACTOR PRESTACIONAL"/>
      <sheetName val="MANO DE OBRA"/>
      <sheetName val="CONCRETOS Y MORTEROS"/>
      <sheetName val="EQUIP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IDADES"/>
      <sheetName val="Administración y Utilidad "/>
      <sheetName val="CÁLCULO FP"/>
      <sheetName val="INSUMOS"/>
      <sheetName val="1.1 LIMPIEZA 5.00m"/>
      <sheetName val="1.2 LIMPIEZA 10.00 m"/>
      <sheetName val="1.3 ROCERIA"/>
      <sheetName val="2.1 CARGUE MAN TRANS Y BOT"/>
      <sheetName val="3.1 RECOLECCION COLCHONES"/>
      <sheetName val="3.2 Recolección material recup"/>
      <sheetName val="3.3 RECOLECCIÓN DE MUEBLES"/>
      <sheetName val="3.4Transporte muebles y colchon"/>
      <sheetName val="3,5 DIFUSION"/>
      <sheetName val="4,1 EDUCACION Y SENSIBILIZAC "/>
      <sheetName val="4,2 INICIO CAMPAÑA"/>
      <sheetName val="EQUIPOS"/>
    </sheetNames>
    <sheetDataSet>
      <sheetData sheetId="0">
        <row r="17">
          <cell r="B17" t="str">
            <v>Difusión de la campaña</v>
          </cell>
        </row>
      </sheetData>
      <sheetData sheetId="1" refreshError="1"/>
      <sheetData sheetId="2">
        <row r="36">
          <cell r="D36">
            <v>142978.12595888888</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FACTOR PRESTACIONAL (para obra)"/>
      <sheetName val="1.1 Taller socialización"/>
      <sheetName val="1.2 Taller de enfoque PRISER (F"/>
      <sheetName val="1.3 Taller temático"/>
      <sheetName val="1.4 Evento cierre"/>
      <sheetName val="2.1 Restauración funcional"/>
      <sheetName val="2.2 Restauración pasiva"/>
      <sheetName val="2.3 fortalecimientoRestauración"/>
      <sheetName val="2.4 Control invasoras"/>
      <sheetName val="2.5 InventarioParticipativo"/>
      <sheetName val="2.6 RepoblamientoFlora"/>
      <sheetName val="2.7 Aviturismo"/>
      <sheetName val="2.8 RecuperaciónHumedales"/>
      <sheetName val="3.1 Trincho madera inmunizada"/>
      <sheetName val="3.2 Revegetali. pasto vetiver"/>
      <sheetName val="3.3 Limpieza manual 0m-5m"/>
      <sheetName val="3.4 Limpieza manual 5,01m-10m"/>
      <sheetName val="3.5 Rocería"/>
      <sheetName val="3.6 Sellamiento"/>
      <sheetName val="4.1 Parque mini madera plás"/>
      <sheetName val="4.2 Parque mini pasa mad. plást"/>
      <sheetName val="4.3 Parque mediano"/>
      <sheetName val="4.4 Mesa picnic"/>
      <sheetName val="4.5 Mesa hexagonal"/>
      <sheetName val="4.6 Punto ecológico con techo "/>
      <sheetName val="4.7 Paca biodigestora"/>
      <sheetName val="5.1 Nivelación de terreno"/>
      <sheetName val="5.2 Excava. 0-2m"/>
      <sheetName val="5.3Llenos"/>
      <sheetName val="5.4 señalética madera plástica"/>
      <sheetName val="5.5 Sendero ecológico con largu"/>
      <sheetName val="5.6 Adoquines"/>
      <sheetName val="5.7 Cordón prefabricado"/>
      <sheetName val="5.8 Banca con espaldar"/>
      <sheetName val=" 5.9 Cama huerta madera plástic"/>
      <sheetName val="5.10 Matera triple madera plást"/>
      <sheetName val="5.11 matera rectangu madera pla"/>
      <sheetName val="5.12 kiosco 16m2 madera plásti"/>
      <sheetName val="APU1"/>
      <sheetName val="APU2"/>
      <sheetName val="APU3"/>
    </sheetNames>
    <sheetDataSet>
      <sheetData sheetId="0">
        <row r="12">
          <cell r="B12" t="str">
            <v>Suministro, transporte e instalación de cerramiento para restauración pasiva con estacones en madera inmunizada y alambre de púas.</v>
          </cell>
        </row>
      </sheetData>
      <sheetData sheetId="1">
        <row r="4">
          <cell r="E4">
            <v>680</v>
          </cell>
        </row>
        <row r="7">
          <cell r="E7">
            <v>5100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FACTOR PRESTACIONAL (para obra)"/>
      <sheetName val="1.1 Taller socialización"/>
      <sheetName val="1.2 Taller de enfoque PRISER (F"/>
      <sheetName val="1.3 Taller temático"/>
      <sheetName val="1.4 Evento cierre"/>
      <sheetName val="2.1 Restauración funcional"/>
      <sheetName val="2.2 Restauración pasiva"/>
      <sheetName val="2.3 fortalecimientoRestauración"/>
      <sheetName val="2.4 Control invasoras"/>
      <sheetName val="2.5 InventarioParticipativo"/>
      <sheetName val="2.6 RepoblamientoFlora"/>
      <sheetName val="2.7 Aviturismo"/>
      <sheetName val="2.8 RecuperaciónHumedales"/>
      <sheetName val="3.1 Trincho madera inmunizada"/>
      <sheetName val="3.2 Revegetali. pasto vetiver"/>
      <sheetName val="3.3 Limpieza manual 0m-5m"/>
      <sheetName val="3.4 Limpieza manual 5,01m-10m"/>
      <sheetName val="3.5 Rocería"/>
      <sheetName val="3.6 Sellamiento"/>
      <sheetName val="4.1 Parque mini madera plás"/>
      <sheetName val="4.2 Parque mini pasa mad. plást"/>
      <sheetName val="4.3 Parque mediano"/>
      <sheetName val="4.4 Mesa picnic"/>
      <sheetName val="4.5 Mesa hexagonal"/>
      <sheetName val="4.6 Punto ecológico con techo "/>
      <sheetName val="4.7 Paca biodigestora"/>
      <sheetName val="5.1 Nivelación de terreno"/>
      <sheetName val="5.2 Excava. 0-2m"/>
      <sheetName val="5.3Llenos"/>
      <sheetName val="5.4 señalética madera plástica"/>
      <sheetName val="5.5 Sendero ecológico con largu"/>
      <sheetName val="5.6 Adoquines"/>
      <sheetName val="5.7 Cordón prefabricado"/>
      <sheetName val="5.8 Banca con espaldar"/>
      <sheetName val=" 5.9 Cama huerta madera plástic"/>
      <sheetName val="5.10 Matera triple madera plást"/>
      <sheetName val="5.11 matera rectangu madera pla"/>
      <sheetName val="5.12 kiosco 16m2 madera plásti"/>
    </sheetNames>
    <sheetDataSet>
      <sheetData sheetId="0">
        <row r="94">
          <cell r="B94">
            <v>0</v>
          </cell>
          <cell r="C94">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T62"/>
  <sheetViews>
    <sheetView tabSelected="1" topLeftCell="A4" zoomScale="90" zoomScaleNormal="90" workbookViewId="0">
      <selection activeCell="D30" sqref="D30"/>
    </sheetView>
  </sheetViews>
  <sheetFormatPr baseColWidth="10" defaultColWidth="12.5" defaultRowHeight="14.25"/>
  <cols>
    <col min="1" max="1" width="10" customWidth="1"/>
    <col min="2" max="2" width="68.875" customWidth="1"/>
    <col min="3" max="4" width="11" customWidth="1"/>
    <col min="5" max="5" width="17.625" customWidth="1"/>
    <col min="6" max="6" width="19.625" customWidth="1"/>
    <col min="7" max="7" width="17.625" customWidth="1"/>
    <col min="8" max="8" width="19.5" customWidth="1"/>
    <col min="9" max="9" width="24.5" customWidth="1"/>
    <col min="10" max="13" width="20.875" customWidth="1"/>
    <col min="14" max="16" width="10.5" customWidth="1"/>
    <col min="20" max="20" width="13.5" bestFit="1" customWidth="1"/>
  </cols>
  <sheetData>
    <row r="1" spans="1:20" ht="80.25" customHeight="1">
      <c r="A1" s="336" t="s">
        <v>0</v>
      </c>
      <c r="B1" s="337"/>
      <c r="C1" s="337"/>
      <c r="D1" s="337"/>
      <c r="E1" s="337"/>
      <c r="F1" s="338"/>
      <c r="G1" s="338"/>
      <c r="H1" s="338"/>
      <c r="I1" s="339"/>
    </row>
    <row r="2" spans="1:20" ht="18" customHeight="1">
      <c r="A2" s="340">
        <v>2026</v>
      </c>
      <c r="B2" s="337"/>
      <c r="C2" s="337"/>
      <c r="D2" s="337"/>
      <c r="E2" s="337"/>
      <c r="F2" s="338"/>
      <c r="G2" s="338"/>
      <c r="H2" s="338"/>
      <c r="I2" s="339"/>
    </row>
    <row r="3" spans="1:20" ht="27" customHeight="1">
      <c r="A3" s="341" t="s">
        <v>1</v>
      </c>
      <c r="B3" s="342"/>
      <c r="C3" s="342"/>
      <c r="D3" s="342"/>
      <c r="E3" s="342"/>
      <c r="F3" s="342"/>
      <c r="G3" s="342"/>
      <c r="H3" s="342"/>
      <c r="I3" s="343"/>
      <c r="K3" s="304"/>
    </row>
    <row r="4" spans="1:20" ht="24">
      <c r="A4" s="169" t="s">
        <v>2</v>
      </c>
      <c r="B4" s="170" t="s">
        <v>3</v>
      </c>
      <c r="C4" s="170" t="s">
        <v>4</v>
      </c>
      <c r="D4" s="170" t="s">
        <v>5</v>
      </c>
      <c r="E4" s="170" t="s">
        <v>340</v>
      </c>
      <c r="F4" s="170" t="s">
        <v>341</v>
      </c>
      <c r="G4" s="170" t="s">
        <v>331</v>
      </c>
      <c r="H4" s="170" t="s">
        <v>342</v>
      </c>
      <c r="I4" s="170" t="s">
        <v>339</v>
      </c>
      <c r="J4" s="170" t="s">
        <v>375</v>
      </c>
      <c r="K4" s="170" t="s">
        <v>376</v>
      </c>
      <c r="L4" s="170" t="s">
        <v>381</v>
      </c>
      <c r="M4" s="170" t="s">
        <v>380</v>
      </c>
    </row>
    <row r="5" spans="1:20">
      <c r="A5" s="3">
        <v>1</v>
      </c>
      <c r="B5" s="251" t="s">
        <v>8</v>
      </c>
      <c r="C5" s="252"/>
      <c r="D5" s="252"/>
      <c r="E5" s="252"/>
      <c r="F5" s="252"/>
      <c r="G5" s="252"/>
      <c r="H5" s="252"/>
      <c r="I5" s="253"/>
      <c r="J5" s="311"/>
      <c r="K5" s="311"/>
      <c r="L5" s="311"/>
      <c r="M5" s="311"/>
    </row>
    <row r="6" spans="1:20">
      <c r="A6" s="225" t="s">
        <v>9</v>
      </c>
      <c r="B6" s="211" t="s">
        <v>10</v>
      </c>
      <c r="C6" s="212" t="s">
        <v>11</v>
      </c>
      <c r="D6" s="215">
        <v>1</v>
      </c>
      <c r="E6" s="291">
        <f>IFERROR('1.1 Taller socialización'!E32,0)</f>
        <v>492000</v>
      </c>
      <c r="F6" s="216">
        <f>E6*D6</f>
        <v>492000</v>
      </c>
      <c r="G6" s="216">
        <v>0</v>
      </c>
      <c r="H6" s="216"/>
      <c r="I6" s="249">
        <f>+D6*E6</f>
        <v>492000</v>
      </c>
      <c r="J6" s="320">
        <v>492000</v>
      </c>
      <c r="K6" s="313"/>
      <c r="L6" s="313"/>
      <c r="M6" s="312"/>
    </row>
    <row r="7" spans="1:20">
      <c r="A7" s="225" t="s">
        <v>12</v>
      </c>
      <c r="B7" s="211" t="s">
        <v>13</v>
      </c>
      <c r="C7" s="212" t="s">
        <v>11</v>
      </c>
      <c r="D7" s="215">
        <v>1</v>
      </c>
      <c r="E7" s="291">
        <f>IFERROR('1.2 Taller de enfoque PRISER (F'!E32,0)</f>
        <v>492000</v>
      </c>
      <c r="F7" s="216">
        <f t="shared" ref="F7:F9" si="0">E7*D7</f>
        <v>492000</v>
      </c>
      <c r="G7" s="216">
        <v>0</v>
      </c>
      <c r="H7" s="216"/>
      <c r="I7" s="249">
        <f t="shared" ref="I7:I9" si="1">+D7*E7</f>
        <v>492000</v>
      </c>
      <c r="J7" s="321">
        <v>492000</v>
      </c>
      <c r="K7" s="312"/>
      <c r="L7" s="312"/>
      <c r="M7" s="313"/>
    </row>
    <row r="8" spans="1:20">
      <c r="A8" s="2" t="s">
        <v>14</v>
      </c>
      <c r="B8" s="226" t="s">
        <v>15</v>
      </c>
      <c r="C8" s="227" t="s">
        <v>11</v>
      </c>
      <c r="D8" s="228">
        <v>1</v>
      </c>
      <c r="E8" s="292">
        <f>IFERROR('1.3 Taller temático'!E32,0)</f>
        <v>492000</v>
      </c>
      <c r="F8" s="216">
        <f t="shared" si="0"/>
        <v>492000</v>
      </c>
      <c r="G8" s="216">
        <v>0</v>
      </c>
      <c r="H8" s="246"/>
      <c r="I8" s="250">
        <f t="shared" si="1"/>
        <v>492000</v>
      </c>
      <c r="J8" s="321">
        <v>492000</v>
      </c>
      <c r="K8" s="312"/>
      <c r="L8" s="312"/>
      <c r="M8" s="312"/>
      <c r="S8" s="242"/>
      <c r="T8" s="242"/>
    </row>
    <row r="9" spans="1:20">
      <c r="A9" s="214" t="s">
        <v>16</v>
      </c>
      <c r="B9" s="211" t="s">
        <v>17</v>
      </c>
      <c r="C9" s="212" t="s">
        <v>11</v>
      </c>
      <c r="D9" s="215">
        <v>1</v>
      </c>
      <c r="E9" s="291">
        <f>IFERROR('1.4 Evento cierre'!E34,0)</f>
        <v>603500</v>
      </c>
      <c r="F9" s="216">
        <f t="shared" si="0"/>
        <v>603500</v>
      </c>
      <c r="G9" s="216">
        <v>0</v>
      </c>
      <c r="H9" s="216"/>
      <c r="I9" s="249">
        <f t="shared" si="1"/>
        <v>603500</v>
      </c>
      <c r="J9" s="321">
        <v>603500</v>
      </c>
      <c r="K9" s="312"/>
      <c r="L9" s="312"/>
      <c r="M9" s="312"/>
      <c r="T9" s="242"/>
    </row>
    <row r="10" spans="1:20">
      <c r="A10" s="262">
        <v>2</v>
      </c>
      <c r="B10" s="251" t="s">
        <v>338</v>
      </c>
      <c r="C10" s="252"/>
      <c r="D10" s="252"/>
      <c r="E10" s="252"/>
      <c r="F10" s="252"/>
      <c r="G10" s="252"/>
      <c r="H10" s="252"/>
      <c r="I10" s="253"/>
      <c r="J10" s="311"/>
      <c r="K10" s="311"/>
      <c r="L10" s="311"/>
      <c r="M10" s="311"/>
    </row>
    <row r="11" spans="1:20">
      <c r="A11" s="261" t="s">
        <v>18</v>
      </c>
      <c r="B11" s="211" t="s">
        <v>19</v>
      </c>
      <c r="C11" s="212" t="s">
        <v>20</v>
      </c>
      <c r="D11" s="144">
        <v>0</v>
      </c>
      <c r="E11" s="293">
        <f>IFERROR(#REF!,0)</f>
        <v>0</v>
      </c>
      <c r="F11" s="229">
        <f>E11*D11</f>
        <v>0</v>
      </c>
      <c r="G11" s="213" t="str">
        <f>IF(D11=0,"0",((1*E11)*$E$52))</f>
        <v>0</v>
      </c>
      <c r="H11" s="305">
        <f>ROUND(E11+G11,0)</f>
        <v>0</v>
      </c>
      <c r="I11" s="248">
        <f>ROUND((D11*H11),0)</f>
        <v>0</v>
      </c>
      <c r="J11" s="312"/>
      <c r="K11" s="313"/>
      <c r="L11" s="312"/>
      <c r="M11" s="312"/>
    </row>
    <row r="12" spans="1:20" ht="24">
      <c r="A12" s="4" t="s">
        <v>21</v>
      </c>
      <c r="B12" s="211" t="s">
        <v>22</v>
      </c>
      <c r="C12" s="212" t="s">
        <v>94</v>
      </c>
      <c r="D12" s="144">
        <v>118</v>
      </c>
      <c r="E12" s="293">
        <f ca="1">IFERROR('2.2 Restauración pasiva'!E37,0)</f>
        <v>23791</v>
      </c>
      <c r="F12" s="229">
        <f ca="1">E12*D12</f>
        <v>2807338</v>
      </c>
      <c r="G12" s="213">
        <f ca="1">IF(D12=0,"0",((1*E12)*$E$52))</f>
        <v>3449.6949999999997</v>
      </c>
      <c r="H12" s="305">
        <f ca="1">ROUND(E12+G12,0)</f>
        <v>27241</v>
      </c>
      <c r="I12" s="248">
        <f ca="1">ROUND((D12*H12),0)</f>
        <v>3214438</v>
      </c>
      <c r="J12" s="321">
        <v>1524705</v>
      </c>
      <c r="K12" s="312"/>
      <c r="L12" s="312"/>
      <c r="M12" s="320">
        <v>1689733</v>
      </c>
    </row>
    <row r="13" spans="1:20">
      <c r="A13" s="4" t="s">
        <v>24</v>
      </c>
      <c r="B13" s="211" t="s">
        <v>25</v>
      </c>
      <c r="C13" s="212" t="s">
        <v>20</v>
      </c>
      <c r="D13" s="144">
        <v>0</v>
      </c>
      <c r="E13" s="293">
        <f>IFERROR(#REF!,0)</f>
        <v>0</v>
      </c>
      <c r="F13" s="229">
        <f>E13*D13</f>
        <v>0</v>
      </c>
      <c r="G13" s="213" t="str">
        <f>IF(D13=0,"0",((1*E13)*$E$52))</f>
        <v>0</v>
      </c>
      <c r="H13" s="305">
        <f t="shared" ref="H13:H14" si="2">ROUND(E13+G13,0)</f>
        <v>0</v>
      </c>
      <c r="I13" s="248">
        <f t="shared" ref="I13:I19" si="3">ROUND((D13*H13),0)</f>
        <v>0</v>
      </c>
      <c r="J13" s="312"/>
      <c r="K13" s="312"/>
      <c r="L13" s="312"/>
      <c r="M13" s="312"/>
    </row>
    <row r="14" spans="1:20">
      <c r="A14" s="4" t="s">
        <v>26</v>
      </c>
      <c r="B14" s="211" t="s">
        <v>27</v>
      </c>
      <c r="C14" s="212" t="s">
        <v>28</v>
      </c>
      <c r="D14" s="144">
        <v>0</v>
      </c>
      <c r="E14" s="293">
        <f>IFERROR(#REF!,0)</f>
        <v>0</v>
      </c>
      <c r="F14" s="229">
        <f t="shared" ref="F14:F19" si="4">E14*D14</f>
        <v>0</v>
      </c>
      <c r="G14" s="213" t="str">
        <f>IF(D14=0,"0",((1*E14)*$E$52))</f>
        <v>0</v>
      </c>
      <c r="H14" s="305">
        <f t="shared" si="2"/>
        <v>0</v>
      </c>
      <c r="I14" s="248">
        <f t="shared" si="3"/>
        <v>0</v>
      </c>
      <c r="J14" s="312"/>
      <c r="K14" s="312"/>
      <c r="L14" s="313"/>
      <c r="M14" s="312"/>
    </row>
    <row r="15" spans="1:20">
      <c r="A15" s="4" t="s">
        <v>29</v>
      </c>
      <c r="B15" s="211" t="s">
        <v>30</v>
      </c>
      <c r="C15" s="212" t="s">
        <v>11</v>
      </c>
      <c r="D15" s="144">
        <v>0</v>
      </c>
      <c r="E15" s="293">
        <f>IFERROR(#REF!,0)</f>
        <v>0</v>
      </c>
      <c r="F15" s="229">
        <f t="shared" si="4"/>
        <v>0</v>
      </c>
      <c r="G15" s="213">
        <v>0</v>
      </c>
      <c r="H15" s="294"/>
      <c r="I15" s="248">
        <f>ROUND((D15*E15),0)</f>
        <v>0</v>
      </c>
      <c r="J15" s="312"/>
      <c r="K15" s="312"/>
      <c r="L15" s="312"/>
      <c r="M15" s="312"/>
    </row>
    <row r="16" spans="1:20">
      <c r="A16" s="4" t="s">
        <v>31</v>
      </c>
      <c r="B16" s="211" t="s">
        <v>32</v>
      </c>
      <c r="C16" s="212" t="s">
        <v>11</v>
      </c>
      <c r="D16" s="144">
        <v>0</v>
      </c>
      <c r="E16" s="293">
        <f>IFERROR(#REF!,0)</f>
        <v>0</v>
      </c>
      <c r="F16" s="229">
        <f t="shared" si="4"/>
        <v>0</v>
      </c>
      <c r="G16" s="213" t="str">
        <f>IF(D16=0,"0",((1*E16)*$E$52))</f>
        <v>0</v>
      </c>
      <c r="H16" s="305">
        <f>ROUND(E16+G16,0)</f>
        <v>0</v>
      </c>
      <c r="I16" s="248">
        <f t="shared" si="3"/>
        <v>0</v>
      </c>
      <c r="J16" s="312"/>
      <c r="K16" s="312"/>
      <c r="L16" s="312"/>
      <c r="M16" s="312"/>
    </row>
    <row r="17" spans="1:13">
      <c r="A17" s="4" t="s">
        <v>33</v>
      </c>
      <c r="B17" s="211" t="s">
        <v>34</v>
      </c>
      <c r="C17" s="212" t="s">
        <v>11</v>
      </c>
      <c r="D17" s="144">
        <v>0</v>
      </c>
      <c r="E17" s="293">
        <f>IFERROR(#REF!,0)</f>
        <v>0</v>
      </c>
      <c r="F17" s="229">
        <f t="shared" si="4"/>
        <v>0</v>
      </c>
      <c r="G17" s="213">
        <v>0</v>
      </c>
      <c r="H17" s="294"/>
      <c r="I17" s="248">
        <f>ROUND((D17*E17),0)</f>
        <v>0</v>
      </c>
      <c r="J17" s="312"/>
      <c r="K17" s="312"/>
      <c r="L17" s="312"/>
      <c r="M17" s="312"/>
    </row>
    <row r="18" spans="1:13">
      <c r="A18" s="4" t="s">
        <v>35</v>
      </c>
      <c r="B18" s="211" t="s">
        <v>36</v>
      </c>
      <c r="C18" s="212" t="s">
        <v>28</v>
      </c>
      <c r="D18" s="144">
        <v>0</v>
      </c>
      <c r="E18" s="294">
        <f>IFERROR(#REF!,0)</f>
        <v>0</v>
      </c>
      <c r="F18" s="229">
        <f t="shared" si="4"/>
        <v>0</v>
      </c>
      <c r="G18" s="213" t="str">
        <f>IF(D18=0,"0",((1*E18)*$E$52))</f>
        <v>0</v>
      </c>
      <c r="H18" s="305">
        <f>ROUND(E18+G18,0)</f>
        <v>0</v>
      </c>
      <c r="I18" s="248">
        <f t="shared" si="3"/>
        <v>0</v>
      </c>
      <c r="J18" s="312"/>
      <c r="K18" s="317"/>
      <c r="L18" s="312"/>
      <c r="M18" s="312"/>
    </row>
    <row r="19" spans="1:13">
      <c r="A19" s="264" t="s">
        <v>298</v>
      </c>
      <c r="B19" s="211" t="s">
        <v>326</v>
      </c>
      <c r="C19" s="265" t="s">
        <v>327</v>
      </c>
      <c r="D19" s="144">
        <v>0</v>
      </c>
      <c r="E19" s="294">
        <f>IFERROR(#REF!,0)</f>
        <v>0</v>
      </c>
      <c r="F19" s="229">
        <f t="shared" si="4"/>
        <v>0</v>
      </c>
      <c r="G19" s="213" t="str">
        <f>IF(D19=0,"0",((1*E19)*$E$52))</f>
        <v>0</v>
      </c>
      <c r="H19" s="305">
        <f>ROUND(E19+G19,0)</f>
        <v>0</v>
      </c>
      <c r="I19" s="248">
        <f t="shared" si="3"/>
        <v>0</v>
      </c>
      <c r="J19" s="312"/>
      <c r="K19" s="312"/>
      <c r="L19" s="313"/>
      <c r="M19" s="312"/>
    </row>
    <row r="20" spans="1:13">
      <c r="A20" s="3">
        <v>3</v>
      </c>
      <c r="B20" s="251" t="s">
        <v>365</v>
      </c>
      <c r="C20" s="252"/>
      <c r="D20" s="252"/>
      <c r="E20" s="306"/>
      <c r="F20" s="252"/>
      <c r="G20" s="252"/>
      <c r="H20" s="306"/>
      <c r="I20" s="253"/>
      <c r="J20" s="311"/>
      <c r="K20" s="311"/>
      <c r="L20" s="311"/>
      <c r="M20" s="311"/>
    </row>
    <row r="21" spans="1:13" ht="39.75" customHeight="1">
      <c r="A21" s="220" t="s">
        <v>37</v>
      </c>
      <c r="B21" s="211" t="s">
        <v>38</v>
      </c>
      <c r="C21" s="212" t="s">
        <v>94</v>
      </c>
      <c r="D21" s="144">
        <v>0</v>
      </c>
      <c r="E21" s="295">
        <f>IFERROR(#REF!,0)</f>
        <v>0</v>
      </c>
      <c r="F21" s="221">
        <f>E21*D21</f>
        <v>0</v>
      </c>
      <c r="G21" s="213" t="str">
        <f>IF(D21=0,"0",((E21)*$E$52))</f>
        <v>0</v>
      </c>
      <c r="H21" s="305">
        <f>ROUND(E21+G21,0)</f>
        <v>0</v>
      </c>
      <c r="I21" s="222">
        <f>ROUND(H21*D21,0)</f>
        <v>0</v>
      </c>
      <c r="J21" s="312"/>
      <c r="K21" s="312"/>
      <c r="L21" s="312"/>
      <c r="M21" s="312"/>
    </row>
    <row r="22" spans="1:13" ht="18.75" customHeight="1">
      <c r="A22" s="220" t="s">
        <v>39</v>
      </c>
      <c r="B22" s="211" t="s">
        <v>344</v>
      </c>
      <c r="C22" s="212" t="s">
        <v>28</v>
      </c>
      <c r="D22" s="144">
        <v>0</v>
      </c>
      <c r="E22" s="295">
        <f>IFERROR(#REF!,0)</f>
        <v>0</v>
      </c>
      <c r="F22" s="221">
        <f t="shared" ref="F22:F26" si="5">E22*D22</f>
        <v>0</v>
      </c>
      <c r="G22" s="213" t="str">
        <f>IF(D22=0,"0",((E22)*$E$52))</f>
        <v>0</v>
      </c>
      <c r="H22" s="305">
        <f t="shared" ref="H22:H24" si="6">ROUND(E22+G22,0)</f>
        <v>0</v>
      </c>
      <c r="I22" s="222">
        <f t="shared" ref="I22:I26" si="7">ROUND(H22*D22,0)</f>
        <v>0</v>
      </c>
      <c r="J22" s="312"/>
      <c r="K22" s="312"/>
      <c r="L22" s="312"/>
      <c r="M22" s="313"/>
    </row>
    <row r="23" spans="1:13" ht="29.25" customHeight="1">
      <c r="A23" s="220" t="s">
        <v>371</v>
      </c>
      <c r="B23" s="211" t="s">
        <v>41</v>
      </c>
      <c r="C23" s="212" t="s">
        <v>94</v>
      </c>
      <c r="D23" s="144">
        <v>0</v>
      </c>
      <c r="E23" s="295">
        <f>IFERROR(#REF!,0)</f>
        <v>0</v>
      </c>
      <c r="F23" s="221">
        <f>E23*D23</f>
        <v>0</v>
      </c>
      <c r="G23" s="213" t="str">
        <f>IF(D23=0,"0",((E23)*$E$52))</f>
        <v>0</v>
      </c>
      <c r="H23" s="305">
        <f t="shared" si="6"/>
        <v>0</v>
      </c>
      <c r="I23" s="222">
        <f>ROUND(H23*D23,0)</f>
        <v>0</v>
      </c>
      <c r="J23" s="312"/>
      <c r="K23" s="312"/>
      <c r="L23" s="313"/>
      <c r="M23" s="312"/>
    </row>
    <row r="24" spans="1:13" ht="29.25" customHeight="1">
      <c r="A24" s="220" t="s">
        <v>40</v>
      </c>
      <c r="B24" s="211" t="s">
        <v>374</v>
      </c>
      <c r="C24" s="212" t="s">
        <v>94</v>
      </c>
      <c r="D24" s="144">
        <v>0</v>
      </c>
      <c r="E24" s="295">
        <f>IFERROR(#REF!,0)</f>
        <v>0</v>
      </c>
      <c r="F24" s="221">
        <f>E24*D24</f>
        <v>0</v>
      </c>
      <c r="G24" s="213" t="str">
        <f>IF(D24=0,"0",((E24)*$E$52))</f>
        <v>0</v>
      </c>
      <c r="H24" s="305">
        <f t="shared" si="6"/>
        <v>0</v>
      </c>
      <c r="I24" s="222">
        <f>ROUND(H24*D24,0)</f>
        <v>0</v>
      </c>
      <c r="J24" s="312"/>
      <c r="K24" s="312"/>
      <c r="L24" s="312"/>
      <c r="M24" s="313"/>
    </row>
    <row r="25" spans="1:13" ht="18.75" customHeight="1">
      <c r="A25" s="3">
        <v>4</v>
      </c>
      <c r="B25" s="278" t="s">
        <v>366</v>
      </c>
      <c r="C25" s="252"/>
      <c r="D25" s="252"/>
      <c r="E25" s="306"/>
      <c r="F25" s="252"/>
      <c r="G25" s="252"/>
      <c r="H25" s="306"/>
      <c r="I25" s="253"/>
      <c r="J25" s="311"/>
      <c r="K25" s="311"/>
      <c r="L25" s="311"/>
      <c r="M25" s="311"/>
    </row>
    <row r="26" spans="1:13" ht="36">
      <c r="A26" s="220" t="s">
        <v>42</v>
      </c>
      <c r="B26" s="271" t="s">
        <v>350</v>
      </c>
      <c r="C26" s="212" t="s">
        <v>94</v>
      </c>
      <c r="D26" s="144">
        <v>0</v>
      </c>
      <c r="E26" s="295">
        <f>IFERROR(#REF!,0)</f>
        <v>0</v>
      </c>
      <c r="F26" s="221">
        <f t="shared" si="5"/>
        <v>0</v>
      </c>
      <c r="G26" s="213" t="str">
        <f>IF(D26=0,"0",((E26)*$E$52))</f>
        <v>0</v>
      </c>
      <c r="H26" s="305">
        <f>ROUND(E26+G26,)</f>
        <v>0</v>
      </c>
      <c r="I26" s="222">
        <f t="shared" si="7"/>
        <v>0</v>
      </c>
      <c r="J26" s="312"/>
      <c r="K26" s="312"/>
      <c r="L26" s="312"/>
      <c r="M26" s="312"/>
    </row>
    <row r="27" spans="1:13">
      <c r="A27" s="3">
        <v>5</v>
      </c>
      <c r="B27" s="251" t="s">
        <v>349</v>
      </c>
      <c r="C27" s="252"/>
      <c r="D27" s="252"/>
      <c r="E27" s="306"/>
      <c r="F27" s="252"/>
      <c r="G27" s="252"/>
      <c r="H27" s="306"/>
      <c r="I27" s="253"/>
      <c r="J27" s="311"/>
      <c r="K27" s="311"/>
      <c r="L27" s="311"/>
      <c r="M27" s="311"/>
    </row>
    <row r="28" spans="1:13">
      <c r="A28" s="220" t="s">
        <v>51</v>
      </c>
      <c r="B28" s="211" t="s">
        <v>43</v>
      </c>
      <c r="C28" s="212" t="s">
        <v>11</v>
      </c>
      <c r="D28" s="144">
        <v>0</v>
      </c>
      <c r="E28" s="295">
        <f>IFERROR(#REF!,0)</f>
        <v>0</v>
      </c>
      <c r="F28" s="221">
        <f>E28*D28</f>
        <v>0</v>
      </c>
      <c r="G28" s="213" t="str">
        <f>IF(D28=0,"0",((E28)*$E$52))</f>
        <v>0</v>
      </c>
      <c r="H28" s="305">
        <f>ROUND(E28+G28,0)</f>
        <v>0</v>
      </c>
      <c r="I28" s="217">
        <f>ROUND(H28*D28,0)</f>
        <v>0</v>
      </c>
      <c r="J28" s="312"/>
      <c r="K28" s="312"/>
      <c r="L28" s="312"/>
      <c r="M28" s="312"/>
    </row>
    <row r="29" spans="1:13">
      <c r="A29" s="220" t="s">
        <v>53</v>
      </c>
      <c r="B29" s="268" t="s">
        <v>44</v>
      </c>
      <c r="C29" s="212" t="s">
        <v>11</v>
      </c>
      <c r="D29" s="144">
        <v>0</v>
      </c>
      <c r="E29" s="295">
        <f>IFERROR(#REF!,0)</f>
        <v>0</v>
      </c>
      <c r="F29" s="221">
        <f t="shared" ref="F29:F34" si="8">E29*D29</f>
        <v>0</v>
      </c>
      <c r="G29" s="213" t="str">
        <f>IF(D29=0,"0",((E29)*$E$52))</f>
        <v>0</v>
      </c>
      <c r="H29" s="305">
        <f t="shared" ref="H29:H30" si="9">ROUND(E29+G29,0)</f>
        <v>0</v>
      </c>
      <c r="I29" s="217">
        <f t="shared" ref="I29:I30" si="10">ROUND(H29*D29,0)</f>
        <v>0</v>
      </c>
      <c r="J29" s="312"/>
      <c r="K29" s="312"/>
      <c r="L29" s="312"/>
      <c r="M29" s="312"/>
    </row>
    <row r="30" spans="1:13">
      <c r="A30" s="220" t="s">
        <v>56</v>
      </c>
      <c r="B30" s="268" t="s">
        <v>45</v>
      </c>
      <c r="C30" s="212" t="s">
        <v>11</v>
      </c>
      <c r="D30" s="144">
        <v>0</v>
      </c>
      <c r="E30" s="295">
        <f>IFERROR(#REF!,0)</f>
        <v>0</v>
      </c>
      <c r="F30" s="221">
        <f t="shared" si="8"/>
        <v>0</v>
      </c>
      <c r="G30" s="213" t="str">
        <f>IF(D30=0,"0",((E30)*$E$52))</f>
        <v>0</v>
      </c>
      <c r="H30" s="305">
        <f t="shared" si="9"/>
        <v>0</v>
      </c>
      <c r="I30" s="217">
        <f t="shared" si="10"/>
        <v>0</v>
      </c>
      <c r="J30" s="312"/>
      <c r="K30" s="312"/>
      <c r="L30" s="312"/>
      <c r="M30" s="312"/>
    </row>
    <row r="31" spans="1:13">
      <c r="A31" s="220" t="s">
        <v>58</v>
      </c>
      <c r="B31" s="268" t="s">
        <v>46</v>
      </c>
      <c r="C31" s="212" t="s">
        <v>11</v>
      </c>
      <c r="D31" s="144">
        <v>0</v>
      </c>
      <c r="E31" s="295">
        <f>IFERROR(#REF!,0)</f>
        <v>0</v>
      </c>
      <c r="F31" s="221">
        <f t="shared" si="8"/>
        <v>0</v>
      </c>
      <c r="G31" s="216">
        <v>0</v>
      </c>
      <c r="H31" s="291"/>
      <c r="I31" s="217">
        <f>ROUND((D31*E31),0)</f>
        <v>0</v>
      </c>
      <c r="J31" s="312"/>
      <c r="K31" s="312"/>
      <c r="L31" s="312"/>
      <c r="M31" s="312"/>
    </row>
    <row r="32" spans="1:13">
      <c r="A32" s="220" t="s">
        <v>59</v>
      </c>
      <c r="B32" s="268" t="s">
        <v>47</v>
      </c>
      <c r="C32" s="212" t="s">
        <v>11</v>
      </c>
      <c r="D32" s="144">
        <v>1</v>
      </c>
      <c r="E32" s="295">
        <f>IFERROR('5.5 Mesa hexagonal'!E34,0)</f>
        <v>1269632</v>
      </c>
      <c r="F32" s="221">
        <f t="shared" si="8"/>
        <v>1269632</v>
      </c>
      <c r="G32" s="216">
        <v>0</v>
      </c>
      <c r="H32" s="291"/>
      <c r="I32" s="217">
        <f t="shared" ref="I32:I34" si="11">ROUND((D32*E32)+G32,0)</f>
        <v>1269632</v>
      </c>
      <c r="J32" s="312"/>
      <c r="K32" s="312"/>
      <c r="L32" s="312"/>
      <c r="M32" s="321">
        <v>1269632</v>
      </c>
    </row>
    <row r="33" spans="1:13">
      <c r="A33" s="220" t="s">
        <v>60</v>
      </c>
      <c r="B33" s="268" t="s">
        <v>48</v>
      </c>
      <c r="C33" s="212" t="s">
        <v>11</v>
      </c>
      <c r="D33" s="144">
        <v>0</v>
      </c>
      <c r="E33" s="295">
        <f>IFERROR(#REF!,0)</f>
        <v>0</v>
      </c>
      <c r="F33" s="221">
        <f t="shared" si="8"/>
        <v>0</v>
      </c>
      <c r="G33" s="216">
        <v>0</v>
      </c>
      <c r="H33" s="291"/>
      <c r="I33" s="217">
        <f t="shared" si="11"/>
        <v>0</v>
      </c>
      <c r="J33" s="312"/>
      <c r="K33" s="312"/>
      <c r="L33" s="312"/>
      <c r="M33" s="312"/>
    </row>
    <row r="34" spans="1:13">
      <c r="A34" s="220" t="s">
        <v>62</v>
      </c>
      <c r="B34" s="268" t="s">
        <v>49</v>
      </c>
      <c r="C34" s="212" t="s">
        <v>11</v>
      </c>
      <c r="D34" s="144">
        <v>0</v>
      </c>
      <c r="E34" s="295">
        <f>IFERROR(#REF!,0)</f>
        <v>0</v>
      </c>
      <c r="F34" s="221">
        <f t="shared" si="8"/>
        <v>0</v>
      </c>
      <c r="G34" s="216">
        <v>0</v>
      </c>
      <c r="H34" s="291"/>
      <c r="I34" s="217">
        <f t="shared" si="11"/>
        <v>0</v>
      </c>
      <c r="J34" s="312"/>
      <c r="K34" s="312"/>
      <c r="L34" s="312"/>
      <c r="M34" s="312"/>
    </row>
    <row r="35" spans="1:13">
      <c r="A35" s="3">
        <v>6</v>
      </c>
      <c r="B35" s="251" t="s">
        <v>50</v>
      </c>
      <c r="C35" s="252"/>
      <c r="D35" s="252"/>
      <c r="E35" s="306"/>
      <c r="F35" s="252"/>
      <c r="G35" s="252"/>
      <c r="H35" s="306"/>
      <c r="I35" s="253"/>
      <c r="J35" s="311"/>
      <c r="K35" s="311"/>
      <c r="L35" s="311"/>
      <c r="M35" s="311"/>
    </row>
    <row r="36" spans="1:13">
      <c r="A36" s="220" t="s">
        <v>352</v>
      </c>
      <c r="B36" s="163" t="s">
        <v>52</v>
      </c>
      <c r="C36" s="218" t="s">
        <v>28</v>
      </c>
      <c r="D36" s="144">
        <v>0</v>
      </c>
      <c r="E36" s="308">
        <f>IFERROR(#REF!,0)</f>
        <v>0</v>
      </c>
      <c r="F36" s="219">
        <f>D36*E36</f>
        <v>0</v>
      </c>
      <c r="G36" s="213" t="str">
        <f t="shared" ref="G36:G43" si="12">IF(D36=0,"0",((E36)*$E$52))</f>
        <v>0</v>
      </c>
      <c r="H36" s="305">
        <f>ROUND(E36+G36,0)</f>
        <v>0</v>
      </c>
      <c r="I36" s="223">
        <f>ROUND((D36*H36),0)</f>
        <v>0</v>
      </c>
      <c r="J36" s="312"/>
      <c r="K36" s="312"/>
      <c r="L36" s="312"/>
      <c r="M36" s="312"/>
    </row>
    <row r="37" spans="1:13">
      <c r="A37" s="220" t="s">
        <v>353</v>
      </c>
      <c r="B37" s="268" t="s">
        <v>54</v>
      </c>
      <c r="C37" s="218" t="s">
        <v>55</v>
      </c>
      <c r="D37" s="144">
        <v>0</v>
      </c>
      <c r="E37" s="308">
        <f>IFERROR(#REF!,0)</f>
        <v>0</v>
      </c>
      <c r="F37" s="219">
        <f t="shared" ref="F37:F48" si="13">D37*E37</f>
        <v>0</v>
      </c>
      <c r="G37" s="213" t="str">
        <f t="shared" si="12"/>
        <v>0</v>
      </c>
      <c r="H37" s="305">
        <f t="shared" ref="H37:H43" si="14">ROUND(E37+G37,0)</f>
        <v>0</v>
      </c>
      <c r="I37" s="223">
        <f t="shared" ref="I37:I43" si="15">ROUND((D37*H37),0)</f>
        <v>0</v>
      </c>
      <c r="J37" s="312"/>
      <c r="K37" s="312"/>
      <c r="L37" s="312"/>
      <c r="M37" s="312"/>
    </row>
    <row r="38" spans="1:13" ht="23.25" customHeight="1">
      <c r="A38" s="220" t="s">
        <v>354</v>
      </c>
      <c r="B38" s="268" t="s">
        <v>57</v>
      </c>
      <c r="C38" s="218" t="s">
        <v>55</v>
      </c>
      <c r="D38" s="144">
        <v>0</v>
      </c>
      <c r="E38" s="308">
        <f>IFERROR(#REF!,0)</f>
        <v>0</v>
      </c>
      <c r="F38" s="219">
        <f t="shared" si="13"/>
        <v>0</v>
      </c>
      <c r="G38" s="213" t="str">
        <f t="shared" si="12"/>
        <v>0</v>
      </c>
      <c r="H38" s="305">
        <f t="shared" si="14"/>
        <v>0</v>
      </c>
      <c r="I38" s="223">
        <f t="shared" si="15"/>
        <v>0</v>
      </c>
      <c r="J38" s="312"/>
      <c r="K38" s="312"/>
      <c r="L38" s="312"/>
      <c r="M38" s="312"/>
    </row>
    <row r="39" spans="1:13">
      <c r="A39" s="220" t="s">
        <v>355</v>
      </c>
      <c r="B39" s="268" t="s">
        <v>345</v>
      </c>
      <c r="C39" s="212" t="s">
        <v>11</v>
      </c>
      <c r="D39" s="144">
        <v>1</v>
      </c>
      <c r="E39" s="295">
        <f>IFERROR('6.4 señalética madera plástica'!E35,0)</f>
        <v>905606</v>
      </c>
      <c r="F39" s="219">
        <f t="shared" si="13"/>
        <v>905606</v>
      </c>
      <c r="G39" s="213">
        <f t="shared" si="12"/>
        <v>131312.87</v>
      </c>
      <c r="H39" s="305">
        <f t="shared" si="14"/>
        <v>1036919</v>
      </c>
      <c r="I39" s="223">
        <f>ROUND((D39*H39),0)</f>
        <v>1036919</v>
      </c>
      <c r="J39" s="312"/>
      <c r="K39" s="312"/>
      <c r="L39" s="312"/>
      <c r="M39" s="321">
        <v>1036919</v>
      </c>
    </row>
    <row r="40" spans="1:13">
      <c r="A40" s="220" t="s">
        <v>356</v>
      </c>
      <c r="B40" s="268" t="s">
        <v>346</v>
      </c>
      <c r="C40" s="212" t="s">
        <v>11</v>
      </c>
      <c r="D40" s="144">
        <v>0</v>
      </c>
      <c r="E40" s="295">
        <f>IFERROR(#REF!,0)</f>
        <v>0</v>
      </c>
      <c r="F40" s="219">
        <f t="shared" si="13"/>
        <v>0</v>
      </c>
      <c r="G40" s="213" t="str">
        <f t="shared" si="12"/>
        <v>0</v>
      </c>
      <c r="H40" s="305">
        <f t="shared" si="14"/>
        <v>0</v>
      </c>
      <c r="I40" s="223">
        <f>ROUND((D40*H40),0)</f>
        <v>0</v>
      </c>
      <c r="J40" s="312"/>
      <c r="K40" s="312"/>
      <c r="L40" s="312"/>
      <c r="M40" s="312"/>
    </row>
    <row r="41" spans="1:13">
      <c r="A41" s="220" t="s">
        <v>357</v>
      </c>
      <c r="B41" s="268" t="s">
        <v>372</v>
      </c>
      <c r="C41" s="218" t="s">
        <v>94</v>
      </c>
      <c r="D41" s="144">
        <v>0</v>
      </c>
      <c r="E41" s="295">
        <f>IFERROR(#REF!,0)</f>
        <v>0</v>
      </c>
      <c r="F41" s="219">
        <f t="shared" si="13"/>
        <v>0</v>
      </c>
      <c r="G41" s="213" t="str">
        <f>IF(D41=0,"0",((E41)*$E$52))</f>
        <v>0</v>
      </c>
      <c r="H41" s="305">
        <f t="shared" si="14"/>
        <v>0</v>
      </c>
      <c r="I41" s="223">
        <f t="shared" si="15"/>
        <v>0</v>
      </c>
      <c r="J41" s="312"/>
      <c r="K41" s="312"/>
      <c r="L41" s="312"/>
      <c r="M41" s="312"/>
    </row>
    <row r="42" spans="1:13">
      <c r="A42" s="220" t="s">
        <v>358</v>
      </c>
      <c r="B42" s="268" t="s">
        <v>61</v>
      </c>
      <c r="C42" s="218" t="s">
        <v>28</v>
      </c>
      <c r="D42" s="144">
        <v>0</v>
      </c>
      <c r="E42" s="308">
        <f>IFERROR(#REF!,0)</f>
        <v>0</v>
      </c>
      <c r="F42" s="219">
        <f t="shared" si="13"/>
        <v>0</v>
      </c>
      <c r="G42" s="213" t="str">
        <f t="shared" si="12"/>
        <v>0</v>
      </c>
      <c r="H42" s="305">
        <f t="shared" si="14"/>
        <v>0</v>
      </c>
      <c r="I42" s="223">
        <f t="shared" si="15"/>
        <v>0</v>
      </c>
      <c r="J42" s="312"/>
      <c r="K42" s="312"/>
      <c r="L42" s="312"/>
      <c r="M42" s="312"/>
    </row>
    <row r="43" spans="1:13">
      <c r="A43" s="220" t="s">
        <v>359</v>
      </c>
      <c r="B43" s="268" t="s">
        <v>63</v>
      </c>
      <c r="C43" s="218" t="s">
        <v>94</v>
      </c>
      <c r="D43" s="144">
        <v>0</v>
      </c>
      <c r="E43" s="308">
        <f>IFERROR(#REF!,0)</f>
        <v>0</v>
      </c>
      <c r="F43" s="219">
        <f t="shared" si="13"/>
        <v>0</v>
      </c>
      <c r="G43" s="213" t="str">
        <f t="shared" si="12"/>
        <v>0</v>
      </c>
      <c r="H43" s="305">
        <f t="shared" si="14"/>
        <v>0</v>
      </c>
      <c r="I43" s="223">
        <f t="shared" si="15"/>
        <v>0</v>
      </c>
      <c r="J43" s="312"/>
      <c r="K43" s="312"/>
      <c r="L43" s="312"/>
      <c r="M43" s="312"/>
    </row>
    <row r="44" spans="1:13">
      <c r="A44" s="220" t="s">
        <v>360</v>
      </c>
      <c r="B44" s="268" t="s">
        <v>64</v>
      </c>
      <c r="C44" s="218" t="s">
        <v>11</v>
      </c>
      <c r="D44" s="144">
        <v>0</v>
      </c>
      <c r="E44" s="308">
        <f>IFERROR(#REF!,0)</f>
        <v>0</v>
      </c>
      <c r="F44" s="219">
        <f t="shared" si="13"/>
        <v>0</v>
      </c>
      <c r="G44" s="213">
        <v>0</v>
      </c>
      <c r="H44" s="291"/>
      <c r="I44" s="223">
        <f>ROUND((D44*E44),0)</f>
        <v>0</v>
      </c>
      <c r="J44" s="312"/>
      <c r="K44" s="312"/>
      <c r="L44" s="312"/>
      <c r="M44" s="312"/>
    </row>
    <row r="45" spans="1:13">
      <c r="A45" s="220" t="s">
        <v>361</v>
      </c>
      <c r="B45" s="268" t="s">
        <v>65</v>
      </c>
      <c r="C45" s="224" t="s">
        <v>11</v>
      </c>
      <c r="D45" s="144">
        <v>0</v>
      </c>
      <c r="E45" s="309">
        <f>IFERROR(#REF!,0)</f>
        <v>0</v>
      </c>
      <c r="F45" s="219">
        <f t="shared" si="13"/>
        <v>0</v>
      </c>
      <c r="G45" s="213" t="str">
        <f>IF(D45=0,"0",((E45)*$E$52))</f>
        <v>0</v>
      </c>
      <c r="H45" s="305">
        <f>ROUND(E45+G45,0)</f>
        <v>0</v>
      </c>
      <c r="I45" s="223">
        <f>ROUND((D45*H45),0)</f>
        <v>0</v>
      </c>
      <c r="J45" s="312"/>
      <c r="K45" s="312"/>
      <c r="L45" s="312"/>
      <c r="M45" s="312"/>
    </row>
    <row r="46" spans="1:13">
      <c r="A46" s="220" t="s">
        <v>362</v>
      </c>
      <c r="B46" s="269" t="s">
        <v>66</v>
      </c>
      <c r="C46" s="224" t="s">
        <v>11</v>
      </c>
      <c r="D46" s="144">
        <v>0</v>
      </c>
      <c r="E46" s="309">
        <f>IFERROR(#REF!,0)</f>
        <v>0</v>
      </c>
      <c r="F46" s="219">
        <f t="shared" si="13"/>
        <v>0</v>
      </c>
      <c r="G46" s="213">
        <v>0</v>
      </c>
      <c r="H46" s="291"/>
      <c r="I46" s="223">
        <f>ROUND((D46*E46),0)</f>
        <v>0</v>
      </c>
      <c r="J46" s="312"/>
      <c r="K46" s="312"/>
      <c r="L46" s="312"/>
      <c r="M46" s="312"/>
    </row>
    <row r="47" spans="1:13" ht="24">
      <c r="A47" s="296" t="s">
        <v>363</v>
      </c>
      <c r="B47" s="270" t="s">
        <v>67</v>
      </c>
      <c r="C47" s="297" t="s">
        <v>11</v>
      </c>
      <c r="D47" s="298">
        <v>0</v>
      </c>
      <c r="E47" s="310">
        <f>IFERROR(#REF!,0)</f>
        <v>0</v>
      </c>
      <c r="F47" s="230">
        <f t="shared" si="13"/>
        <v>0</v>
      </c>
      <c r="G47" s="299">
        <v>0</v>
      </c>
      <c r="H47" s="307"/>
      <c r="I47" s="300">
        <f>ROUND((D47*E47),0)</f>
        <v>0</v>
      </c>
      <c r="J47" s="312"/>
      <c r="K47" s="312"/>
      <c r="L47" s="312"/>
      <c r="M47" s="312"/>
    </row>
    <row r="48" spans="1:13" ht="36">
      <c r="A48" s="303" t="s">
        <v>364</v>
      </c>
      <c r="B48" s="268" t="s">
        <v>68</v>
      </c>
      <c r="C48" s="218" t="s">
        <v>11</v>
      </c>
      <c r="D48" s="144">
        <v>1</v>
      </c>
      <c r="E48" s="308">
        <f>IFERROR('6.13 kiosco 16m2 madera plásti'!E34,0)</f>
        <v>15175791</v>
      </c>
      <c r="F48" s="219">
        <f t="shared" si="13"/>
        <v>15175791</v>
      </c>
      <c r="G48" s="213">
        <f>IF(D48=0,"0",((E48)*$E$52))</f>
        <v>2200489.6949999998</v>
      </c>
      <c r="H48" s="305">
        <f>ROUND(E48+G48,0)</f>
        <v>17376281</v>
      </c>
      <c r="I48" s="223">
        <f>ROUND((D48*H48),0)</f>
        <v>17376281</v>
      </c>
      <c r="J48" s="322">
        <v>17376281</v>
      </c>
      <c r="K48" s="312"/>
      <c r="L48" s="312"/>
      <c r="M48" s="312"/>
    </row>
    <row r="49" spans="1:11" ht="30.75" customHeight="1" thickBot="1">
      <c r="A49" s="353" t="s">
        <v>343</v>
      </c>
      <c r="B49" s="354"/>
      <c r="C49" s="354"/>
      <c r="D49" s="354"/>
      <c r="E49" s="355"/>
      <c r="F49" s="301"/>
      <c r="G49" s="301"/>
      <c r="H49" s="301"/>
      <c r="I49" s="302">
        <f ca="1">SUMIF(G6:G48,"&lt;&gt;0",F6:F48)</f>
        <v>18888735</v>
      </c>
    </row>
    <row r="50" spans="1:11" ht="29.25" customHeight="1" thickBot="1">
      <c r="A50" s="347" t="s">
        <v>333</v>
      </c>
      <c r="B50" s="348"/>
      <c r="C50" s="348"/>
      <c r="D50" s="348"/>
      <c r="E50" s="349"/>
      <c r="F50" s="279"/>
      <c r="G50" s="279"/>
      <c r="H50" s="279"/>
      <c r="I50" s="280">
        <f ca="1">SUMIF(G6:G48,"&lt;&gt;0",I6:I48)</f>
        <v>21627638</v>
      </c>
      <c r="K50" s="256"/>
    </row>
    <row r="51" spans="1:11" ht="29.25" customHeight="1" thickBot="1">
      <c r="A51" s="350" t="s">
        <v>334</v>
      </c>
      <c r="B51" s="351"/>
      <c r="C51" s="351"/>
      <c r="D51" s="351"/>
      <c r="E51" s="352"/>
      <c r="F51" s="281"/>
      <c r="G51" s="281"/>
      <c r="H51" s="281"/>
      <c r="I51" s="282">
        <f ca="1">SUMIF(G6:G48,"=0",I6:I48)</f>
        <v>3349132</v>
      </c>
    </row>
    <row r="52" spans="1:11" ht="29.25" customHeight="1" thickBot="1">
      <c r="A52" s="344" t="s">
        <v>332</v>
      </c>
      <c r="B52" s="345"/>
      <c r="C52" s="345"/>
      <c r="D52" s="346"/>
      <c r="E52" s="283">
        <f>'Administración y Utilidad '!D1</f>
        <v>0.14499999999999999</v>
      </c>
      <c r="F52" s="284"/>
      <c r="G52" s="285"/>
      <c r="H52" s="285"/>
      <c r="I52" s="286"/>
    </row>
    <row r="53" spans="1:11" ht="29.25" customHeight="1" thickBot="1">
      <c r="A53" s="356" t="s">
        <v>379</v>
      </c>
      <c r="B53" s="357"/>
      <c r="C53" s="357"/>
      <c r="D53" s="357"/>
      <c r="E53" s="357"/>
      <c r="F53" s="357"/>
      <c r="G53" s="357"/>
      <c r="H53" s="358"/>
      <c r="I53" s="314">
        <v>5000000</v>
      </c>
    </row>
    <row r="54" spans="1:11" ht="32.25" customHeight="1" thickBot="1">
      <c r="A54" s="334" t="s">
        <v>335</v>
      </c>
      <c r="B54" s="335"/>
      <c r="C54" s="335"/>
      <c r="D54" s="335"/>
      <c r="E54" s="335"/>
      <c r="F54" s="241"/>
      <c r="G54" s="241"/>
      <c r="H54" s="247"/>
      <c r="I54" s="267">
        <f ca="1">I51+I50+I53</f>
        <v>29976770</v>
      </c>
    </row>
    <row r="56" spans="1:11">
      <c r="I56" s="242"/>
    </row>
    <row r="57" spans="1:11">
      <c r="G57" s="242"/>
      <c r="H57" s="242"/>
      <c r="I57" s="254"/>
    </row>
    <row r="58" spans="1:11">
      <c r="G58" s="242"/>
      <c r="H58" s="242"/>
      <c r="I58" s="255"/>
    </row>
    <row r="59" spans="1:11">
      <c r="G59" s="257"/>
      <c r="H59" s="242"/>
      <c r="I59" s="256"/>
    </row>
    <row r="61" spans="1:11">
      <c r="I61" s="242"/>
    </row>
    <row r="62" spans="1:11">
      <c r="G62" s="243"/>
      <c r="H62" s="243"/>
    </row>
  </sheetData>
  <sheetProtection algorithmName="SHA-512" hashValue="jjaDs6FZHiSikSD56aJY5mi48ZwVgNBkLwuwW6qO/nxHav0au6kHq3k5C6emky7xuNqfis8u7innWnVe2AsYfQ==" saltValue="E6aqUbfZc6+fbjnTcvmcYw==" spinCount="100000" sheet="1" objects="1" scenarios="1"/>
  <mergeCells count="9">
    <mergeCell ref="A54:E54"/>
    <mergeCell ref="A1:I1"/>
    <mergeCell ref="A2:I2"/>
    <mergeCell ref="A3:I3"/>
    <mergeCell ref="A52:D52"/>
    <mergeCell ref="A50:E50"/>
    <mergeCell ref="A51:E51"/>
    <mergeCell ref="A49:E49"/>
    <mergeCell ref="A53:H53"/>
  </mergeCells>
  <phoneticPr fontId="32" type="noConversion"/>
  <dataValidations count="1">
    <dataValidation type="custom" allowBlank="1" showInputMessage="1" showErrorMessage="1" sqref="D26">
      <formula1>D26&lt;=200</formula1>
    </dataValidation>
  </dataValidations>
  <pageMargins left="0.7" right="0.7" top="0.75" bottom="0.75" header="0" footer="0"/>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5"/>
  <dimension ref="A1:Q20"/>
  <sheetViews>
    <sheetView zoomScale="90" zoomScaleNormal="90" workbookViewId="0">
      <selection activeCell="D1" sqref="D1"/>
    </sheetView>
  </sheetViews>
  <sheetFormatPr baseColWidth="10" defaultColWidth="11" defaultRowHeight="14.25"/>
  <cols>
    <col min="1" max="4" width="11" style="287"/>
    <col min="5" max="5" width="19.375" style="287" bestFit="1" customWidth="1"/>
    <col min="6" max="6" width="25.375" style="287" customWidth="1"/>
    <col min="7" max="16384" width="11" style="287"/>
  </cols>
  <sheetData>
    <row r="1" spans="1:17" ht="44.25" customHeight="1" thickBot="1">
      <c r="A1" s="359" t="s">
        <v>329</v>
      </c>
      <c r="B1" s="360"/>
      <c r="C1" s="361"/>
      <c r="D1" s="266">
        <v>0.14499999999999999</v>
      </c>
      <c r="E1" s="362" t="s">
        <v>336</v>
      </c>
      <c r="F1" s="363"/>
      <c r="G1" s="363"/>
      <c r="H1" s="363"/>
      <c r="I1" s="364"/>
    </row>
    <row r="2" spans="1:17" ht="27.75" customHeight="1" thickBot="1">
      <c r="A2" s="365" t="s">
        <v>337</v>
      </c>
      <c r="B2" s="366"/>
      <c r="C2" s="366"/>
      <c r="D2" s="366"/>
      <c r="E2" s="366"/>
      <c r="F2" s="366"/>
      <c r="G2" s="366"/>
      <c r="H2" s="366"/>
      <c r="I2" s="367"/>
    </row>
    <row r="3" spans="1:17" ht="15" customHeight="1">
      <c r="A3" s="231"/>
      <c r="B3" s="232"/>
      <c r="C3" s="232"/>
      <c r="D3" s="232"/>
      <c r="E3" s="232"/>
      <c r="F3" s="232"/>
      <c r="G3" s="232"/>
      <c r="H3" s="232"/>
      <c r="I3" s="233"/>
      <c r="K3" s="288"/>
    </row>
    <row r="4" spans="1:17" ht="19.5" customHeight="1">
      <c r="A4" s="234"/>
      <c r="B4" s="235" t="s">
        <v>384</v>
      </c>
      <c r="C4" s="235"/>
      <c r="D4" s="244"/>
      <c r="E4" s="244"/>
      <c r="F4" s="259"/>
      <c r="G4" s="319" t="s">
        <v>391</v>
      </c>
      <c r="H4" s="235"/>
      <c r="I4" s="236"/>
    </row>
    <row r="5" spans="1:17" ht="20.25" customHeight="1">
      <c r="A5" s="234"/>
      <c r="B5" s="235" t="s">
        <v>385</v>
      </c>
      <c r="C5" s="235"/>
      <c r="D5" s="244"/>
      <c r="E5" s="245"/>
      <c r="F5" s="259"/>
      <c r="G5" s="318">
        <v>0.02</v>
      </c>
      <c r="H5" s="235"/>
      <c r="I5" s="236"/>
    </row>
    <row r="6" spans="1:17" ht="15" customHeight="1">
      <c r="A6" s="234"/>
      <c r="B6" s="235" t="s">
        <v>386</v>
      </c>
      <c r="C6" s="235"/>
      <c r="D6" s="235"/>
      <c r="E6" s="235"/>
      <c r="F6" s="258"/>
      <c r="G6" s="318">
        <v>0.1</v>
      </c>
      <c r="H6" s="235"/>
      <c r="I6" s="236"/>
    </row>
    <row r="7" spans="1:17" ht="15" customHeight="1">
      <c r="A7" s="234"/>
      <c r="B7" s="235"/>
      <c r="C7" s="235"/>
      <c r="D7" s="235"/>
      <c r="E7" s="235"/>
      <c r="F7" s="258"/>
      <c r="G7" s="235"/>
      <c r="H7" s="235"/>
      <c r="I7" s="236"/>
    </row>
    <row r="8" spans="1:17" ht="15" customHeight="1">
      <c r="A8" s="234"/>
      <c r="B8" s="235"/>
      <c r="C8" s="235"/>
      <c r="D8" s="235"/>
      <c r="E8" s="235"/>
      <c r="F8" s="258"/>
      <c r="G8" s="235"/>
      <c r="H8" s="235"/>
      <c r="I8" s="236"/>
    </row>
    <row r="9" spans="1:17" ht="15" customHeight="1">
      <c r="A9" s="234"/>
      <c r="B9" s="235"/>
      <c r="C9" s="235"/>
      <c r="D9" s="235"/>
      <c r="E9" s="235"/>
      <c r="F9" s="258"/>
      <c r="G9" s="235"/>
      <c r="H9" s="235"/>
      <c r="I9" s="236"/>
    </row>
    <row r="10" spans="1:17" ht="15" customHeight="1">
      <c r="A10" s="234"/>
      <c r="B10" s="235"/>
      <c r="C10" s="235"/>
      <c r="D10" s="235"/>
      <c r="E10" s="235"/>
      <c r="F10" s="260"/>
      <c r="G10" s="235"/>
      <c r="H10" s="235"/>
      <c r="I10" s="236"/>
      <c r="L10" s="288"/>
      <c r="M10" s="288"/>
    </row>
    <row r="11" spans="1:17" ht="15" customHeight="1">
      <c r="A11" s="234"/>
      <c r="B11" s="235"/>
      <c r="C11" s="235"/>
      <c r="D11" s="235"/>
      <c r="E11" s="235"/>
      <c r="F11" s="235"/>
      <c r="G11" s="235"/>
      <c r="H11" s="235"/>
      <c r="I11" s="236"/>
      <c r="N11" s="289"/>
    </row>
    <row r="12" spans="1:17" ht="15" customHeight="1">
      <c r="A12" s="234"/>
      <c r="B12" s="235"/>
      <c r="C12" s="235"/>
      <c r="D12" s="235"/>
      <c r="E12" s="235"/>
      <c r="F12" s="235"/>
      <c r="G12" s="235"/>
      <c r="H12" s="235"/>
      <c r="I12" s="236"/>
      <c r="Q12" s="290"/>
    </row>
    <row r="13" spans="1:17" ht="15" customHeight="1">
      <c r="A13" s="234"/>
      <c r="B13" s="235"/>
      <c r="C13" s="235"/>
      <c r="D13" s="235"/>
      <c r="E13" s="235"/>
      <c r="F13" s="235"/>
      <c r="G13" s="235"/>
      <c r="H13" s="235"/>
      <c r="I13" s="236"/>
    </row>
    <row r="14" spans="1:17" ht="15" customHeight="1">
      <c r="A14" s="234"/>
      <c r="B14" s="235"/>
      <c r="C14" s="235"/>
      <c r="D14" s="235"/>
      <c r="E14" s="235"/>
      <c r="F14" s="235"/>
      <c r="G14" s="235"/>
      <c r="H14" s="235"/>
      <c r="I14" s="236"/>
    </row>
    <row r="15" spans="1:17" ht="15" customHeight="1">
      <c r="A15" s="234"/>
      <c r="B15" s="235"/>
      <c r="C15" s="235"/>
      <c r="D15" s="235"/>
      <c r="E15" s="235"/>
      <c r="F15" s="235"/>
      <c r="G15" s="235"/>
      <c r="H15" s="235"/>
      <c r="I15" s="236"/>
    </row>
    <row r="16" spans="1:17" ht="15" customHeight="1">
      <c r="A16" s="234"/>
      <c r="B16" s="235"/>
      <c r="C16" s="235"/>
      <c r="D16" s="235"/>
      <c r="E16" s="235"/>
      <c r="F16" s="235"/>
      <c r="G16" s="235"/>
      <c r="H16" s="235"/>
      <c r="I16" s="236"/>
    </row>
    <row r="17" spans="1:13" ht="15" customHeight="1">
      <c r="A17" s="234"/>
      <c r="B17" s="235"/>
      <c r="C17" s="235"/>
      <c r="D17" s="235"/>
      <c r="E17" s="235"/>
      <c r="F17" s="235"/>
      <c r="G17" s="235"/>
      <c r="H17" s="235"/>
      <c r="I17" s="236"/>
    </row>
    <row r="18" spans="1:13" ht="15" customHeight="1">
      <c r="A18" s="234"/>
      <c r="B18" s="235"/>
      <c r="C18" s="235"/>
      <c r="D18" s="235"/>
      <c r="E18" s="235"/>
      <c r="F18" s="235"/>
      <c r="G18" s="235"/>
      <c r="H18" s="235"/>
      <c r="I18" s="236"/>
      <c r="M18" s="315"/>
    </row>
    <row r="19" spans="1:13" ht="15" customHeight="1">
      <c r="A19" s="234"/>
      <c r="B19" s="235"/>
      <c r="C19" s="235"/>
      <c r="D19" s="235"/>
      <c r="E19" s="235"/>
      <c r="F19" s="235"/>
      <c r="G19" s="235"/>
      <c r="H19" s="235"/>
      <c r="I19" s="236"/>
    </row>
    <row r="20" spans="1:13" ht="15.75" customHeight="1" thickBot="1">
      <c r="A20" s="237"/>
      <c r="B20" s="238"/>
      <c r="C20" s="238"/>
      <c r="D20" s="238"/>
      <c r="E20" s="238"/>
      <c r="F20" s="238"/>
      <c r="G20" s="238"/>
      <c r="H20" s="238"/>
      <c r="I20" s="239"/>
    </row>
  </sheetData>
  <sheetProtection algorithmName="SHA-512" hashValue="SErhPxwpDv/0FN63w+eS74egskXjghjxfBqpAVm9UVG/lcYVjRuM6S5dA1x0l2N9sC1jIq+uBekzcb8M35awqg==" saltValue="gQKJZeVl2gLjvUr2oprj5A==" spinCount="100000" sheet="1" objects="1" scenarios="1"/>
  <mergeCells count="3">
    <mergeCell ref="A1:C1"/>
    <mergeCell ref="E1:I1"/>
    <mergeCell ref="A2:I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G77"/>
  <sheetViews>
    <sheetView zoomScaleNormal="100" workbookViewId="0">
      <selection activeCell="B15" sqref="B15"/>
    </sheetView>
  </sheetViews>
  <sheetFormatPr baseColWidth="10" defaultColWidth="12.5" defaultRowHeight="14.25"/>
  <cols>
    <col min="1" max="1" width="13.5" bestFit="1" customWidth="1"/>
    <col min="2" max="2" width="64.625" customWidth="1"/>
    <col min="3" max="4" width="10.5" customWidth="1"/>
    <col min="5" max="5" width="24.5" bestFit="1" customWidth="1"/>
    <col min="6" max="6" width="19.125" customWidth="1"/>
    <col min="7" max="21" width="10.5" customWidth="1"/>
  </cols>
  <sheetData>
    <row r="1" spans="1:6" ht="25.5" customHeight="1">
      <c r="A1" s="1"/>
      <c r="B1" s="164" t="s">
        <v>293</v>
      </c>
      <c r="C1" s="163"/>
      <c r="D1" s="163"/>
      <c r="E1" s="165" t="s">
        <v>294</v>
      </c>
    </row>
    <row r="2" spans="1:6">
      <c r="A2" s="1"/>
      <c r="B2" s="1"/>
      <c r="C2" s="1"/>
      <c r="D2" s="1"/>
      <c r="E2" s="1"/>
    </row>
    <row r="3" spans="1:6">
      <c r="A3" s="1"/>
      <c r="B3" s="7" t="s">
        <v>69</v>
      </c>
      <c r="C3" s="7" t="s">
        <v>5</v>
      </c>
      <c r="D3" s="8" t="s">
        <v>70</v>
      </c>
      <c r="E3" s="7" t="s">
        <v>6</v>
      </c>
    </row>
    <row r="4" spans="1:6">
      <c r="A4" s="1"/>
      <c r="B4" s="9" t="s">
        <v>330</v>
      </c>
      <c r="C4" s="10">
        <v>1</v>
      </c>
      <c r="D4" s="10" t="s">
        <v>23</v>
      </c>
      <c r="E4" s="272">
        <f>340000/500</f>
        <v>680</v>
      </c>
      <c r="F4" s="172"/>
    </row>
    <row r="5" spans="1:6">
      <c r="A5" s="1"/>
      <c r="B5" s="9" t="s">
        <v>367</v>
      </c>
      <c r="C5" s="10">
        <v>1</v>
      </c>
      <c r="D5" s="10" t="s">
        <v>72</v>
      </c>
      <c r="E5" s="141">
        <v>35000</v>
      </c>
    </row>
    <row r="6" spans="1:6">
      <c r="A6" s="1"/>
      <c r="B6" s="9" t="s">
        <v>73</v>
      </c>
      <c r="C6" s="10">
        <v>1</v>
      </c>
      <c r="D6" s="10" t="s">
        <v>74</v>
      </c>
      <c r="E6" s="141">
        <v>17900</v>
      </c>
    </row>
    <row r="7" spans="1:6">
      <c r="A7" s="1"/>
      <c r="B7" s="9" t="s">
        <v>75</v>
      </c>
      <c r="C7" s="10">
        <v>1</v>
      </c>
      <c r="D7" s="10" t="s">
        <v>76</v>
      </c>
      <c r="E7" s="141">
        <v>5100</v>
      </c>
    </row>
    <row r="8" spans="1:6">
      <c r="A8" s="1"/>
      <c r="B8" s="9" t="s">
        <v>77</v>
      </c>
      <c r="C8" s="10">
        <v>1</v>
      </c>
      <c r="D8" s="10" t="s">
        <v>72</v>
      </c>
      <c r="E8" s="141">
        <v>3500</v>
      </c>
    </row>
    <row r="9" spans="1:6">
      <c r="A9" s="1"/>
      <c r="B9" s="9" t="s">
        <v>78</v>
      </c>
      <c r="C9" s="10">
        <v>1</v>
      </c>
      <c r="D9" s="10" t="s">
        <v>72</v>
      </c>
      <c r="E9" s="141">
        <v>3500</v>
      </c>
    </row>
    <row r="10" spans="1:6">
      <c r="A10" s="1"/>
      <c r="B10" s="9" t="s">
        <v>79</v>
      </c>
      <c r="C10" s="10">
        <v>1</v>
      </c>
      <c r="D10" s="10" t="s">
        <v>72</v>
      </c>
      <c r="E10" s="141">
        <v>18500</v>
      </c>
    </row>
    <row r="11" spans="1:6">
      <c r="A11" s="1"/>
      <c r="B11" s="9" t="s">
        <v>80</v>
      </c>
      <c r="C11" s="10">
        <v>1</v>
      </c>
      <c r="D11" s="10" t="s">
        <v>81</v>
      </c>
      <c r="E11" s="141">
        <v>52000</v>
      </c>
    </row>
    <row r="12" spans="1:6">
      <c r="A12" s="1"/>
      <c r="B12" s="9" t="s">
        <v>82</v>
      </c>
      <c r="C12" s="10">
        <v>1</v>
      </c>
      <c r="D12" s="10" t="s">
        <v>81</v>
      </c>
      <c r="E12" s="141">
        <f>26000/50</f>
        <v>520</v>
      </c>
    </row>
    <row r="13" spans="1:6">
      <c r="A13" s="1"/>
      <c r="B13" s="9" t="s">
        <v>299</v>
      </c>
      <c r="C13" s="10">
        <v>1</v>
      </c>
      <c r="D13" s="10" t="s">
        <v>81</v>
      </c>
      <c r="E13" s="141">
        <f>110000/50</f>
        <v>2200</v>
      </c>
    </row>
    <row r="14" spans="1:6">
      <c r="A14" s="1"/>
      <c r="B14" s="9" t="s">
        <v>83</v>
      </c>
      <c r="C14" s="10">
        <v>1</v>
      </c>
      <c r="D14" s="10" t="s">
        <v>81</v>
      </c>
      <c r="E14" s="141">
        <f>38000/50</f>
        <v>760</v>
      </c>
    </row>
    <row r="15" spans="1:6" ht="24">
      <c r="A15" s="1"/>
      <c r="B15" s="9" t="s">
        <v>84</v>
      </c>
      <c r="C15" s="10">
        <v>1</v>
      </c>
      <c r="D15" s="10" t="s">
        <v>72</v>
      </c>
      <c r="E15" s="141">
        <v>70000</v>
      </c>
    </row>
    <row r="16" spans="1:6">
      <c r="A16" s="1"/>
      <c r="B16" s="9" t="s">
        <v>85</v>
      </c>
      <c r="C16" s="10">
        <v>1</v>
      </c>
      <c r="D16" s="10" t="s">
        <v>72</v>
      </c>
      <c r="E16" s="141">
        <v>10000</v>
      </c>
    </row>
    <row r="17" spans="1:5">
      <c r="A17" s="1"/>
      <c r="B17" s="9" t="s">
        <v>86</v>
      </c>
      <c r="C17" s="10">
        <v>1</v>
      </c>
      <c r="D17" s="10" t="s">
        <v>72</v>
      </c>
      <c r="E17" s="141">
        <v>17000</v>
      </c>
    </row>
    <row r="18" spans="1:5">
      <c r="A18" s="1"/>
      <c r="B18" s="9" t="s">
        <v>87</v>
      </c>
      <c r="C18" s="10">
        <v>1</v>
      </c>
      <c r="D18" s="10" t="s">
        <v>72</v>
      </c>
      <c r="E18" s="141">
        <v>50000</v>
      </c>
    </row>
    <row r="19" spans="1:5">
      <c r="A19" s="1"/>
      <c r="B19" s="9" t="s">
        <v>88</v>
      </c>
      <c r="C19" s="10">
        <v>1</v>
      </c>
      <c r="D19" s="10" t="s">
        <v>72</v>
      </c>
      <c r="E19" s="141">
        <v>45000</v>
      </c>
    </row>
    <row r="20" spans="1:5">
      <c r="A20" s="1"/>
      <c r="B20" s="9" t="s">
        <v>89</v>
      </c>
      <c r="C20" s="10">
        <v>1</v>
      </c>
      <c r="D20" s="10" t="s">
        <v>72</v>
      </c>
      <c r="E20" s="141">
        <v>25000</v>
      </c>
    </row>
    <row r="21" spans="1:5">
      <c r="A21" s="1"/>
      <c r="B21" s="9" t="s">
        <v>90</v>
      </c>
      <c r="C21" s="10">
        <v>1</v>
      </c>
      <c r="D21" s="10" t="s">
        <v>72</v>
      </c>
      <c r="E21" s="141">
        <v>14000</v>
      </c>
    </row>
    <row r="22" spans="1:5">
      <c r="A22" s="1"/>
      <c r="B22" s="9" t="s">
        <v>91</v>
      </c>
      <c r="C22" s="10">
        <v>1</v>
      </c>
      <c r="D22" s="10" t="s">
        <v>72</v>
      </c>
      <c r="E22" s="141">
        <v>1600</v>
      </c>
    </row>
    <row r="23" spans="1:5" ht="19.5" customHeight="1">
      <c r="A23" s="1"/>
      <c r="B23" s="9" t="s">
        <v>92</v>
      </c>
      <c r="C23" s="10">
        <v>1</v>
      </c>
      <c r="D23" s="10" t="s">
        <v>72</v>
      </c>
      <c r="E23" s="141">
        <v>45000</v>
      </c>
    </row>
    <row r="24" spans="1:5">
      <c r="A24" s="1"/>
      <c r="B24" s="9" t="s">
        <v>93</v>
      </c>
      <c r="C24" s="10">
        <v>1</v>
      </c>
      <c r="D24" s="10" t="s">
        <v>94</v>
      </c>
      <c r="E24" s="141">
        <v>18700</v>
      </c>
    </row>
    <row r="25" spans="1:5">
      <c r="A25" s="1"/>
      <c r="B25" s="9" t="s">
        <v>95</v>
      </c>
      <c r="C25" s="10">
        <v>1</v>
      </c>
      <c r="D25" s="10" t="s">
        <v>28</v>
      </c>
      <c r="E25" s="141">
        <v>12600</v>
      </c>
    </row>
    <row r="26" spans="1:5">
      <c r="A26" s="1"/>
      <c r="B26" s="9" t="s">
        <v>368</v>
      </c>
      <c r="C26" s="10">
        <v>1</v>
      </c>
      <c r="D26" s="10" t="s">
        <v>81</v>
      </c>
      <c r="E26" s="141">
        <v>8668</v>
      </c>
    </row>
    <row r="27" spans="1:5">
      <c r="A27" s="1"/>
      <c r="B27" s="9" t="s">
        <v>96</v>
      </c>
      <c r="C27" s="10">
        <v>1</v>
      </c>
      <c r="D27" s="10" t="s">
        <v>97</v>
      </c>
      <c r="E27" s="141">
        <v>5100</v>
      </c>
    </row>
    <row r="28" spans="1:5">
      <c r="A28" s="1"/>
      <c r="B28" s="9" t="s">
        <v>348</v>
      </c>
      <c r="C28" s="10">
        <v>1</v>
      </c>
      <c r="D28" s="10" t="s">
        <v>72</v>
      </c>
      <c r="E28" s="141">
        <v>1000</v>
      </c>
    </row>
    <row r="29" spans="1:5">
      <c r="A29" s="1"/>
      <c r="B29" s="9" t="s">
        <v>98</v>
      </c>
      <c r="C29" s="10">
        <v>1</v>
      </c>
      <c r="D29" s="10" t="s">
        <v>81</v>
      </c>
      <c r="E29" s="141">
        <v>264</v>
      </c>
    </row>
    <row r="30" spans="1:5">
      <c r="A30" s="1"/>
      <c r="B30" s="9" t="s">
        <v>99</v>
      </c>
      <c r="C30" s="10">
        <v>1</v>
      </c>
      <c r="D30" s="10" t="s">
        <v>81</v>
      </c>
      <c r="E30" s="141">
        <v>695</v>
      </c>
    </row>
    <row r="31" spans="1:5">
      <c r="A31" s="1"/>
      <c r="B31" s="9" t="s">
        <v>100</v>
      </c>
      <c r="C31" s="10">
        <v>1</v>
      </c>
      <c r="D31" s="10" t="s">
        <v>101</v>
      </c>
      <c r="E31" s="135">
        <v>11</v>
      </c>
    </row>
    <row r="32" spans="1:5">
      <c r="A32" s="1"/>
      <c r="B32" s="5" t="s">
        <v>102</v>
      </c>
      <c r="C32" s="11">
        <v>1</v>
      </c>
      <c r="D32" s="12" t="s">
        <v>94</v>
      </c>
      <c r="E32" s="141">
        <v>19000</v>
      </c>
    </row>
    <row r="33" spans="1:5">
      <c r="A33" s="1"/>
      <c r="B33" s="9" t="s">
        <v>103</v>
      </c>
      <c r="C33" s="10">
        <v>1</v>
      </c>
      <c r="D33" s="10" t="s">
        <v>72</v>
      </c>
      <c r="E33" s="141">
        <v>2800</v>
      </c>
    </row>
    <row r="34" spans="1:5">
      <c r="A34" s="1"/>
      <c r="B34" s="9" t="s">
        <v>104</v>
      </c>
      <c r="C34" s="10">
        <v>1</v>
      </c>
      <c r="D34" s="10" t="s">
        <v>55</v>
      </c>
      <c r="E34" s="141">
        <v>73000</v>
      </c>
    </row>
    <row r="35" spans="1:5">
      <c r="A35" s="1"/>
      <c r="B35" s="166" t="s">
        <v>351</v>
      </c>
      <c r="C35" s="171">
        <v>1</v>
      </c>
      <c r="D35" s="171" t="s">
        <v>105</v>
      </c>
      <c r="E35" s="277">
        <v>2825</v>
      </c>
    </row>
    <row r="36" spans="1:5">
      <c r="A36" s="1"/>
      <c r="B36" s="9" t="s">
        <v>106</v>
      </c>
      <c r="C36" s="10">
        <v>1</v>
      </c>
      <c r="D36" s="10" t="s">
        <v>72</v>
      </c>
      <c r="E36" s="273">
        <f>18500/50</f>
        <v>370</v>
      </c>
    </row>
    <row r="37" spans="1:5">
      <c r="A37" s="1"/>
      <c r="B37" s="9" t="s">
        <v>295</v>
      </c>
      <c r="C37" s="10">
        <v>1</v>
      </c>
      <c r="D37" s="274" t="s">
        <v>81</v>
      </c>
      <c r="E37" s="141">
        <v>36333</v>
      </c>
    </row>
    <row r="38" spans="1:5">
      <c r="A38" s="1"/>
      <c r="B38" s="9" t="s">
        <v>107</v>
      </c>
      <c r="C38" s="10">
        <v>1</v>
      </c>
      <c r="D38" s="274" t="s">
        <v>105</v>
      </c>
      <c r="E38" s="141">
        <v>3335</v>
      </c>
    </row>
    <row r="39" spans="1:5">
      <c r="A39" s="1"/>
      <c r="B39" s="9" t="s">
        <v>369</v>
      </c>
      <c r="C39" s="10">
        <v>1</v>
      </c>
      <c r="D39" s="274" t="s">
        <v>55</v>
      </c>
      <c r="E39" s="141">
        <v>108600</v>
      </c>
    </row>
    <row r="40" spans="1:5">
      <c r="A40" s="1"/>
      <c r="B40" s="9" t="s">
        <v>108</v>
      </c>
      <c r="C40" s="10">
        <v>1</v>
      </c>
      <c r="D40" s="274" t="s">
        <v>72</v>
      </c>
      <c r="E40" s="141">
        <v>450000</v>
      </c>
    </row>
    <row r="41" spans="1:5">
      <c r="A41" s="1"/>
      <c r="B41" s="9" t="s">
        <v>109</v>
      </c>
      <c r="C41" s="10">
        <v>1</v>
      </c>
      <c r="D41" s="10" t="s">
        <v>72</v>
      </c>
      <c r="E41" s="275">
        <v>35000</v>
      </c>
    </row>
    <row r="42" spans="1:5">
      <c r="A42" s="1"/>
      <c r="B42" s="9" t="s">
        <v>292</v>
      </c>
      <c r="C42" s="10">
        <v>1</v>
      </c>
      <c r="D42" s="10" t="s">
        <v>72</v>
      </c>
      <c r="E42" s="141">
        <v>735108</v>
      </c>
    </row>
    <row r="43" spans="1:5">
      <c r="A43" s="1"/>
      <c r="B43" s="9" t="s">
        <v>110</v>
      </c>
      <c r="C43" s="10">
        <v>1</v>
      </c>
      <c r="D43" s="10" t="s">
        <v>72</v>
      </c>
      <c r="E43" s="141">
        <v>450000</v>
      </c>
    </row>
    <row r="44" spans="1:5">
      <c r="A44" s="240"/>
      <c r="B44" s="9" t="s">
        <v>111</v>
      </c>
      <c r="C44" s="10">
        <v>1</v>
      </c>
      <c r="D44" s="10" t="s">
        <v>72</v>
      </c>
      <c r="E44" s="141">
        <v>123165</v>
      </c>
    </row>
    <row r="45" spans="1:5">
      <c r="A45" s="1"/>
      <c r="B45" s="9" t="s">
        <v>112</v>
      </c>
      <c r="C45" s="10">
        <v>1</v>
      </c>
      <c r="D45" s="10" t="s">
        <v>72</v>
      </c>
      <c r="E45" s="141">
        <v>174920</v>
      </c>
    </row>
    <row r="46" spans="1:5">
      <c r="A46" s="1"/>
      <c r="B46" s="9" t="s">
        <v>113</v>
      </c>
      <c r="C46" s="10">
        <v>1</v>
      </c>
      <c r="D46" s="10" t="s">
        <v>72</v>
      </c>
      <c r="E46" s="141">
        <f>1.2*6000</f>
        <v>7200</v>
      </c>
    </row>
    <row r="47" spans="1:5">
      <c r="A47" s="1"/>
      <c r="B47" s="9" t="s">
        <v>114</v>
      </c>
      <c r="C47" s="10">
        <v>1</v>
      </c>
      <c r="D47" s="10" t="s">
        <v>72</v>
      </c>
      <c r="E47" s="141">
        <f>1.2*1500</f>
        <v>1800</v>
      </c>
    </row>
    <row r="48" spans="1:5">
      <c r="A48" s="1"/>
      <c r="B48" s="9" t="s">
        <v>115</v>
      </c>
      <c r="C48" s="10">
        <v>1</v>
      </c>
      <c r="D48" s="10" t="s">
        <v>72</v>
      </c>
      <c r="E48" s="141">
        <f>1.2*2000</f>
        <v>2400</v>
      </c>
    </row>
    <row r="49" spans="1:5">
      <c r="A49" s="1"/>
      <c r="B49" s="9" t="s">
        <v>116</v>
      </c>
      <c r="C49" s="10">
        <v>1</v>
      </c>
      <c r="D49" s="10" t="s">
        <v>72</v>
      </c>
      <c r="E49" s="141">
        <f>1.2*2500</f>
        <v>3000</v>
      </c>
    </row>
    <row r="50" spans="1:5">
      <c r="A50" s="1"/>
      <c r="B50" s="9" t="s">
        <v>117</v>
      </c>
      <c r="C50" s="10">
        <v>1</v>
      </c>
      <c r="D50" s="10" t="s">
        <v>72</v>
      </c>
      <c r="E50" s="141">
        <v>384000</v>
      </c>
    </row>
    <row r="51" spans="1:5">
      <c r="A51" s="1"/>
      <c r="B51" s="9" t="s">
        <v>118</v>
      </c>
      <c r="C51" s="10">
        <v>1</v>
      </c>
      <c r="D51" s="10" t="s">
        <v>72</v>
      </c>
      <c r="E51" s="141">
        <f>1.2*48000</f>
        <v>57600</v>
      </c>
    </row>
    <row r="52" spans="1:5">
      <c r="A52" s="1"/>
      <c r="B52" s="9" t="s">
        <v>119</v>
      </c>
      <c r="C52" s="10">
        <v>1</v>
      </c>
      <c r="D52" s="10" t="s">
        <v>72</v>
      </c>
      <c r="E52" s="141">
        <f>1.2*45000</f>
        <v>54000</v>
      </c>
    </row>
    <row r="53" spans="1:5">
      <c r="A53" s="1"/>
      <c r="B53" s="9" t="s">
        <v>120</v>
      </c>
      <c r="C53" s="10">
        <v>1</v>
      </c>
      <c r="D53" s="10" t="s">
        <v>72</v>
      </c>
      <c r="E53" s="141">
        <f>1.2*40000</f>
        <v>48000</v>
      </c>
    </row>
    <row r="54" spans="1:5">
      <c r="A54" s="1"/>
      <c r="B54" s="9" t="s">
        <v>121</v>
      </c>
      <c r="C54" s="10">
        <v>1</v>
      </c>
      <c r="D54" s="10" t="s">
        <v>72</v>
      </c>
      <c r="E54" s="141">
        <f>1.2*39000</f>
        <v>46800</v>
      </c>
    </row>
    <row r="55" spans="1:5">
      <c r="A55" s="1"/>
      <c r="B55" s="9" t="s">
        <v>122</v>
      </c>
      <c r="C55" s="10">
        <v>1</v>
      </c>
      <c r="D55" s="10" t="s">
        <v>123</v>
      </c>
      <c r="E55" s="141">
        <f>1.2*25000</f>
        <v>30000</v>
      </c>
    </row>
    <row r="56" spans="1:5">
      <c r="A56" s="1"/>
      <c r="B56" s="9" t="s">
        <v>124</v>
      </c>
      <c r="C56" s="10">
        <v>1</v>
      </c>
      <c r="D56" s="10" t="s">
        <v>72</v>
      </c>
      <c r="E56" s="141">
        <v>15000</v>
      </c>
    </row>
    <row r="57" spans="1:5">
      <c r="A57" s="1"/>
      <c r="B57" s="9" t="s">
        <v>90</v>
      </c>
      <c r="C57" s="10">
        <v>1</v>
      </c>
      <c r="D57" s="10" t="s">
        <v>72</v>
      </c>
      <c r="E57" s="141">
        <v>8000</v>
      </c>
    </row>
    <row r="58" spans="1:5" ht="24">
      <c r="A58" s="1"/>
      <c r="B58" s="9" t="s">
        <v>125</v>
      </c>
      <c r="C58" s="10">
        <v>1</v>
      </c>
      <c r="D58" s="10" t="s">
        <v>72</v>
      </c>
      <c r="E58" s="141">
        <v>7507374</v>
      </c>
    </row>
    <row r="59" spans="1:5" ht="36">
      <c r="A59" s="1"/>
      <c r="B59" s="9" t="s">
        <v>126</v>
      </c>
      <c r="C59" s="10">
        <v>1</v>
      </c>
      <c r="D59" s="10" t="s">
        <v>72</v>
      </c>
      <c r="E59" s="141">
        <v>9107812</v>
      </c>
    </row>
    <row r="60" spans="1:5" ht="24">
      <c r="A60" s="1"/>
      <c r="B60" s="276" t="s">
        <v>127</v>
      </c>
      <c r="C60" s="10">
        <v>1</v>
      </c>
      <c r="D60" s="10" t="s">
        <v>72</v>
      </c>
      <c r="E60" s="141">
        <v>12148590</v>
      </c>
    </row>
    <row r="61" spans="1:5" ht="48">
      <c r="A61" s="1"/>
      <c r="B61" s="9" t="s">
        <v>128</v>
      </c>
      <c r="C61" s="10">
        <v>1</v>
      </c>
      <c r="D61" s="10" t="s">
        <v>72</v>
      </c>
      <c r="E61" s="141">
        <v>20217719</v>
      </c>
    </row>
    <row r="62" spans="1:5">
      <c r="A62" s="1"/>
      <c r="B62" s="9" t="s">
        <v>129</v>
      </c>
      <c r="C62" s="10">
        <v>1</v>
      </c>
      <c r="D62" s="10" t="s">
        <v>72</v>
      </c>
      <c r="E62" s="141">
        <v>956835</v>
      </c>
    </row>
    <row r="63" spans="1:5">
      <c r="A63" s="1"/>
      <c r="B63" s="9" t="s">
        <v>130</v>
      </c>
      <c r="C63" s="10">
        <v>1</v>
      </c>
      <c r="D63" s="10" t="s">
        <v>72</v>
      </c>
      <c r="E63" s="141">
        <v>1209173</v>
      </c>
    </row>
    <row r="64" spans="1:5">
      <c r="A64" s="1"/>
      <c r="B64" s="9" t="s">
        <v>131</v>
      </c>
      <c r="C64" s="10">
        <v>1</v>
      </c>
      <c r="D64" s="10" t="s">
        <v>23</v>
      </c>
      <c r="E64" s="141">
        <v>126945</v>
      </c>
    </row>
    <row r="65" spans="1:7">
      <c r="A65" s="1"/>
      <c r="B65" s="9" t="s">
        <v>132</v>
      </c>
      <c r="C65" s="10">
        <v>1</v>
      </c>
      <c r="D65" s="10" t="s">
        <v>72</v>
      </c>
      <c r="E65" s="141">
        <v>850000</v>
      </c>
    </row>
    <row r="66" spans="1:7">
      <c r="A66" s="1"/>
      <c r="B66" s="9" t="s">
        <v>133</v>
      </c>
      <c r="C66" s="10">
        <v>1</v>
      </c>
      <c r="D66" s="10" t="s">
        <v>72</v>
      </c>
      <c r="E66" s="141">
        <v>1446462</v>
      </c>
    </row>
    <row r="67" spans="1:7">
      <c r="A67" s="1"/>
      <c r="B67" s="9" t="s">
        <v>134</v>
      </c>
      <c r="C67" s="10">
        <v>1</v>
      </c>
      <c r="D67" s="10" t="s">
        <v>72</v>
      </c>
      <c r="E67" s="141">
        <v>1377105</v>
      </c>
      <c r="G67" s="162"/>
    </row>
    <row r="68" spans="1:7">
      <c r="A68" s="1"/>
      <c r="B68" s="9" t="s">
        <v>135</v>
      </c>
      <c r="C68" s="10">
        <v>1</v>
      </c>
      <c r="D68" s="10" t="s">
        <v>55</v>
      </c>
      <c r="E68" s="135">
        <v>457500</v>
      </c>
    </row>
    <row r="69" spans="1:7">
      <c r="A69" s="1"/>
      <c r="B69" s="9" t="s">
        <v>136</v>
      </c>
      <c r="C69" s="10">
        <v>1</v>
      </c>
      <c r="D69" s="10" t="s">
        <v>72</v>
      </c>
      <c r="E69" s="135">
        <v>102000</v>
      </c>
    </row>
    <row r="70" spans="1:7">
      <c r="A70" s="1"/>
      <c r="B70" s="9" t="s">
        <v>291</v>
      </c>
      <c r="C70" s="10">
        <v>1</v>
      </c>
      <c r="D70" s="10" t="s">
        <v>72</v>
      </c>
      <c r="E70" s="141">
        <v>14351344</v>
      </c>
    </row>
    <row r="71" spans="1:7">
      <c r="A71" s="1"/>
      <c r="B71" s="9" t="s">
        <v>98</v>
      </c>
      <c r="C71" s="10">
        <v>1</v>
      </c>
      <c r="D71" s="10" t="s">
        <v>81</v>
      </c>
      <c r="E71" s="141">
        <v>264</v>
      </c>
    </row>
    <row r="72" spans="1:7" ht="72">
      <c r="A72" s="1"/>
      <c r="B72" s="9" t="s">
        <v>138</v>
      </c>
      <c r="C72" s="10">
        <v>1</v>
      </c>
      <c r="D72" s="10" t="s">
        <v>139</v>
      </c>
      <c r="E72" s="141">
        <v>10000</v>
      </c>
    </row>
    <row r="73" spans="1:7">
      <c r="A73" s="1"/>
      <c r="B73" s="9" t="s">
        <v>140</v>
      </c>
      <c r="C73" s="10">
        <v>1</v>
      </c>
      <c r="D73" s="10" t="s">
        <v>141</v>
      </c>
      <c r="E73" s="141">
        <v>45000</v>
      </c>
    </row>
    <row r="74" spans="1:7">
      <c r="A74" s="1"/>
      <c r="B74" s="9" t="s">
        <v>142</v>
      </c>
      <c r="C74" s="10">
        <v>1</v>
      </c>
      <c r="D74" s="10" t="s">
        <v>143</v>
      </c>
      <c r="E74" s="141">
        <v>7500</v>
      </c>
    </row>
    <row r="75" spans="1:7">
      <c r="A75" s="1"/>
      <c r="B75" s="9" t="s">
        <v>144</v>
      </c>
      <c r="C75" s="10">
        <v>50</v>
      </c>
      <c r="D75" s="10" t="s">
        <v>145</v>
      </c>
      <c r="E75" s="141">
        <v>8350</v>
      </c>
    </row>
    <row r="76" spans="1:7">
      <c r="A76" s="1"/>
      <c r="B76" s="9" t="s">
        <v>146</v>
      </c>
      <c r="C76" s="10">
        <v>1</v>
      </c>
      <c r="D76" s="10" t="s">
        <v>147</v>
      </c>
      <c r="E76" s="141">
        <v>7500</v>
      </c>
    </row>
    <row r="77" spans="1:7">
      <c r="A77" s="1"/>
      <c r="B77" s="5" t="s">
        <v>102</v>
      </c>
      <c r="C77" s="1">
        <v>1</v>
      </c>
      <c r="D77" s="1" t="s">
        <v>72</v>
      </c>
      <c r="E77" s="141">
        <v>19000</v>
      </c>
    </row>
  </sheetData>
  <sheetProtection algorithmName="SHA-512" hashValue="WHG5sVufMppwhNO7TJK9Mvv1aI+iJnrX/4GyoICJjIa9txFhMKWJFJQ3DMWzLR15cL/cFc9eTdM3tZb9yxdMlw==" saltValue="NClzAhctzuMC9vRTo2Oa3g==" spinCount="100000" sheet="1" objects="1" scenarios="1"/>
  <pageMargins left="0.7" right="0.7" top="0.75" bottom="0.75" header="0" footer="0"/>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4"/>
  <dimension ref="A1:H21"/>
  <sheetViews>
    <sheetView zoomScale="90" zoomScaleNormal="90" workbookViewId="0">
      <selection activeCell="J7" sqref="J7"/>
    </sheetView>
  </sheetViews>
  <sheetFormatPr baseColWidth="10" defaultColWidth="11.5" defaultRowHeight="14.25"/>
  <cols>
    <col min="1" max="1" width="25.125" style="181" customWidth="1"/>
    <col min="2" max="3" width="11.5" style="181"/>
    <col min="4" max="4" width="18" style="181" customWidth="1"/>
    <col min="5" max="5" width="18.375" style="181" customWidth="1"/>
    <col min="6" max="6" width="15.375" style="181" customWidth="1"/>
    <col min="7" max="7" width="11.5" style="181"/>
    <col min="8" max="8" width="12.5" style="181" customWidth="1"/>
    <col min="9" max="16384" width="11.5" style="181"/>
  </cols>
  <sheetData>
    <row r="1" spans="1:8">
      <c r="B1" s="368" t="s">
        <v>328</v>
      </c>
      <c r="C1" s="369"/>
      <c r="D1" s="369"/>
      <c r="E1" s="369"/>
      <c r="F1" s="369"/>
    </row>
    <row r="2" spans="1:8" ht="30">
      <c r="A2" s="182" t="s">
        <v>300</v>
      </c>
      <c r="B2" s="183" t="s">
        <v>172</v>
      </c>
      <c r="C2" s="184" t="s">
        <v>301</v>
      </c>
      <c r="D2" s="184" t="s">
        <v>302</v>
      </c>
      <c r="E2" s="184" t="s">
        <v>303</v>
      </c>
      <c r="F2" s="182" t="s">
        <v>304</v>
      </c>
      <c r="G2" s="185" t="s">
        <v>305</v>
      </c>
    </row>
    <row r="3" spans="1:8">
      <c r="A3" s="181" t="s">
        <v>306</v>
      </c>
      <c r="B3" s="186">
        <v>1750905</v>
      </c>
      <c r="C3" s="187">
        <v>249095</v>
      </c>
      <c r="D3" s="188">
        <f>B3</f>
        <v>1750905</v>
      </c>
      <c r="E3" s="188">
        <f>(B3+C3)</f>
        <v>2000000</v>
      </c>
      <c r="F3" s="188">
        <f>E3</f>
        <v>2000000</v>
      </c>
      <c r="G3" s="188">
        <f>ROUND(F3/30,0)</f>
        <v>66667</v>
      </c>
    </row>
    <row r="4" spans="1:8" ht="14.45" customHeight="1">
      <c r="A4" s="181" t="s">
        <v>307</v>
      </c>
      <c r="B4" s="189">
        <v>0.16</v>
      </c>
      <c r="D4" s="188">
        <f>D3*B4</f>
        <v>280144.8</v>
      </c>
      <c r="E4" s="370" t="s">
        <v>308</v>
      </c>
      <c r="F4" s="188">
        <f>ROUND(D4,0)</f>
        <v>280145</v>
      </c>
      <c r="G4" s="188">
        <f t="shared" ref="G4:G5" si="0">ROUND(F4/30,0)</f>
        <v>9338</v>
      </c>
    </row>
    <row r="5" spans="1:8">
      <c r="A5" s="181" t="s">
        <v>309</v>
      </c>
      <c r="B5" s="190">
        <v>0.125</v>
      </c>
      <c r="D5" s="188">
        <f>D3*B5</f>
        <v>218863.125</v>
      </c>
      <c r="E5" s="370"/>
      <c r="F5" s="188">
        <f>ROUND(D5,0)</f>
        <v>218863</v>
      </c>
      <c r="G5" s="188">
        <f t="shared" si="0"/>
        <v>7295</v>
      </c>
    </row>
    <row r="6" spans="1:8">
      <c r="A6" s="181" t="s">
        <v>310</v>
      </c>
      <c r="B6" s="191">
        <v>1.04E-2</v>
      </c>
      <c r="D6" s="188">
        <f>D3*B6</f>
        <v>18209.412</v>
      </c>
      <c r="E6" s="370"/>
      <c r="F6" s="188">
        <f>ROUND(D6,0)</f>
        <v>18209</v>
      </c>
      <c r="G6" s="188">
        <f>ROUND(F6/30,0)</f>
        <v>607</v>
      </c>
    </row>
    <row r="7" spans="1:8" ht="30">
      <c r="A7" s="192" t="s">
        <v>311</v>
      </c>
      <c r="B7" s="193"/>
      <c r="C7" s="194"/>
      <c r="D7" s="195"/>
      <c r="E7" s="195"/>
      <c r="F7" s="195">
        <f>SUM(F3:F6)</f>
        <v>2517217</v>
      </c>
      <c r="G7" s="196">
        <f>SUM(G3:G6)</f>
        <v>83907</v>
      </c>
    </row>
    <row r="8" spans="1:8" ht="14.45" customHeight="1">
      <c r="A8" s="181" t="s">
        <v>312</v>
      </c>
      <c r="B8" s="191">
        <v>8.3299999999999999E-2</v>
      </c>
      <c r="D8" s="371" t="s">
        <v>313</v>
      </c>
      <c r="E8" s="197">
        <f>B8*$E$3</f>
        <v>166600</v>
      </c>
      <c r="F8" s="188">
        <f>ROUND(E8,0)</f>
        <v>166600</v>
      </c>
      <c r="G8" s="188">
        <f t="shared" ref="G8:G11" si="1">ROUND(F8/30,0)</f>
        <v>5553</v>
      </c>
    </row>
    <row r="9" spans="1:8">
      <c r="A9" s="181" t="s">
        <v>314</v>
      </c>
      <c r="B9" s="191">
        <v>8.3299999999999999E-2</v>
      </c>
      <c r="D9" s="371"/>
      <c r="E9" s="197">
        <f t="shared" ref="E9" si="2">B9*$E$3</f>
        <v>166600</v>
      </c>
      <c r="F9" s="188">
        <f>ROUND(E9,0)</f>
        <v>166600</v>
      </c>
      <c r="G9" s="188">
        <f>ROUND(F9/30,0)</f>
        <v>5553</v>
      </c>
    </row>
    <row r="10" spans="1:8">
      <c r="A10" s="181" t="s">
        <v>315</v>
      </c>
      <c r="B10" s="189">
        <v>0.01</v>
      </c>
      <c r="C10" s="198"/>
      <c r="D10" s="371"/>
      <c r="E10" s="197">
        <f>B10*$E$3</f>
        <v>20000</v>
      </c>
      <c r="F10" s="188">
        <f>ROUND(E10,0)</f>
        <v>20000</v>
      </c>
      <c r="G10" s="188">
        <f t="shared" si="1"/>
        <v>667</v>
      </c>
    </row>
    <row r="11" spans="1:8">
      <c r="A11" s="181" t="s">
        <v>316</v>
      </c>
      <c r="B11" s="191">
        <v>4.1700000000000001E-2</v>
      </c>
      <c r="D11" s="197">
        <f>B11*$D$3</f>
        <v>73012.738500000007</v>
      </c>
      <c r="F11" s="188">
        <f t="shared" ref="F11" si="3">ROUND(D11,0)</f>
        <v>73013</v>
      </c>
      <c r="G11" s="188">
        <f t="shared" si="1"/>
        <v>2434</v>
      </c>
    </row>
    <row r="12" spans="1:8" ht="30">
      <c r="A12" s="192" t="s">
        <v>317</v>
      </c>
      <c r="B12" s="193"/>
      <c r="C12" s="194"/>
      <c r="D12" s="199"/>
      <c r="E12" s="199"/>
      <c r="F12" s="199">
        <f>F7+SUM(F8:F11)</f>
        <v>2943430</v>
      </c>
      <c r="G12" s="196">
        <f>SUM(G7:G11)</f>
        <v>98114</v>
      </c>
      <c r="H12" s="200" t="s">
        <v>318</v>
      </c>
    </row>
    <row r="13" spans="1:8" ht="15">
      <c r="A13" s="181" t="s">
        <v>319</v>
      </c>
      <c r="B13" s="189">
        <v>0.04</v>
      </c>
      <c r="D13" s="188">
        <f>$D$3*B13</f>
        <v>70036.2</v>
      </c>
      <c r="E13" s="201"/>
      <c r="F13" s="188">
        <f>D13</f>
        <v>70036.2</v>
      </c>
      <c r="G13" s="188">
        <f>ROUND(F13/30,0)</f>
        <v>2335</v>
      </c>
      <c r="H13" s="202">
        <f>G12+G13</f>
        <v>100449</v>
      </c>
    </row>
    <row r="14" spans="1:8">
      <c r="A14" s="203" t="s">
        <v>320</v>
      </c>
      <c r="B14" s="204">
        <v>0.03</v>
      </c>
      <c r="C14" s="205"/>
      <c r="D14" s="188">
        <f>$D$3*B14</f>
        <v>52527.15</v>
      </c>
      <c r="E14" s="206"/>
      <c r="F14" s="206">
        <f>D14</f>
        <v>52527.15</v>
      </c>
      <c r="G14" s="188">
        <f t="shared" ref="G14" si="4">ROUND(F14/30,0)</f>
        <v>1751</v>
      </c>
    </row>
    <row r="15" spans="1:8">
      <c r="A15" s="203" t="s">
        <v>321</v>
      </c>
      <c r="B15" s="204">
        <v>0.02</v>
      </c>
      <c r="C15" s="205"/>
      <c r="D15" s="188">
        <f>$D$3*B15</f>
        <v>35018.1</v>
      </c>
      <c r="E15" s="206"/>
      <c r="F15" s="206">
        <f>D15</f>
        <v>35018.1</v>
      </c>
      <c r="G15" s="188">
        <f>ROUND(F15/30,0)</f>
        <v>1167</v>
      </c>
    </row>
    <row r="16" spans="1:8" ht="30">
      <c r="A16" s="192" t="s">
        <v>322</v>
      </c>
      <c r="B16" s="193"/>
      <c r="C16" s="194"/>
      <c r="D16" s="199"/>
      <c r="E16" s="199"/>
      <c r="F16" s="199">
        <f>SUM(F12:F15)</f>
        <v>3101011.45</v>
      </c>
      <c r="G16" s="196">
        <f>SUM(G12:G15)</f>
        <v>103367</v>
      </c>
      <c r="H16" s="188"/>
    </row>
    <row r="17" spans="4:6">
      <c r="D17" s="206"/>
      <c r="E17" s="206"/>
    </row>
    <row r="18" spans="4:6" ht="30">
      <c r="D18" s="207" t="s">
        <v>323</v>
      </c>
      <c r="E18" s="372">
        <f>G12</f>
        <v>98114</v>
      </c>
      <c r="F18" s="373"/>
    </row>
    <row r="19" spans="4:6" ht="15">
      <c r="D19" s="208" t="s">
        <v>324</v>
      </c>
      <c r="E19" s="372"/>
      <c r="F19" s="373"/>
    </row>
    <row r="21" spans="4:6" ht="15">
      <c r="D21" s="208" t="s">
        <v>325</v>
      </c>
      <c r="E21" s="209">
        <f>E18*0.5</f>
        <v>49057</v>
      </c>
      <c r="F21" s="210">
        <v>50000</v>
      </c>
    </row>
  </sheetData>
  <sheetProtection algorithmName="SHA-512" hashValue="QDcrlMzMnnKdeWsVanNdiza69s514VUbBpuTjOz8AaQEqh39jMFcTPJgXFmK0vDR3C+ciRf2n6B0x61pPRrd0A==" saltValue="+k1jtWW/DfKjk2uV7yfCpg==" spinCount="100000" sheet="1" objects="1" scenarios="1"/>
  <mergeCells count="5">
    <mergeCell ref="B1:F1"/>
    <mergeCell ref="E4:E6"/>
    <mergeCell ref="D8:D10"/>
    <mergeCell ref="E18:E19"/>
    <mergeCell ref="F18:F1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P1000"/>
  <sheetViews>
    <sheetView topLeftCell="A23" zoomScale="90" zoomScaleNormal="90" workbookViewId="0">
      <selection activeCell="H19" sqref="H19 H9"/>
    </sheetView>
  </sheetViews>
  <sheetFormatPr baseColWidth="10" defaultColWidth="12.5" defaultRowHeight="15" customHeight="1"/>
  <cols>
    <col min="1" max="1" width="33.5" customWidth="1"/>
    <col min="2" max="2" width="13" customWidth="1"/>
    <col min="3" max="3" width="10.5" customWidth="1"/>
    <col min="4" max="4" width="14.125" customWidth="1"/>
    <col min="5" max="5" width="12.5" bestFit="1" customWidth="1"/>
    <col min="6" max="6" width="14.125" customWidth="1"/>
    <col min="7" max="7" width="12.625" customWidth="1"/>
    <col min="8" max="8" width="14.125" customWidth="1"/>
    <col min="9" max="9" width="10.5" customWidth="1"/>
    <col min="10" max="10" width="14.125" customWidth="1"/>
    <col min="11" max="11" width="10.5" customWidth="1"/>
    <col min="12" max="12" width="14.125" customWidth="1"/>
    <col min="13" max="13" width="10.5" customWidth="1"/>
    <col min="14" max="14" width="3.125" customWidth="1"/>
    <col min="15" max="18" width="10.5" customWidth="1"/>
  </cols>
  <sheetData>
    <row r="1" spans="1:16" ht="14.25">
      <c r="A1" s="377" t="s">
        <v>296</v>
      </c>
      <c r="B1" s="378"/>
      <c r="C1" s="378"/>
      <c r="D1" s="378"/>
      <c r="E1" s="378"/>
      <c r="F1" s="378"/>
      <c r="G1" s="378"/>
      <c r="H1" s="378"/>
      <c r="I1" s="378"/>
      <c r="J1" s="378"/>
      <c r="K1" s="378"/>
      <c r="L1" s="378"/>
      <c r="M1" s="379"/>
    </row>
    <row r="2" spans="1:16" thickBot="1">
      <c r="A2" s="380"/>
      <c r="B2" s="381"/>
      <c r="C2" s="381"/>
      <c r="D2" s="381"/>
      <c r="E2" s="381"/>
      <c r="F2" s="381"/>
      <c r="G2" s="381"/>
      <c r="H2" s="381"/>
      <c r="I2" s="381"/>
      <c r="J2" s="381"/>
      <c r="K2" s="381"/>
      <c r="L2" s="381"/>
      <c r="M2" s="382"/>
    </row>
    <row r="3" spans="1:16" ht="15.75" thickBot="1">
      <c r="A3" s="13"/>
      <c r="B3" s="13"/>
      <c r="C3" s="13"/>
      <c r="D3" s="13"/>
      <c r="E3" s="13"/>
      <c r="F3" s="13"/>
      <c r="G3" s="13"/>
      <c r="H3" s="13"/>
      <c r="I3" s="13"/>
      <c r="J3" s="13"/>
      <c r="K3" s="13"/>
      <c r="L3" s="13"/>
      <c r="M3" s="13"/>
    </row>
    <row r="4" spans="1:16" ht="15.75" thickBot="1">
      <c r="A4" s="383" t="s">
        <v>148</v>
      </c>
      <c r="B4" s="384"/>
      <c r="C4" s="385"/>
      <c r="D4" s="386" t="s">
        <v>149</v>
      </c>
      <c r="E4" s="387"/>
      <c r="F4" s="388" t="s">
        <v>150</v>
      </c>
      <c r="G4" s="387"/>
      <c r="H4" s="388" t="s">
        <v>151</v>
      </c>
      <c r="I4" s="387"/>
      <c r="J4" s="388" t="s">
        <v>152</v>
      </c>
      <c r="K4" s="387"/>
      <c r="L4" s="388" t="s">
        <v>153</v>
      </c>
      <c r="M4" s="387"/>
      <c r="O4" s="181"/>
      <c r="P4" s="181"/>
    </row>
    <row r="5" spans="1:16">
      <c r="A5" s="14" t="s">
        <v>154</v>
      </c>
      <c r="B5" s="15">
        <v>1750905</v>
      </c>
      <c r="C5" s="173"/>
      <c r="D5" s="176"/>
      <c r="E5" s="17" t="s">
        <v>155</v>
      </c>
      <c r="F5" s="16">
        <v>1.3</v>
      </c>
      <c r="G5" s="17" t="s">
        <v>155</v>
      </c>
      <c r="H5" s="16">
        <v>2</v>
      </c>
      <c r="I5" s="17" t="s">
        <v>155</v>
      </c>
      <c r="J5" s="16"/>
      <c r="K5" s="17" t="s">
        <v>155</v>
      </c>
      <c r="L5" s="16"/>
      <c r="M5" s="17" t="s">
        <v>155</v>
      </c>
      <c r="O5" s="181"/>
      <c r="P5" s="181"/>
    </row>
    <row r="6" spans="1:16" ht="14.25">
      <c r="A6" s="18" t="s">
        <v>156</v>
      </c>
      <c r="B6" s="19"/>
      <c r="C6" s="174"/>
      <c r="D6" s="177">
        <f>B5</f>
        <v>1750905</v>
      </c>
      <c r="E6" s="21" t="s">
        <v>157</v>
      </c>
      <c r="F6" s="20">
        <f>+F5*$B$5</f>
        <v>2276176.5</v>
      </c>
      <c r="G6" s="21" t="s">
        <v>157</v>
      </c>
      <c r="H6" s="20">
        <f>+H5*$B$5</f>
        <v>3501810</v>
      </c>
      <c r="I6" s="21" t="s">
        <v>157</v>
      </c>
      <c r="J6" s="20">
        <v>3000000</v>
      </c>
      <c r="K6" s="21" t="s">
        <v>157</v>
      </c>
      <c r="L6" s="20">
        <v>4000000</v>
      </c>
      <c r="M6" s="21" t="s">
        <v>157</v>
      </c>
      <c r="O6" s="181"/>
      <c r="P6" s="181"/>
    </row>
    <row r="7" spans="1:16" ht="15" customHeight="1">
      <c r="A7" s="18" t="s">
        <v>158</v>
      </c>
      <c r="B7" s="19"/>
      <c r="C7" s="174"/>
      <c r="D7" s="177">
        <v>249095</v>
      </c>
      <c r="E7" s="21" t="s">
        <v>159</v>
      </c>
      <c r="F7" s="20">
        <f>D7</f>
        <v>249095</v>
      </c>
      <c r="G7" s="21" t="s">
        <v>159</v>
      </c>
      <c r="H7" s="20">
        <f>D7</f>
        <v>249095</v>
      </c>
      <c r="I7" s="21" t="s">
        <v>159</v>
      </c>
      <c r="J7" s="20">
        <v>0</v>
      </c>
      <c r="K7" s="21" t="s">
        <v>159</v>
      </c>
      <c r="L7" s="20">
        <v>0</v>
      </c>
      <c r="M7" s="21" t="s">
        <v>159</v>
      </c>
      <c r="O7" s="181"/>
      <c r="P7" s="181"/>
    </row>
    <row r="8" spans="1:16" ht="14.25">
      <c r="A8" s="18" t="s">
        <v>160</v>
      </c>
      <c r="B8" s="159"/>
      <c r="C8" s="174"/>
      <c r="D8" s="177">
        <f>SUM(D6:D7)</f>
        <v>2000000</v>
      </c>
      <c r="E8" s="21" t="s">
        <v>161</v>
      </c>
      <c r="F8" s="20">
        <f>SUM(F6:F7)</f>
        <v>2525271.5</v>
      </c>
      <c r="G8" s="21" t="s">
        <v>161</v>
      </c>
      <c r="H8" s="20">
        <f>SUM(H6:H7)</f>
        <v>3750905</v>
      </c>
      <c r="I8" s="21" t="s">
        <v>161</v>
      </c>
      <c r="J8" s="20">
        <f>SUM(J6:J7)</f>
        <v>3000000</v>
      </c>
      <c r="K8" s="21" t="s">
        <v>161</v>
      </c>
      <c r="L8" s="20">
        <f>SUM(L6:L7)</f>
        <v>4000000</v>
      </c>
      <c r="M8" s="21" t="s">
        <v>161</v>
      </c>
      <c r="O8" s="181"/>
      <c r="P8" s="181"/>
    </row>
    <row r="9" spans="1:16" ht="14.25">
      <c r="A9" s="18" t="s">
        <v>162</v>
      </c>
      <c r="B9" s="19"/>
      <c r="C9" s="174"/>
      <c r="D9" s="177">
        <f>+D6/30*360</f>
        <v>21010860</v>
      </c>
      <c r="E9" s="21" t="s">
        <v>163</v>
      </c>
      <c r="F9" s="20">
        <f>+F6/30*360</f>
        <v>27314118</v>
      </c>
      <c r="G9" s="21" t="s">
        <v>163</v>
      </c>
      <c r="H9" s="20">
        <f>+H6/30*360</f>
        <v>42021720</v>
      </c>
      <c r="I9" s="21" t="s">
        <v>163</v>
      </c>
      <c r="J9" s="20">
        <f>+J6/30*360</f>
        <v>36000000</v>
      </c>
      <c r="K9" s="21" t="s">
        <v>163</v>
      </c>
      <c r="L9" s="20">
        <f>+L6/30*360</f>
        <v>48000000</v>
      </c>
      <c r="M9" s="21" t="s">
        <v>163</v>
      </c>
      <c r="O9" s="181"/>
      <c r="P9" s="181"/>
    </row>
    <row r="10" spans="1:16" ht="14.25">
      <c r="A10" s="18" t="s">
        <v>164</v>
      </c>
      <c r="B10" s="19"/>
      <c r="C10" s="174"/>
      <c r="D10" s="177">
        <f>+D7*12</f>
        <v>2989140</v>
      </c>
      <c r="E10" s="22" t="s">
        <v>165</v>
      </c>
      <c r="F10" s="20">
        <f>+F7*12</f>
        <v>2989140</v>
      </c>
      <c r="G10" s="22"/>
      <c r="H10" s="20">
        <f>+H7*12</f>
        <v>2989140</v>
      </c>
      <c r="I10" s="22"/>
      <c r="J10" s="20">
        <f>+J7*12</f>
        <v>0</v>
      </c>
      <c r="K10" s="22"/>
      <c r="L10" s="20">
        <f>+L7*12</f>
        <v>0</v>
      </c>
      <c r="M10" s="22"/>
      <c r="O10" s="181"/>
      <c r="P10" s="181"/>
    </row>
    <row r="11" spans="1:16" ht="15" customHeight="1">
      <c r="A11" s="18" t="s">
        <v>166</v>
      </c>
      <c r="B11" s="19"/>
      <c r="C11" s="174"/>
      <c r="D11" s="177">
        <f>+D9+D10</f>
        <v>24000000</v>
      </c>
      <c r="E11" s="21" t="s">
        <v>167</v>
      </c>
      <c r="F11" s="20">
        <f>+F9+F10</f>
        <v>30303258</v>
      </c>
      <c r="G11" s="21" t="s">
        <v>165</v>
      </c>
      <c r="H11" s="20">
        <f>+H9+H10</f>
        <v>45010860</v>
      </c>
      <c r="I11" s="21" t="s">
        <v>165</v>
      </c>
      <c r="J11" s="20">
        <f>+J9+J10</f>
        <v>36000000</v>
      </c>
      <c r="K11" s="21" t="s">
        <v>165</v>
      </c>
      <c r="L11" s="20">
        <f>+L9+L10</f>
        <v>48000000</v>
      </c>
      <c r="M11" s="21" t="s">
        <v>165</v>
      </c>
      <c r="O11" s="181"/>
      <c r="P11" s="181"/>
    </row>
    <row r="12" spans="1:16" thickBot="1">
      <c r="A12" s="23"/>
      <c r="B12" s="24"/>
      <c r="C12" s="175"/>
      <c r="D12" s="175"/>
      <c r="E12" s="26"/>
      <c r="F12" s="25"/>
      <c r="G12" s="26"/>
      <c r="H12" s="25"/>
      <c r="I12" s="26"/>
      <c r="J12" s="25"/>
      <c r="K12" s="26"/>
      <c r="L12" s="25"/>
      <c r="M12" s="26"/>
      <c r="O12" s="181"/>
      <c r="P12" s="181"/>
    </row>
    <row r="13" spans="1:16" ht="15.75" thickBot="1">
      <c r="A13" s="27" t="s">
        <v>168</v>
      </c>
      <c r="B13" s="28" t="s">
        <v>169</v>
      </c>
      <c r="C13" s="29" t="s">
        <v>170</v>
      </c>
      <c r="D13" s="178" t="s">
        <v>171</v>
      </c>
      <c r="E13" s="31" t="s">
        <v>172</v>
      </c>
      <c r="F13" s="30" t="s">
        <v>171</v>
      </c>
      <c r="G13" s="31" t="s">
        <v>172</v>
      </c>
      <c r="H13" s="30" t="s">
        <v>171</v>
      </c>
      <c r="I13" s="31" t="s">
        <v>172</v>
      </c>
      <c r="J13" s="30" t="s">
        <v>171</v>
      </c>
      <c r="K13" s="31" t="s">
        <v>172</v>
      </c>
      <c r="L13" s="30" t="s">
        <v>171</v>
      </c>
      <c r="M13" s="31" t="s">
        <v>172</v>
      </c>
      <c r="O13" s="181"/>
      <c r="P13" s="181"/>
    </row>
    <row r="14" spans="1:16">
      <c r="A14" s="32" t="s">
        <v>148</v>
      </c>
      <c r="B14" s="24"/>
      <c r="C14" s="175"/>
      <c r="D14" s="175"/>
      <c r="E14" s="26"/>
      <c r="F14" s="25"/>
      <c r="G14" s="26"/>
      <c r="H14" s="25"/>
      <c r="I14" s="26"/>
      <c r="J14" s="25"/>
      <c r="K14" s="26"/>
      <c r="L14" s="25"/>
      <c r="M14" s="26"/>
      <c r="O14" s="181"/>
      <c r="P14" s="181"/>
    </row>
    <row r="15" spans="1:16" ht="14.25">
      <c r="A15" s="18" t="s">
        <v>173</v>
      </c>
      <c r="B15" s="19"/>
      <c r="C15" s="174"/>
      <c r="D15" s="177">
        <f>+D$9</f>
        <v>21010860</v>
      </c>
      <c r="E15" s="33">
        <f>D15/D$9</f>
        <v>1</v>
      </c>
      <c r="F15" s="20">
        <f>+F$9</f>
        <v>27314118</v>
      </c>
      <c r="G15" s="33">
        <f t="shared" ref="G15:G16" si="0">F15/F$9</f>
        <v>1</v>
      </c>
      <c r="H15" s="20">
        <f>+H$9</f>
        <v>42021720</v>
      </c>
      <c r="I15" s="33">
        <f t="shared" ref="I15:I16" si="1">H15/H$9</f>
        <v>1</v>
      </c>
      <c r="J15" s="20">
        <f>+J$9</f>
        <v>36000000</v>
      </c>
      <c r="K15" s="33">
        <f t="shared" ref="K15:K16" si="2">J15/J$9</f>
        <v>1</v>
      </c>
      <c r="L15" s="20">
        <f>+L$9</f>
        <v>48000000</v>
      </c>
      <c r="M15" s="33">
        <f t="shared" ref="M15:M16" si="3">L15/L$9</f>
        <v>1</v>
      </c>
      <c r="O15" s="181"/>
      <c r="P15" s="181"/>
    </row>
    <row r="16" spans="1:16" ht="14.25">
      <c r="A16" s="18" t="s">
        <v>174</v>
      </c>
      <c r="B16" s="19"/>
      <c r="C16" s="174"/>
      <c r="D16" s="177">
        <f>+D10</f>
        <v>2989140</v>
      </c>
      <c r="E16" s="33">
        <f>D16/D$11</f>
        <v>0.12454750000000001</v>
      </c>
      <c r="F16" s="20">
        <f>+F10</f>
        <v>2989140</v>
      </c>
      <c r="G16" s="33">
        <f t="shared" si="0"/>
        <v>0.10943571379460248</v>
      </c>
      <c r="H16" s="20">
        <f>H10</f>
        <v>2989140</v>
      </c>
      <c r="I16" s="33">
        <f t="shared" si="1"/>
        <v>7.113321396649161E-2</v>
      </c>
      <c r="J16" s="20">
        <v>0</v>
      </c>
      <c r="K16" s="33">
        <f t="shared" si="2"/>
        <v>0</v>
      </c>
      <c r="L16" s="20">
        <v>0</v>
      </c>
      <c r="M16" s="33">
        <f t="shared" si="3"/>
        <v>0</v>
      </c>
      <c r="O16" s="181"/>
      <c r="P16" s="181"/>
    </row>
    <row r="17" spans="1:16">
      <c r="A17" s="32" t="s">
        <v>175</v>
      </c>
      <c r="B17" s="24"/>
      <c r="C17" s="175"/>
      <c r="D17" s="175"/>
      <c r="E17" s="34"/>
      <c r="F17" s="25"/>
      <c r="G17" s="34"/>
      <c r="H17" s="25"/>
      <c r="I17" s="34"/>
      <c r="J17" s="25"/>
      <c r="K17" s="34"/>
      <c r="L17" s="25"/>
      <c r="M17" s="34"/>
      <c r="O17" s="181"/>
      <c r="P17" s="181"/>
    </row>
    <row r="18" spans="1:16" ht="14.25">
      <c r="A18" s="35" t="s">
        <v>176</v>
      </c>
      <c r="B18" s="36" t="s">
        <v>167</v>
      </c>
      <c r="C18" s="37">
        <f>30/360</f>
        <v>8.3333333333333329E-2</v>
      </c>
      <c r="D18" s="177">
        <f>+D11*$C18</f>
        <v>2000000</v>
      </c>
      <c r="E18" s="33">
        <f t="shared" ref="E18:E21" si="4">D18/D$9</f>
        <v>9.5188868994415268E-2</v>
      </c>
      <c r="F18" s="20">
        <f>+F11*$C18</f>
        <v>2525271.5</v>
      </c>
      <c r="G18" s="33">
        <f t="shared" ref="G18:G21" si="5">F18/F$9</f>
        <v>9.2452976149550212E-2</v>
      </c>
      <c r="H18" s="20">
        <f>+H11*$C18</f>
        <v>3750905</v>
      </c>
      <c r="I18" s="33">
        <f t="shared" ref="I18:I21" si="6">H18/H$9</f>
        <v>8.9261101163874298E-2</v>
      </c>
      <c r="J18" s="20">
        <f>+J11*$C18</f>
        <v>3000000</v>
      </c>
      <c r="K18" s="33">
        <f t="shared" ref="K18:K21" si="7">J18/J$9</f>
        <v>8.3333333333333329E-2</v>
      </c>
      <c r="L18" s="20">
        <f>+L11*$C18</f>
        <v>4000000</v>
      </c>
      <c r="M18" s="33">
        <f t="shared" ref="M18:M21" si="8">L18/L$9</f>
        <v>8.3333333333333329E-2</v>
      </c>
      <c r="O18" s="181"/>
      <c r="P18" s="181"/>
    </row>
    <row r="19" spans="1:16" ht="14.25">
      <c r="A19" s="35" t="s">
        <v>177</v>
      </c>
      <c r="B19" s="36" t="s">
        <v>178</v>
      </c>
      <c r="C19" s="37">
        <v>0.12</v>
      </c>
      <c r="D19" s="177">
        <f>+D18*$C19</f>
        <v>240000</v>
      </c>
      <c r="E19" s="33">
        <f t="shared" si="4"/>
        <v>1.1422664279329833E-2</v>
      </c>
      <c r="F19" s="20">
        <f>+F18*$C19</f>
        <v>303032.58</v>
      </c>
      <c r="G19" s="33">
        <f t="shared" si="5"/>
        <v>1.1094357137946025E-2</v>
      </c>
      <c r="H19" s="20">
        <f>+H18*$C19</f>
        <v>450108.6</v>
      </c>
      <c r="I19" s="33">
        <f t="shared" si="6"/>
        <v>1.0711332139664916E-2</v>
      </c>
      <c r="J19" s="20">
        <f>+J18*$C19</f>
        <v>360000</v>
      </c>
      <c r="K19" s="33">
        <f t="shared" si="7"/>
        <v>0.01</v>
      </c>
      <c r="L19" s="20">
        <f>+L18*$C19</f>
        <v>480000</v>
      </c>
      <c r="M19" s="33">
        <f t="shared" si="8"/>
        <v>0.01</v>
      </c>
      <c r="O19" s="181"/>
      <c r="P19" s="181"/>
    </row>
    <row r="20" spans="1:16" ht="14.25">
      <c r="A20" s="35" t="s">
        <v>179</v>
      </c>
      <c r="B20" s="36" t="s">
        <v>163</v>
      </c>
      <c r="C20" s="37">
        <v>4.1700000000000001E-2</v>
      </c>
      <c r="D20" s="177">
        <f>+D9*$C20</f>
        <v>876152.86199999996</v>
      </c>
      <c r="E20" s="33">
        <f t="shared" si="4"/>
        <v>4.1700000000000001E-2</v>
      </c>
      <c r="F20" s="20">
        <f>+F9*$C20</f>
        <v>1138998.7206000001</v>
      </c>
      <c r="G20" s="33">
        <f t="shared" si="5"/>
        <v>4.1700000000000001E-2</v>
      </c>
      <c r="H20" s="20">
        <f>+H6*$C20</f>
        <v>146025.47700000001</v>
      </c>
      <c r="I20" s="33">
        <f t="shared" si="6"/>
        <v>3.4750000000000002E-3</v>
      </c>
      <c r="J20" s="20">
        <f>+J6*$C20</f>
        <v>125100</v>
      </c>
      <c r="K20" s="33">
        <f t="shared" si="7"/>
        <v>3.4749999999999998E-3</v>
      </c>
      <c r="L20" s="20">
        <f>+L6*$C20</f>
        <v>166800</v>
      </c>
      <c r="M20" s="33">
        <f t="shared" si="8"/>
        <v>3.4749999999999998E-3</v>
      </c>
      <c r="O20" s="181"/>
      <c r="P20" s="181"/>
    </row>
    <row r="21" spans="1:16" ht="27.75" customHeight="1">
      <c r="A21" s="35" t="s">
        <v>180</v>
      </c>
      <c r="B21" s="36" t="s">
        <v>167</v>
      </c>
      <c r="C21" s="37">
        <v>8.3299999999999999E-2</v>
      </c>
      <c r="D21" s="177">
        <f>+D11*$C21</f>
        <v>1999200</v>
      </c>
      <c r="E21" s="33">
        <f t="shared" si="4"/>
        <v>9.5150793446817497E-2</v>
      </c>
      <c r="F21" s="20">
        <f>+F11*$C21</f>
        <v>2524261.3914000001</v>
      </c>
      <c r="G21" s="33">
        <f t="shared" si="5"/>
        <v>9.2415994959090392E-2</v>
      </c>
      <c r="H21" s="20">
        <f>+H8*$C21</f>
        <v>312450.38650000002</v>
      </c>
      <c r="I21" s="33">
        <f t="shared" si="6"/>
        <v>7.4354497269507299E-3</v>
      </c>
      <c r="J21" s="20">
        <f>+J8*$C21</f>
        <v>249900</v>
      </c>
      <c r="K21" s="33">
        <f t="shared" si="7"/>
        <v>6.9416666666666663E-3</v>
      </c>
      <c r="L21" s="20">
        <f>+L8*$C21</f>
        <v>333200</v>
      </c>
      <c r="M21" s="33">
        <f t="shared" si="8"/>
        <v>6.9416666666666663E-3</v>
      </c>
      <c r="O21" s="181"/>
      <c r="P21" s="181"/>
    </row>
    <row r="22" spans="1:16" ht="15.75" customHeight="1">
      <c r="A22" s="32" t="s">
        <v>181</v>
      </c>
      <c r="B22" s="24"/>
      <c r="C22" s="175"/>
      <c r="D22" s="175"/>
      <c r="E22" s="34"/>
      <c r="F22" s="25"/>
      <c r="G22" s="34"/>
      <c r="H22" s="25"/>
      <c r="I22" s="34"/>
      <c r="J22" s="25"/>
      <c r="K22" s="34"/>
      <c r="L22" s="25"/>
      <c r="M22" s="34"/>
      <c r="O22" s="181"/>
      <c r="P22" s="181"/>
    </row>
    <row r="23" spans="1:16" ht="15.75" customHeight="1">
      <c r="A23" s="35" t="s">
        <v>182</v>
      </c>
      <c r="B23" s="38">
        <v>200000</v>
      </c>
      <c r="C23" s="39">
        <v>1</v>
      </c>
      <c r="D23" s="177">
        <f>+IF(D6 &gt;$B$5*2,0,$C23*$B23)</f>
        <v>200000</v>
      </c>
      <c r="E23" s="33">
        <f>D23/D$9</f>
        <v>9.5188868994415272E-3</v>
      </c>
      <c r="F23" s="20">
        <f>B23</f>
        <v>200000</v>
      </c>
      <c r="G23" s="33">
        <f>F23/F$9</f>
        <v>7.3222206918780973E-3</v>
      </c>
      <c r="H23" s="20">
        <f>+IF(H6 &gt;$B$5*2,0,$C23*$B23)</f>
        <v>200000</v>
      </c>
      <c r="I23" s="33">
        <f>H23/H$9</f>
        <v>4.7594434497207636E-3</v>
      </c>
      <c r="J23" s="20">
        <f>B23</f>
        <v>200000</v>
      </c>
      <c r="K23" s="33">
        <f>J23/J$9</f>
        <v>5.5555555555555558E-3</v>
      </c>
      <c r="L23" s="20">
        <f>J23</f>
        <v>200000</v>
      </c>
      <c r="M23" s="33">
        <f>L23/L$9</f>
        <v>4.1666666666666666E-3</v>
      </c>
      <c r="O23" s="181"/>
      <c r="P23" s="181"/>
    </row>
    <row r="24" spans="1:16" ht="15.75" customHeight="1">
      <c r="A24" s="32" t="s">
        <v>183</v>
      </c>
      <c r="B24" s="24"/>
      <c r="C24" s="175"/>
      <c r="D24" s="175"/>
      <c r="E24" s="34"/>
      <c r="F24" s="25"/>
      <c r="G24" s="34"/>
      <c r="H24" s="25"/>
      <c r="I24" s="34"/>
      <c r="J24" s="25"/>
      <c r="K24" s="34"/>
      <c r="L24" s="25"/>
      <c r="M24" s="34"/>
      <c r="O24" s="181"/>
      <c r="P24" s="181"/>
    </row>
    <row r="25" spans="1:16" ht="15.75" customHeight="1">
      <c r="A25" s="35" t="s">
        <v>184</v>
      </c>
      <c r="B25" s="36" t="s">
        <v>163</v>
      </c>
      <c r="C25" s="40">
        <v>0.12</v>
      </c>
      <c r="D25" s="177">
        <f t="shared" ref="D25:D27" si="9">+D$9*$C25</f>
        <v>2521303.1999999997</v>
      </c>
      <c r="E25" s="33">
        <f t="shared" ref="E25:E27" si="10">D25/D$9</f>
        <v>0.11999999999999998</v>
      </c>
      <c r="F25" s="20">
        <f t="shared" ref="F25:F27" si="11">+F$9*$C25</f>
        <v>3277694.1599999997</v>
      </c>
      <c r="G25" s="33">
        <f t="shared" ref="G25:G27" si="12">F25/F$9</f>
        <v>0.11999999999999998</v>
      </c>
      <c r="H25" s="20">
        <f t="shared" ref="H25:H27" si="13">+H$9*$C25</f>
        <v>5042606.3999999994</v>
      </c>
      <c r="I25" s="33">
        <f t="shared" ref="I25:I27" si="14">H25/H$9</f>
        <v>0.11999999999999998</v>
      </c>
      <c r="J25" s="20">
        <f t="shared" ref="J25:J27" si="15">+J$9*$C25</f>
        <v>4320000</v>
      </c>
      <c r="K25" s="33">
        <f t="shared" ref="K25:K27" si="16">J25/J$9</f>
        <v>0.12</v>
      </c>
      <c r="L25" s="20">
        <f t="shared" ref="L25:L27" si="17">+L$9*$C25</f>
        <v>5760000</v>
      </c>
      <c r="M25" s="33">
        <f t="shared" ref="M25:M27" si="18">L25/L$9</f>
        <v>0.12</v>
      </c>
      <c r="O25" s="181"/>
      <c r="P25" s="181"/>
    </row>
    <row r="26" spans="1:16" ht="15.75" customHeight="1">
      <c r="A26" s="35" t="s">
        <v>185</v>
      </c>
      <c r="B26" s="36" t="s">
        <v>163</v>
      </c>
      <c r="C26" s="40">
        <v>8.5000000000000006E-2</v>
      </c>
      <c r="D26" s="177">
        <f t="shared" si="9"/>
        <v>1785923.1</v>
      </c>
      <c r="E26" s="33">
        <f t="shared" si="10"/>
        <v>8.5000000000000006E-2</v>
      </c>
      <c r="F26" s="20">
        <f t="shared" si="11"/>
        <v>2321700.0300000003</v>
      </c>
      <c r="G26" s="33">
        <f t="shared" si="12"/>
        <v>8.5000000000000006E-2</v>
      </c>
      <c r="H26" s="20">
        <f t="shared" si="13"/>
        <v>3571846.2</v>
      </c>
      <c r="I26" s="33">
        <f t="shared" si="14"/>
        <v>8.5000000000000006E-2</v>
      </c>
      <c r="J26" s="20">
        <f t="shared" si="15"/>
        <v>3060000</v>
      </c>
      <c r="K26" s="33">
        <f t="shared" si="16"/>
        <v>8.5000000000000006E-2</v>
      </c>
      <c r="L26" s="20">
        <f t="shared" si="17"/>
        <v>4080000.0000000005</v>
      </c>
      <c r="M26" s="33">
        <f t="shared" si="18"/>
        <v>8.5000000000000006E-2</v>
      </c>
      <c r="O26" s="181"/>
      <c r="P26" s="181"/>
    </row>
    <row r="27" spans="1:16" ht="15.75" customHeight="1">
      <c r="A27" s="35" t="s">
        <v>186</v>
      </c>
      <c r="B27" s="36" t="s">
        <v>163</v>
      </c>
      <c r="C27" s="37">
        <v>6.9599999999999995E-2</v>
      </c>
      <c r="D27" s="177">
        <f t="shared" si="9"/>
        <v>1462355.8559999999</v>
      </c>
      <c r="E27" s="33">
        <f t="shared" si="10"/>
        <v>6.9599999999999995E-2</v>
      </c>
      <c r="F27" s="20">
        <f t="shared" si="11"/>
        <v>1901062.6127999998</v>
      </c>
      <c r="G27" s="33">
        <f t="shared" si="12"/>
        <v>6.9599999999999995E-2</v>
      </c>
      <c r="H27" s="20">
        <f t="shared" si="13"/>
        <v>2924711.7119999998</v>
      </c>
      <c r="I27" s="33">
        <f t="shared" si="14"/>
        <v>6.9599999999999995E-2</v>
      </c>
      <c r="J27" s="20">
        <f t="shared" si="15"/>
        <v>2505600</v>
      </c>
      <c r="K27" s="33">
        <f t="shared" si="16"/>
        <v>6.9599999999999995E-2</v>
      </c>
      <c r="L27" s="20">
        <f t="shared" si="17"/>
        <v>3340800</v>
      </c>
      <c r="M27" s="33">
        <f t="shared" si="18"/>
        <v>6.9599999999999995E-2</v>
      </c>
    </row>
    <row r="28" spans="1:16" ht="15.75" customHeight="1">
      <c r="A28" s="32" t="s">
        <v>187</v>
      </c>
      <c r="B28" s="24"/>
      <c r="C28" s="175"/>
      <c r="D28" s="175"/>
      <c r="E28" s="34"/>
      <c r="F28" s="25"/>
      <c r="G28" s="34"/>
      <c r="H28" s="25"/>
      <c r="I28" s="34"/>
      <c r="J28" s="25"/>
      <c r="K28" s="34"/>
      <c r="L28" s="25"/>
      <c r="M28" s="34"/>
    </row>
    <row r="29" spans="1:16" ht="15.75" customHeight="1">
      <c r="A29" s="35" t="s">
        <v>188</v>
      </c>
      <c r="B29" s="36" t="s">
        <v>163</v>
      </c>
      <c r="C29" s="40">
        <v>0.02</v>
      </c>
      <c r="D29" s="177">
        <f>+D$9*$C29</f>
        <v>420217.2</v>
      </c>
      <c r="E29" s="33">
        <f>D29/D$9</f>
        <v>0.02</v>
      </c>
      <c r="F29" s="20">
        <f>+F$9*$C29</f>
        <v>546282.36</v>
      </c>
      <c r="G29" s="33">
        <f>F29/F$9</f>
        <v>0.02</v>
      </c>
      <c r="H29" s="20">
        <f>+H$9*$C29</f>
        <v>840434.4</v>
      </c>
      <c r="I29" s="33">
        <f>H29/H$9</f>
        <v>0.02</v>
      </c>
      <c r="J29" s="20">
        <f>+J$9*$C29</f>
        <v>720000</v>
      </c>
      <c r="K29" s="33">
        <f>J29/J$9</f>
        <v>0.02</v>
      </c>
      <c r="L29" s="20">
        <f>+L$9*$C29</f>
        <v>960000</v>
      </c>
      <c r="M29" s="33">
        <f>L29/L$9</f>
        <v>0.02</v>
      </c>
    </row>
    <row r="30" spans="1:16" ht="15.75" customHeight="1">
      <c r="A30" s="32" t="s">
        <v>189</v>
      </c>
      <c r="B30" s="24"/>
      <c r="C30" s="175"/>
      <c r="D30" s="175"/>
      <c r="E30" s="34"/>
      <c r="F30" s="25"/>
      <c r="G30" s="34"/>
      <c r="H30" s="25"/>
      <c r="I30" s="34"/>
      <c r="J30" s="25"/>
      <c r="K30" s="34"/>
      <c r="L30" s="25"/>
      <c r="M30" s="34"/>
    </row>
    <row r="31" spans="1:16" ht="15.75" customHeight="1">
      <c r="A31" s="35" t="s">
        <v>190</v>
      </c>
      <c r="B31" s="36" t="s">
        <v>163</v>
      </c>
      <c r="C31" s="40">
        <v>0.02</v>
      </c>
      <c r="D31" s="177">
        <f t="shared" ref="D31:D32" si="19">+D$9*$C31</f>
        <v>420217.2</v>
      </c>
      <c r="E31" s="33"/>
      <c r="F31" s="20">
        <f t="shared" ref="F31:F32" si="20">+F$9*$C31</f>
        <v>546282.36</v>
      </c>
      <c r="G31" s="33"/>
      <c r="H31" s="20">
        <f t="shared" ref="H31:H32" si="21">+H$9*$C31</f>
        <v>840434.4</v>
      </c>
      <c r="I31" s="33"/>
      <c r="J31" s="20">
        <f t="shared" ref="J31:J32" si="22">+J$9*$C31</f>
        <v>720000</v>
      </c>
      <c r="K31" s="33">
        <f t="shared" ref="K31:K32" si="23">J31/J$9</f>
        <v>0.02</v>
      </c>
      <c r="L31" s="20">
        <f t="shared" ref="L31:L32" si="24">+L$9*$C31</f>
        <v>960000</v>
      </c>
      <c r="M31" s="33">
        <f t="shared" ref="M31:M32" si="25">L31/L$9</f>
        <v>0.02</v>
      </c>
    </row>
    <row r="32" spans="1:16" ht="15.75" customHeight="1">
      <c r="A32" s="35" t="s">
        <v>191</v>
      </c>
      <c r="B32" s="36" t="s">
        <v>163</v>
      </c>
      <c r="C32" s="40">
        <v>0.04</v>
      </c>
      <c r="D32" s="177">
        <f t="shared" si="19"/>
        <v>840434.4</v>
      </c>
      <c r="E32" s="33">
        <f>D32/D$9</f>
        <v>0.04</v>
      </c>
      <c r="F32" s="20">
        <f t="shared" si="20"/>
        <v>1092564.72</v>
      </c>
      <c r="G32" s="33">
        <f>F32/F$9</f>
        <v>0.04</v>
      </c>
      <c r="H32" s="20">
        <f t="shared" si="21"/>
        <v>1680868.8</v>
      </c>
      <c r="I32" s="33">
        <f>H32/H$9</f>
        <v>0.04</v>
      </c>
      <c r="J32" s="20">
        <f t="shared" si="22"/>
        <v>1440000</v>
      </c>
      <c r="K32" s="33">
        <f t="shared" si="23"/>
        <v>0.04</v>
      </c>
      <c r="L32" s="20">
        <f t="shared" si="24"/>
        <v>1920000</v>
      </c>
      <c r="M32" s="33">
        <f t="shared" si="25"/>
        <v>0.04</v>
      </c>
    </row>
    <row r="33" spans="1:13" ht="15.75" customHeight="1">
      <c r="A33" s="23"/>
      <c r="B33" s="24"/>
      <c r="C33" s="175"/>
      <c r="D33" s="175"/>
      <c r="E33" s="34"/>
      <c r="F33" s="25"/>
      <c r="G33" s="34"/>
      <c r="H33" s="25"/>
      <c r="I33" s="34"/>
      <c r="J33" s="25"/>
      <c r="K33" s="34"/>
      <c r="L33" s="25"/>
      <c r="M33" s="34"/>
    </row>
    <row r="34" spans="1:13" ht="15.75" customHeight="1">
      <c r="A34" s="391" t="s">
        <v>192</v>
      </c>
      <c r="B34" s="337"/>
      <c r="C34" s="338"/>
      <c r="D34" s="179">
        <f>SUM(D15:D33)</f>
        <v>36765803.818000004</v>
      </c>
      <c r="E34" s="42">
        <f>SUM(E15:E33)</f>
        <v>1.7121287136200043</v>
      </c>
      <c r="F34" s="41">
        <f t="shared" ref="F34:M34" si="26">SUM(F15:F33)</f>
        <v>46680408.434799999</v>
      </c>
      <c r="G34" s="42">
        <f t="shared" si="26"/>
        <v>1.6890212627330672</v>
      </c>
      <c r="H34" s="41">
        <f t="shared" si="26"/>
        <v>64771251.375499994</v>
      </c>
      <c r="I34" s="42">
        <f t="shared" si="26"/>
        <v>1.521375540446702</v>
      </c>
      <c r="J34" s="41">
        <f t="shared" si="26"/>
        <v>52700600</v>
      </c>
      <c r="K34" s="42">
        <f t="shared" si="26"/>
        <v>1.4639055555555553</v>
      </c>
      <c r="L34" s="41">
        <f t="shared" si="26"/>
        <v>70200800</v>
      </c>
      <c r="M34" s="42">
        <f t="shared" si="26"/>
        <v>1.4625166666666662</v>
      </c>
    </row>
    <row r="35" spans="1:13" ht="15.75" customHeight="1">
      <c r="A35" s="390" t="s">
        <v>193</v>
      </c>
      <c r="B35" s="337"/>
      <c r="C35" s="338"/>
      <c r="D35" s="179">
        <f>+D34/12</f>
        <v>3063816.9848333336</v>
      </c>
      <c r="E35" s="374"/>
      <c r="F35" s="43">
        <f>+F34/12</f>
        <v>3890034.0362333334</v>
      </c>
      <c r="G35" s="374"/>
      <c r="H35" s="43">
        <f>+H34/12</f>
        <v>5397604.2812916664</v>
      </c>
      <c r="I35" s="374"/>
      <c r="J35" s="43">
        <f>+J34/12</f>
        <v>4391716.666666667</v>
      </c>
      <c r="K35" s="374"/>
      <c r="L35" s="43">
        <f>+L34/12</f>
        <v>5850066.666666667</v>
      </c>
      <c r="M35" s="374"/>
    </row>
    <row r="36" spans="1:13" ht="15.75" customHeight="1">
      <c r="A36" s="389" t="s">
        <v>194</v>
      </c>
      <c r="B36" s="337"/>
      <c r="C36" s="338"/>
      <c r="D36" s="180">
        <f>+(D34/(12*30))*1.4</f>
        <v>142978.12595888888</v>
      </c>
      <c r="E36" s="375"/>
      <c r="F36" s="44">
        <f>+(F34/365)*1.4</f>
        <v>179048.14194169862</v>
      </c>
      <c r="G36" s="375"/>
      <c r="H36" s="44">
        <f>+(H34/365)*1.4</f>
        <v>248437.67650876709</v>
      </c>
      <c r="I36" s="375"/>
      <c r="J36" s="44">
        <f>+J34/365*1.5</f>
        <v>216577.80821917811</v>
      </c>
      <c r="K36" s="375"/>
      <c r="L36" s="161">
        <f>+L34/365*1.5</f>
        <v>288496.43835616438</v>
      </c>
      <c r="M36" s="375"/>
    </row>
    <row r="37" spans="1:13" ht="15.75" customHeight="1">
      <c r="A37" s="390" t="s">
        <v>195</v>
      </c>
      <c r="B37" s="337"/>
      <c r="C37" s="338"/>
      <c r="D37" s="179">
        <f>+D36/8</f>
        <v>17872.26574486111</v>
      </c>
      <c r="E37" s="376"/>
      <c r="F37" s="43">
        <f>+F36/8</f>
        <v>22381.017742712327</v>
      </c>
      <c r="G37" s="376"/>
      <c r="H37" s="43">
        <f>+H36/8</f>
        <v>31054.709563595887</v>
      </c>
      <c r="I37" s="376"/>
      <c r="J37" s="43">
        <f>+J36/8</f>
        <v>27072.226027397264</v>
      </c>
      <c r="K37" s="376"/>
      <c r="L37" s="43">
        <f>+L36/8</f>
        <v>36062.054794520547</v>
      </c>
      <c r="M37" s="376"/>
    </row>
    <row r="38" spans="1:13" ht="15.75" customHeight="1"/>
    <row r="39" spans="1:13" ht="15.75" customHeight="1">
      <c r="D39" s="160"/>
    </row>
    <row r="40" spans="1:13" ht="15.75" customHeight="1"/>
    <row r="41" spans="1:13" ht="15.75" customHeight="1">
      <c r="D41" s="160"/>
    </row>
    <row r="42" spans="1:13" ht="15.75" customHeight="1"/>
    <row r="43" spans="1:13" ht="15.75" customHeight="1">
      <c r="E43" s="160"/>
    </row>
    <row r="44" spans="1:13" ht="15.75" customHeight="1"/>
    <row r="45" spans="1:13" ht="15.75" customHeight="1"/>
    <row r="46" spans="1:13" ht="15.75" customHeight="1"/>
    <row r="47" spans="1:13" ht="15.75" customHeight="1"/>
    <row r="48" spans="1:13"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sheetProtection algorithmName="SHA-512" hashValue="ZkrTkCee5c+7Wd75i3s4m1n02wnLIbyaIsoeTRyMJxu9XpHEP9yajv3nt4IhfWNkMZb5NrYxzecP8b4t+Szt6A==" saltValue="757HhITTYt9AkqXu4k+RPw==" spinCount="100000" sheet="1" objects="1" scenarios="1"/>
  <mergeCells count="16">
    <mergeCell ref="G35:G37"/>
    <mergeCell ref="I35:I37"/>
    <mergeCell ref="K35:K37"/>
    <mergeCell ref="M35:M37"/>
    <mergeCell ref="A1:M2"/>
    <mergeCell ref="A4:C4"/>
    <mergeCell ref="D4:E4"/>
    <mergeCell ref="F4:G4"/>
    <mergeCell ref="H4:I4"/>
    <mergeCell ref="J4:K4"/>
    <mergeCell ref="L4:M4"/>
    <mergeCell ref="A36:C36"/>
    <mergeCell ref="A37:C37"/>
    <mergeCell ref="A34:C34"/>
    <mergeCell ref="A35:C35"/>
    <mergeCell ref="E35:E37"/>
  </mergeCells>
  <pageMargins left="0.7" right="0.7" top="0.75" bottom="0.75" header="0" footer="0"/>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1">
    <tabColor theme="7" tint="0.59999389629810485"/>
  </sheetPr>
  <dimension ref="A1:K32"/>
  <sheetViews>
    <sheetView topLeftCell="A7" workbookViewId="0">
      <selection activeCell="I17" sqref="I17"/>
    </sheetView>
  </sheetViews>
  <sheetFormatPr baseColWidth="10" defaultRowHeight="14.25"/>
  <cols>
    <col min="1" max="1" width="3.875" customWidth="1"/>
    <col min="2" max="2" width="9.25" customWidth="1"/>
    <col min="3" max="3" width="17.875" customWidth="1"/>
    <col min="4" max="4" width="18" customWidth="1"/>
    <col min="9" max="9" width="31.125" customWidth="1"/>
  </cols>
  <sheetData>
    <row r="1" spans="1:9">
      <c r="A1" s="407" t="s">
        <v>378</v>
      </c>
      <c r="B1" s="407"/>
      <c r="C1" s="407"/>
      <c r="D1" s="407"/>
      <c r="E1" s="407"/>
      <c r="F1" s="407"/>
      <c r="G1" s="407"/>
      <c r="H1" s="407"/>
    </row>
    <row r="2" spans="1:9">
      <c r="A2" s="407"/>
      <c r="B2" s="407"/>
      <c r="C2" s="407"/>
      <c r="D2" s="407"/>
      <c r="E2" s="407"/>
      <c r="F2" s="407"/>
      <c r="G2" s="407"/>
      <c r="H2" s="407"/>
    </row>
    <row r="4" spans="1:9" ht="27.6" customHeight="1">
      <c r="B4" s="411" t="s">
        <v>387</v>
      </c>
      <c r="C4" s="412"/>
      <c r="D4" s="413"/>
      <c r="E4" s="325">
        <v>1689733</v>
      </c>
      <c r="F4" s="408" t="s">
        <v>388</v>
      </c>
      <c r="G4" s="409"/>
      <c r="H4" s="409"/>
      <c r="I4" s="410"/>
    </row>
    <row r="5" spans="1:9">
      <c r="B5" s="414"/>
      <c r="C5" s="415"/>
      <c r="D5" s="416"/>
      <c r="E5" s="323">
        <v>1269632</v>
      </c>
      <c r="F5" s="323" t="s">
        <v>390</v>
      </c>
      <c r="G5" s="324"/>
      <c r="H5" s="324"/>
      <c r="I5" s="324"/>
    </row>
    <row r="6" spans="1:9">
      <c r="B6" s="417"/>
      <c r="C6" s="418"/>
      <c r="D6" s="419"/>
      <c r="E6" s="323">
        <v>1036919</v>
      </c>
      <c r="F6" s="323" t="s">
        <v>389</v>
      </c>
      <c r="G6" s="324"/>
      <c r="H6" s="324"/>
      <c r="I6" s="324"/>
    </row>
    <row r="7" spans="1:9">
      <c r="B7" s="324" t="s">
        <v>383</v>
      </c>
      <c r="C7" s="324"/>
      <c r="D7" s="324"/>
      <c r="E7" s="323">
        <v>5000000</v>
      </c>
      <c r="F7" s="401" t="s">
        <v>393</v>
      </c>
      <c r="G7" s="402"/>
      <c r="H7" s="402"/>
      <c r="I7" s="403"/>
    </row>
    <row r="8" spans="1:9">
      <c r="B8" s="401" t="s">
        <v>392</v>
      </c>
      <c r="C8" s="402"/>
      <c r="D8" s="403"/>
      <c r="E8" s="323">
        <f>SUM(E4:E7)</f>
        <v>8996284</v>
      </c>
      <c r="F8" s="404"/>
      <c r="G8" s="405"/>
      <c r="H8" s="405"/>
      <c r="I8" s="406"/>
    </row>
    <row r="11" spans="1:9">
      <c r="C11" s="49" t="s">
        <v>394</v>
      </c>
      <c r="D11" s="392" t="s">
        <v>395</v>
      </c>
      <c r="E11" s="338"/>
      <c r="F11" s="338"/>
      <c r="G11" s="395"/>
    </row>
    <row r="12" spans="1:9">
      <c r="C12" s="396" t="s">
        <v>207</v>
      </c>
      <c r="D12" s="397"/>
      <c r="E12" s="394"/>
      <c r="F12" s="54" t="s">
        <v>4</v>
      </c>
      <c r="G12" s="326" t="s">
        <v>5</v>
      </c>
    </row>
    <row r="13" spans="1:9">
      <c r="C13" s="398" t="s">
        <v>396</v>
      </c>
      <c r="D13" s="338"/>
      <c r="E13" s="395"/>
      <c r="F13" s="85" t="s">
        <v>397</v>
      </c>
      <c r="G13" s="327">
        <v>4</v>
      </c>
    </row>
    <row r="14" spans="1:9">
      <c r="C14" s="399"/>
      <c r="D14" s="338"/>
      <c r="E14" s="338"/>
      <c r="F14" s="338"/>
      <c r="G14" s="395"/>
    </row>
    <row r="15" spans="1:9">
      <c r="C15" s="400" t="s">
        <v>208</v>
      </c>
      <c r="D15" s="338"/>
      <c r="E15" s="338"/>
      <c r="F15" s="338"/>
      <c r="G15" s="395"/>
    </row>
    <row r="16" spans="1:9" ht="24">
      <c r="C16" s="50" t="s">
        <v>3</v>
      </c>
      <c r="D16" s="328" t="s">
        <v>4</v>
      </c>
      <c r="E16" s="145" t="s">
        <v>5</v>
      </c>
      <c r="F16" s="326" t="s">
        <v>6</v>
      </c>
      <c r="G16" s="326" t="s">
        <v>7</v>
      </c>
    </row>
    <row r="17" spans="3:11" ht="24">
      <c r="C17" s="329" t="s">
        <v>398</v>
      </c>
      <c r="D17" s="330" t="s">
        <v>397</v>
      </c>
      <c r="E17" s="331">
        <v>4</v>
      </c>
      <c r="F17" s="332">
        <v>1250000</v>
      </c>
      <c r="G17" s="333">
        <f>E17*F17</f>
        <v>5000000</v>
      </c>
    </row>
    <row r="18" spans="3:11">
      <c r="C18" s="392" t="s">
        <v>399</v>
      </c>
      <c r="D18" s="393"/>
      <c r="E18" s="393"/>
      <c r="F18" s="394"/>
      <c r="G18" s="333">
        <f>SUM(G17)</f>
        <v>5000000</v>
      </c>
    </row>
    <row r="32" spans="3:11">
      <c r="K32" s="316"/>
    </row>
  </sheetData>
  <mergeCells count="12">
    <mergeCell ref="B8:D8"/>
    <mergeCell ref="F8:I8"/>
    <mergeCell ref="A1:H2"/>
    <mergeCell ref="F7:I7"/>
    <mergeCell ref="F4:I4"/>
    <mergeCell ref="B4:D6"/>
    <mergeCell ref="C18:F18"/>
    <mergeCell ref="D11:G11"/>
    <mergeCell ref="C12:E12"/>
    <mergeCell ref="C13:E13"/>
    <mergeCell ref="C14:G14"/>
    <mergeCell ref="C15:G15"/>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2">
    <outlinePr summaryBelow="0" summaryRight="0"/>
  </sheetPr>
  <dimension ref="A1:E62"/>
  <sheetViews>
    <sheetView topLeftCell="A18" workbookViewId="0">
      <selection activeCell="G25" sqref="G25"/>
    </sheetView>
  </sheetViews>
  <sheetFormatPr baseColWidth="10" defaultColWidth="12.5" defaultRowHeight="15" customHeight="1"/>
  <cols>
    <col min="1" max="1" width="58" customWidth="1"/>
    <col min="2" max="2" width="18.5" customWidth="1"/>
    <col min="3" max="3" width="19.125" customWidth="1"/>
    <col min="4" max="4" width="20.625" customWidth="1"/>
    <col min="5" max="5" width="18" customWidth="1"/>
    <col min="6" max="20" width="8.625" customWidth="1"/>
  </cols>
  <sheetData>
    <row r="1" spans="1:5" ht="14.25">
      <c r="A1" s="421" t="s">
        <v>196</v>
      </c>
      <c r="B1" s="5" t="s">
        <v>197</v>
      </c>
      <c r="C1" s="422"/>
      <c r="D1" s="337"/>
      <c r="E1" s="339"/>
    </row>
    <row r="2" spans="1:5" ht="14.25">
      <c r="A2" s="375"/>
      <c r="B2" s="5" t="s">
        <v>198</v>
      </c>
      <c r="C2" s="423">
        <v>1</v>
      </c>
      <c r="D2" s="337"/>
      <c r="E2" s="339"/>
    </row>
    <row r="3" spans="1:5" ht="14.25">
      <c r="A3" s="376"/>
      <c r="B3" s="5" t="s">
        <v>199</v>
      </c>
      <c r="C3" s="45"/>
      <c r="D3" s="46" t="s">
        <v>200</v>
      </c>
      <c r="E3" s="45"/>
    </row>
    <row r="4" spans="1:5" ht="14.25">
      <c r="A4" s="424" t="s">
        <v>201</v>
      </c>
      <c r="B4" s="339"/>
      <c r="C4" s="45">
        <v>2</v>
      </c>
      <c r="D4" s="45">
        <v>3</v>
      </c>
      <c r="E4" s="47">
        <v>2026</v>
      </c>
    </row>
    <row r="5" spans="1:5" ht="14.25">
      <c r="A5" s="48"/>
      <c r="B5" s="48"/>
      <c r="C5" s="46" t="s">
        <v>202</v>
      </c>
      <c r="D5" s="46" t="s">
        <v>203</v>
      </c>
      <c r="E5" s="46" t="s">
        <v>204</v>
      </c>
    </row>
    <row r="6" spans="1:5" ht="14.25">
      <c r="A6" s="49" t="s">
        <v>205</v>
      </c>
      <c r="B6" s="425" t="s">
        <v>206</v>
      </c>
      <c r="C6" s="337"/>
      <c r="D6" s="337"/>
      <c r="E6" s="339"/>
    </row>
    <row r="7" spans="1:5" ht="14.25">
      <c r="A7" s="426" t="s">
        <v>207</v>
      </c>
      <c r="B7" s="337"/>
      <c r="C7" s="339"/>
      <c r="D7" s="50" t="s">
        <v>4</v>
      </c>
      <c r="E7" s="50" t="s">
        <v>5</v>
      </c>
    </row>
    <row r="8" spans="1:5" ht="14.25">
      <c r="A8" s="427" t="s">
        <v>382</v>
      </c>
      <c r="B8" s="337"/>
      <c r="C8" s="339"/>
      <c r="D8" s="52" t="str">
        <f>PRESUPUESTO!C7</f>
        <v>Und</v>
      </c>
      <c r="E8" s="53">
        <v>1</v>
      </c>
    </row>
    <row r="9" spans="1:5" ht="14.25">
      <c r="A9" s="428"/>
      <c r="B9" s="337"/>
      <c r="C9" s="337"/>
      <c r="D9" s="337"/>
      <c r="E9" s="339"/>
    </row>
    <row r="10" spans="1:5" ht="14.25">
      <c r="A10" s="429" t="s">
        <v>208</v>
      </c>
      <c r="B10" s="337"/>
      <c r="C10" s="337"/>
      <c r="D10" s="337"/>
      <c r="E10" s="339"/>
    </row>
    <row r="11" spans="1:5" ht="14.25">
      <c r="A11" s="54" t="s">
        <v>3</v>
      </c>
      <c r="B11" s="50" t="s">
        <v>209</v>
      </c>
      <c r="C11" s="50" t="s">
        <v>210</v>
      </c>
      <c r="D11" s="50" t="s">
        <v>6</v>
      </c>
      <c r="E11" s="50" t="s">
        <v>7</v>
      </c>
    </row>
    <row r="12" spans="1:5" ht="14.25">
      <c r="A12" s="5"/>
      <c r="B12" s="46"/>
      <c r="C12" s="55"/>
      <c r="D12" s="56"/>
      <c r="E12" s="56"/>
    </row>
    <row r="13" spans="1:5" ht="14.25">
      <c r="A13" s="420" t="s">
        <v>211</v>
      </c>
      <c r="B13" s="337"/>
      <c r="C13" s="337"/>
      <c r="D13" s="339"/>
      <c r="E13" s="56">
        <f>SUM(E12)</f>
        <v>0</v>
      </c>
    </row>
    <row r="14" spans="1:5" ht="14.25">
      <c r="A14" s="429" t="s">
        <v>212</v>
      </c>
      <c r="B14" s="337"/>
      <c r="C14" s="337"/>
      <c r="D14" s="337"/>
      <c r="E14" s="339"/>
    </row>
    <row r="15" spans="1:5" ht="14.25">
      <c r="A15" s="54" t="s">
        <v>3</v>
      </c>
      <c r="B15" s="50" t="s">
        <v>4</v>
      </c>
      <c r="C15" s="50" t="s">
        <v>5</v>
      </c>
      <c r="D15" s="50" t="s">
        <v>6</v>
      </c>
      <c r="E15" s="50" t="s">
        <v>7</v>
      </c>
    </row>
    <row r="16" spans="1:5" ht="24">
      <c r="A16" s="9" t="s">
        <v>84</v>
      </c>
      <c r="B16" s="58" t="s">
        <v>213</v>
      </c>
      <c r="C16" s="59">
        <v>1</v>
      </c>
      <c r="D16" s="60">
        <f>INSUMOS!E15</f>
        <v>70000</v>
      </c>
      <c r="E16" s="61">
        <f>C16*D16</f>
        <v>70000</v>
      </c>
    </row>
    <row r="17" spans="1:5" ht="14.25">
      <c r="A17" s="9" t="s">
        <v>85</v>
      </c>
      <c r="B17" s="62" t="s">
        <v>213</v>
      </c>
      <c r="C17" s="59">
        <v>20</v>
      </c>
      <c r="D17" s="63">
        <f>INSUMOS!E16</f>
        <v>10000</v>
      </c>
      <c r="E17" s="64">
        <f>D17*C17</f>
        <v>200000</v>
      </c>
    </row>
    <row r="18" spans="1:5" ht="14.25">
      <c r="A18" s="6"/>
      <c r="B18" s="6"/>
      <c r="C18" s="6"/>
      <c r="D18" s="6"/>
      <c r="E18" s="6"/>
    </row>
    <row r="19" spans="1:5" ht="14.25">
      <c r="A19" s="5"/>
      <c r="B19" s="46"/>
      <c r="C19" s="79"/>
      <c r="D19" s="47"/>
      <c r="E19" s="67"/>
    </row>
    <row r="20" spans="1:5" ht="14.25">
      <c r="A20" s="5"/>
      <c r="B20" s="46"/>
      <c r="C20" s="65"/>
      <c r="D20" s="66"/>
      <c r="E20" s="67"/>
    </row>
    <row r="21" spans="1:5" ht="14.25">
      <c r="A21" s="420" t="s">
        <v>211</v>
      </c>
      <c r="B21" s="337"/>
      <c r="C21" s="337"/>
      <c r="D21" s="339"/>
      <c r="E21" s="80">
        <f>SUM(E16:E20)</f>
        <v>270000</v>
      </c>
    </row>
    <row r="22" spans="1:5" ht="14.25">
      <c r="A22" s="429" t="s">
        <v>214</v>
      </c>
      <c r="B22" s="337"/>
      <c r="C22" s="337"/>
      <c r="D22" s="337"/>
      <c r="E22" s="339"/>
    </row>
    <row r="23" spans="1:5" ht="14.25">
      <c r="A23" s="54" t="s">
        <v>3</v>
      </c>
      <c r="B23" s="50" t="s">
        <v>4</v>
      </c>
      <c r="C23" s="50" t="s">
        <v>5</v>
      </c>
      <c r="D23" s="50" t="s">
        <v>6</v>
      </c>
      <c r="E23" s="50" t="s">
        <v>7</v>
      </c>
    </row>
    <row r="24" spans="1:5" ht="14.25">
      <c r="A24" s="5" t="s">
        <v>215</v>
      </c>
      <c r="B24" s="46" t="s">
        <v>172</v>
      </c>
      <c r="C24" s="55">
        <v>0.1</v>
      </c>
      <c r="D24" s="69">
        <f>+E21</f>
        <v>270000</v>
      </c>
      <c r="E24" s="69">
        <f>+C24*D24</f>
        <v>27000</v>
      </c>
    </row>
    <row r="25" spans="1:5" ht="14.25">
      <c r="A25" s="5"/>
      <c r="B25" s="46"/>
      <c r="C25" s="45"/>
      <c r="D25" s="66"/>
      <c r="E25" s="66"/>
    </row>
    <row r="26" spans="1:5" ht="14.25">
      <c r="A26" s="420" t="s">
        <v>211</v>
      </c>
      <c r="B26" s="337"/>
      <c r="C26" s="337"/>
      <c r="D26" s="339"/>
      <c r="E26" s="80">
        <f>+E24+E25</f>
        <v>27000</v>
      </c>
    </row>
    <row r="27" spans="1:5" ht="14.25">
      <c r="A27" s="429" t="s">
        <v>216</v>
      </c>
      <c r="B27" s="337"/>
      <c r="C27" s="337"/>
      <c r="D27" s="337"/>
      <c r="E27" s="339"/>
    </row>
    <row r="28" spans="1:5" ht="14.25">
      <c r="A28" s="54" t="s">
        <v>3</v>
      </c>
      <c r="B28" s="50" t="s">
        <v>217</v>
      </c>
      <c r="C28" s="50" t="s">
        <v>5</v>
      </c>
      <c r="D28" s="50" t="s">
        <v>6</v>
      </c>
      <c r="E28" s="50" t="s">
        <v>218</v>
      </c>
    </row>
    <row r="29" spans="1:5" ht="14.25">
      <c r="A29" s="70" t="s">
        <v>219</v>
      </c>
      <c r="B29" s="71">
        <v>2</v>
      </c>
      <c r="C29" s="72">
        <v>1</v>
      </c>
      <c r="D29" s="56">
        <v>97500</v>
      </c>
      <c r="E29" s="56">
        <f>B29*C29*D29</f>
        <v>195000</v>
      </c>
    </row>
    <row r="30" spans="1:5" ht="14.25">
      <c r="A30" s="420" t="s">
        <v>211</v>
      </c>
      <c r="B30" s="337"/>
      <c r="C30" s="337"/>
      <c r="D30" s="339"/>
      <c r="E30" s="80">
        <f>SUM(E29)</f>
        <v>195000</v>
      </c>
    </row>
    <row r="31" spans="1:5" ht="14.25">
      <c r="A31" s="428"/>
      <c r="B31" s="337"/>
      <c r="C31" s="337"/>
      <c r="D31" s="337"/>
      <c r="E31" s="339"/>
    </row>
    <row r="32" spans="1:5" ht="14.25">
      <c r="A32" s="433" t="s">
        <v>220</v>
      </c>
      <c r="B32" s="337"/>
      <c r="C32" s="337"/>
      <c r="D32" s="339"/>
      <c r="E32" s="81">
        <f>E13+E21+E26+E30</f>
        <v>492000</v>
      </c>
    </row>
    <row r="33" spans="1:5" thickBot="1">
      <c r="A33" s="74" t="s">
        <v>222</v>
      </c>
      <c r="B33" s="75"/>
      <c r="C33" s="75"/>
      <c r="D33" s="74" t="s">
        <v>223</v>
      </c>
      <c r="E33" s="76"/>
    </row>
    <row r="34" spans="1:5" thickBot="1">
      <c r="A34" s="77" t="s">
        <v>224</v>
      </c>
      <c r="B34" s="434"/>
      <c r="C34" s="435"/>
      <c r="D34" s="436" t="s">
        <v>225</v>
      </c>
      <c r="E34" s="437"/>
    </row>
    <row r="35" spans="1:5" ht="14.25">
      <c r="A35" s="78"/>
      <c r="B35" s="438"/>
      <c r="C35" s="439"/>
      <c r="D35" s="440" t="s">
        <v>226</v>
      </c>
      <c r="E35" s="437"/>
    </row>
    <row r="36" spans="1:5" ht="14.25">
      <c r="A36" s="1"/>
      <c r="B36" s="1"/>
      <c r="C36" s="1"/>
      <c r="D36" s="1"/>
      <c r="E36" s="1"/>
    </row>
    <row r="37" spans="1:5" ht="14.25">
      <c r="A37" s="1"/>
      <c r="B37" s="1"/>
      <c r="C37" s="1"/>
      <c r="D37" s="1"/>
      <c r="E37" s="1"/>
    </row>
    <row r="38" spans="1:5" ht="14.25">
      <c r="A38" s="441" t="s">
        <v>227</v>
      </c>
      <c r="B38" s="442"/>
      <c r="C38" s="442"/>
      <c r="D38" s="442"/>
      <c r="E38" s="442"/>
    </row>
    <row r="39" spans="1:5" ht="14.25">
      <c r="A39" s="443"/>
      <c r="B39" s="444"/>
      <c r="C39" s="444"/>
      <c r="D39" s="444"/>
      <c r="E39" s="444"/>
    </row>
    <row r="40" spans="1:5" ht="14.25">
      <c r="A40" s="430" t="s">
        <v>228</v>
      </c>
      <c r="B40" s="431"/>
      <c r="C40" s="431"/>
      <c r="D40" s="431"/>
      <c r="E40" s="432"/>
    </row>
    <row r="41" spans="1:5" ht="14.25" customHeight="1">
      <c r="A41" s="454" t="s">
        <v>229</v>
      </c>
      <c r="B41" s="442"/>
      <c r="C41" s="442"/>
      <c r="D41" s="442"/>
      <c r="E41" s="455"/>
    </row>
    <row r="42" spans="1:5" ht="14.25">
      <c r="A42" s="449"/>
      <c r="B42" s="449"/>
      <c r="C42" s="449"/>
      <c r="D42" s="449"/>
      <c r="E42" s="456"/>
    </row>
    <row r="43" spans="1:5" ht="14.25">
      <c r="A43" s="449"/>
      <c r="B43" s="449"/>
      <c r="C43" s="449"/>
      <c r="D43" s="449"/>
      <c r="E43" s="456"/>
    </row>
    <row r="44" spans="1:5" ht="14.25">
      <c r="A44" s="449"/>
      <c r="B44" s="449"/>
      <c r="C44" s="449"/>
      <c r="D44" s="449"/>
      <c r="E44" s="456"/>
    </row>
    <row r="45" spans="1:5" ht="14.25">
      <c r="A45" s="449"/>
      <c r="B45" s="449"/>
      <c r="C45" s="449"/>
      <c r="D45" s="449"/>
      <c r="E45" s="456"/>
    </row>
    <row r="46" spans="1:5" ht="14.25" customHeight="1">
      <c r="A46" s="449"/>
      <c r="B46" s="449"/>
      <c r="C46" s="449"/>
      <c r="D46" s="449"/>
      <c r="E46" s="456"/>
    </row>
    <row r="47" spans="1:5" ht="14.25">
      <c r="A47" s="449"/>
      <c r="B47" s="449"/>
      <c r="C47" s="449"/>
      <c r="D47" s="449"/>
      <c r="E47" s="456"/>
    </row>
    <row r="48" spans="1:5" ht="14.25">
      <c r="A48" s="449"/>
      <c r="B48" s="449"/>
      <c r="C48" s="449"/>
      <c r="D48" s="449"/>
      <c r="E48" s="456"/>
    </row>
    <row r="49" spans="1:5" ht="14.25">
      <c r="A49" s="430" t="s">
        <v>230</v>
      </c>
      <c r="B49" s="431"/>
      <c r="C49" s="431"/>
      <c r="D49" s="431"/>
      <c r="E49" s="432"/>
    </row>
    <row r="50" spans="1:5" ht="14.25">
      <c r="A50" s="457" t="s">
        <v>231</v>
      </c>
      <c r="B50" s="442"/>
      <c r="C50" s="442"/>
      <c r="D50" s="442"/>
      <c r="E50" s="455"/>
    </row>
    <row r="51" spans="1:5" ht="14.25">
      <c r="A51" s="449"/>
      <c r="B51" s="449"/>
      <c r="C51" s="449"/>
      <c r="D51" s="449"/>
      <c r="E51" s="456"/>
    </row>
    <row r="52" spans="1:5" ht="201.75" customHeight="1">
      <c r="A52" s="449"/>
      <c r="B52" s="449"/>
      <c r="C52" s="449"/>
      <c r="D52" s="449"/>
      <c r="E52" s="456"/>
    </row>
    <row r="53" spans="1:5" ht="14.25">
      <c r="A53" s="449"/>
      <c r="B53" s="449"/>
      <c r="C53" s="449"/>
      <c r="D53" s="449"/>
      <c r="E53" s="456"/>
    </row>
    <row r="54" spans="1:5" ht="14.25">
      <c r="A54" s="449"/>
      <c r="B54" s="449"/>
      <c r="C54" s="449"/>
      <c r="D54" s="449"/>
      <c r="E54" s="456"/>
    </row>
    <row r="55" spans="1:5" ht="15" customHeight="1">
      <c r="A55" s="449"/>
      <c r="B55" s="449"/>
      <c r="C55" s="449"/>
      <c r="D55" s="449"/>
      <c r="E55" s="456"/>
    </row>
    <row r="56" spans="1:5" ht="15" customHeight="1">
      <c r="A56" s="449"/>
      <c r="B56" s="449"/>
      <c r="C56" s="449"/>
      <c r="D56" s="449"/>
      <c r="E56" s="456"/>
    </row>
    <row r="57" spans="1:5" ht="15" customHeight="1">
      <c r="A57" s="449"/>
      <c r="B57" s="449"/>
      <c r="C57" s="449"/>
      <c r="D57" s="449"/>
      <c r="E57" s="456"/>
    </row>
    <row r="58" spans="1:5" ht="15" customHeight="1">
      <c r="A58" s="449"/>
      <c r="B58" s="449"/>
      <c r="C58" s="449"/>
      <c r="D58" s="449"/>
      <c r="E58" s="456"/>
    </row>
    <row r="59" spans="1:5" ht="15" customHeight="1" thickBot="1">
      <c r="A59" s="458"/>
      <c r="B59" s="458"/>
      <c r="C59" s="458"/>
      <c r="D59" s="458"/>
      <c r="E59" s="459"/>
    </row>
    <row r="60" spans="1:5" ht="15" customHeight="1">
      <c r="A60" s="445" t="s">
        <v>232</v>
      </c>
      <c r="B60" s="446"/>
      <c r="C60" s="446"/>
      <c r="D60" s="446"/>
      <c r="E60" s="447"/>
    </row>
    <row r="61" spans="1:5" ht="15" customHeight="1" thickBot="1">
      <c r="A61" s="448"/>
      <c r="B61" s="449"/>
      <c r="C61" s="449"/>
      <c r="D61" s="449"/>
      <c r="E61" s="450"/>
    </row>
    <row r="62" spans="1:5" ht="15" customHeight="1" thickBot="1">
      <c r="A62" s="451" t="s">
        <v>233</v>
      </c>
      <c r="B62" s="452"/>
      <c r="C62" s="452"/>
      <c r="D62" s="452"/>
      <c r="E62" s="453"/>
    </row>
  </sheetData>
  <sheetProtection algorithmName="SHA-512" hashValue="gl80Sfz001h7o4xaXz/PT1/nWdIyBQmuSzXKnLaCWXwH8/dkz5F3xi87yrQ7DgfEZtjN6GC0EFkj3QU0lel/rA==" saltValue="0IbGiOAYg4czT/IzCEfzTQ==" spinCount="100000" sheet="1" objects="1" scenarios="1"/>
  <mergeCells count="29">
    <mergeCell ref="A60:E61"/>
    <mergeCell ref="A62:E62"/>
    <mergeCell ref="A41:E48"/>
    <mergeCell ref="A49:E49"/>
    <mergeCell ref="A50:E59"/>
    <mergeCell ref="A40:E40"/>
    <mergeCell ref="A22:E22"/>
    <mergeCell ref="A26:D26"/>
    <mergeCell ref="A27:E27"/>
    <mergeCell ref="A30:D30"/>
    <mergeCell ref="A31:E31"/>
    <mergeCell ref="A32:D32"/>
    <mergeCell ref="B34:C34"/>
    <mergeCell ref="D34:E34"/>
    <mergeCell ref="B35:C35"/>
    <mergeCell ref="D35:E35"/>
    <mergeCell ref="A38:E39"/>
    <mergeCell ref="A21:D21"/>
    <mergeCell ref="A1:A3"/>
    <mergeCell ref="C1:E1"/>
    <mergeCell ref="C2:E2"/>
    <mergeCell ref="A4:B4"/>
    <mergeCell ref="B6:E6"/>
    <mergeCell ref="A7:C7"/>
    <mergeCell ref="A8:C8"/>
    <mergeCell ref="A9:E9"/>
    <mergeCell ref="A10:E10"/>
    <mergeCell ref="A13:D13"/>
    <mergeCell ref="A14:E14"/>
  </mergeCells>
  <pageMargins left="0.7" right="0.7" top="0.75" bottom="0.75"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outlinePr summaryBelow="0" summaryRight="0"/>
  </sheetPr>
  <dimension ref="A1:E54"/>
  <sheetViews>
    <sheetView topLeftCell="A37" workbookViewId="0">
      <selection activeCell="J48" sqref="J48"/>
    </sheetView>
  </sheetViews>
  <sheetFormatPr baseColWidth="10" defaultColWidth="12.5" defaultRowHeight="15" customHeight="1"/>
  <cols>
    <col min="1" max="1" width="58" customWidth="1"/>
    <col min="2" max="2" width="18.5" customWidth="1"/>
    <col min="3" max="3" width="19.125" customWidth="1"/>
    <col min="4" max="4" width="20.625" customWidth="1"/>
    <col min="5" max="5" width="18" customWidth="1"/>
    <col min="6" max="20" width="8.625" customWidth="1"/>
  </cols>
  <sheetData>
    <row r="1" spans="1:5" ht="14.25">
      <c r="A1" s="421" t="s">
        <v>196</v>
      </c>
      <c r="B1" s="5" t="s">
        <v>197</v>
      </c>
      <c r="C1" s="422"/>
      <c r="D1" s="337"/>
      <c r="E1" s="339"/>
    </row>
    <row r="2" spans="1:5" ht="14.25">
      <c r="A2" s="375"/>
      <c r="B2" s="5" t="s">
        <v>198</v>
      </c>
      <c r="C2" s="423">
        <v>1</v>
      </c>
      <c r="D2" s="337"/>
      <c r="E2" s="339"/>
    </row>
    <row r="3" spans="1:5" ht="14.25">
      <c r="A3" s="376"/>
      <c r="B3" s="5" t="s">
        <v>199</v>
      </c>
      <c r="C3" s="45"/>
      <c r="D3" s="46" t="s">
        <v>200</v>
      </c>
      <c r="E3" s="45"/>
    </row>
    <row r="4" spans="1:5" ht="14.25">
      <c r="A4" s="424" t="s">
        <v>201</v>
      </c>
      <c r="B4" s="339"/>
      <c r="C4" s="45">
        <v>2</v>
      </c>
      <c r="D4" s="45">
        <v>3</v>
      </c>
      <c r="E4" s="47">
        <v>2026</v>
      </c>
    </row>
    <row r="5" spans="1:5" ht="14.25">
      <c r="A5" s="48"/>
      <c r="B5" s="48"/>
      <c r="C5" s="46" t="s">
        <v>202</v>
      </c>
      <c r="D5" s="46" t="s">
        <v>203</v>
      </c>
      <c r="E5" s="46" t="s">
        <v>204</v>
      </c>
    </row>
    <row r="6" spans="1:5" ht="14.25">
      <c r="A6" s="49" t="s">
        <v>205</v>
      </c>
      <c r="B6" s="425" t="s">
        <v>206</v>
      </c>
      <c r="C6" s="337"/>
      <c r="D6" s="337"/>
      <c r="E6" s="339"/>
    </row>
    <row r="7" spans="1:5" ht="14.25">
      <c r="A7" s="426" t="s">
        <v>207</v>
      </c>
      <c r="B7" s="337"/>
      <c r="C7" s="339"/>
      <c r="D7" s="50" t="s">
        <v>4</v>
      </c>
      <c r="E7" s="50" t="s">
        <v>5</v>
      </c>
    </row>
    <row r="8" spans="1:5" ht="14.25">
      <c r="A8" s="427" t="str">
        <f>PRESUPUESTO!B7</f>
        <v>Taller de enfoque PRISER - fortalecimiento comunitario.</v>
      </c>
      <c r="B8" s="337"/>
      <c r="C8" s="339"/>
      <c r="D8" s="52" t="str">
        <f>PRESUPUESTO!C7</f>
        <v>Und</v>
      </c>
      <c r="E8" s="53">
        <v>1</v>
      </c>
    </row>
    <row r="9" spans="1:5" ht="14.25">
      <c r="A9" s="428"/>
      <c r="B9" s="337"/>
      <c r="C9" s="337"/>
      <c r="D9" s="337"/>
      <c r="E9" s="339"/>
    </row>
    <row r="10" spans="1:5" ht="14.25">
      <c r="A10" s="429" t="s">
        <v>208</v>
      </c>
      <c r="B10" s="337"/>
      <c r="C10" s="337"/>
      <c r="D10" s="337"/>
      <c r="E10" s="339"/>
    </row>
    <row r="11" spans="1:5" ht="14.25">
      <c r="A11" s="54" t="s">
        <v>3</v>
      </c>
      <c r="B11" s="50" t="s">
        <v>209</v>
      </c>
      <c r="C11" s="50" t="s">
        <v>210</v>
      </c>
      <c r="D11" s="50" t="s">
        <v>6</v>
      </c>
      <c r="E11" s="50" t="s">
        <v>7</v>
      </c>
    </row>
    <row r="12" spans="1:5" ht="14.25">
      <c r="A12" s="5"/>
      <c r="B12" s="46"/>
      <c r="C12" s="55"/>
      <c r="D12" s="56"/>
      <c r="E12" s="56"/>
    </row>
    <row r="13" spans="1:5" ht="14.25">
      <c r="A13" s="420" t="s">
        <v>211</v>
      </c>
      <c r="B13" s="337"/>
      <c r="C13" s="337"/>
      <c r="D13" s="339"/>
      <c r="E13" s="56">
        <f>SUM(E12)</f>
        <v>0</v>
      </c>
    </row>
    <row r="14" spans="1:5" ht="14.25">
      <c r="A14" s="429" t="s">
        <v>212</v>
      </c>
      <c r="B14" s="337"/>
      <c r="C14" s="337"/>
      <c r="D14" s="337"/>
      <c r="E14" s="339"/>
    </row>
    <row r="15" spans="1:5" ht="14.25">
      <c r="A15" s="54" t="s">
        <v>3</v>
      </c>
      <c r="B15" s="50" t="s">
        <v>4</v>
      </c>
      <c r="C15" s="50" t="s">
        <v>5</v>
      </c>
      <c r="D15" s="50" t="s">
        <v>6</v>
      </c>
      <c r="E15" s="50" t="s">
        <v>7</v>
      </c>
    </row>
    <row r="16" spans="1:5" ht="24">
      <c r="A16" s="9" t="s">
        <v>84</v>
      </c>
      <c r="B16" s="58" t="s">
        <v>213</v>
      </c>
      <c r="C16" s="59">
        <v>1</v>
      </c>
      <c r="D16" s="60">
        <f>INSUMOS!E15</f>
        <v>70000</v>
      </c>
      <c r="E16" s="61">
        <f>C16*D16</f>
        <v>70000</v>
      </c>
    </row>
    <row r="17" spans="1:5" ht="14.25">
      <c r="A17" s="9" t="s">
        <v>85</v>
      </c>
      <c r="B17" s="62" t="s">
        <v>213</v>
      </c>
      <c r="C17" s="59">
        <v>20</v>
      </c>
      <c r="D17" s="63">
        <f>INSUMOS!E16</f>
        <v>10000</v>
      </c>
      <c r="E17" s="64">
        <f>D17*C17</f>
        <v>200000</v>
      </c>
    </row>
    <row r="18" spans="1:5" ht="14.25">
      <c r="A18" s="6"/>
      <c r="B18" s="6"/>
      <c r="C18" s="6"/>
      <c r="D18" s="6"/>
      <c r="E18" s="6"/>
    </row>
    <row r="19" spans="1:5" ht="14.25">
      <c r="A19" s="5"/>
      <c r="B19" s="46"/>
      <c r="C19" s="79"/>
      <c r="D19" s="47"/>
      <c r="E19" s="67"/>
    </row>
    <row r="20" spans="1:5" ht="14.25">
      <c r="A20" s="5"/>
      <c r="B20" s="46"/>
      <c r="C20" s="65"/>
      <c r="D20" s="66"/>
      <c r="E20" s="67"/>
    </row>
    <row r="21" spans="1:5" ht="14.25">
      <c r="A21" s="420" t="s">
        <v>211</v>
      </c>
      <c r="B21" s="337"/>
      <c r="C21" s="337"/>
      <c r="D21" s="339"/>
      <c r="E21" s="80">
        <f>SUM(E16:E20)</f>
        <v>270000</v>
      </c>
    </row>
    <row r="22" spans="1:5" ht="14.25">
      <c r="A22" s="429" t="s">
        <v>214</v>
      </c>
      <c r="B22" s="337"/>
      <c r="C22" s="337"/>
      <c r="D22" s="337"/>
      <c r="E22" s="339"/>
    </row>
    <row r="23" spans="1:5" ht="14.25">
      <c r="A23" s="54" t="s">
        <v>3</v>
      </c>
      <c r="B23" s="50" t="s">
        <v>4</v>
      </c>
      <c r="C23" s="50" t="s">
        <v>5</v>
      </c>
      <c r="D23" s="50" t="s">
        <v>6</v>
      </c>
      <c r="E23" s="50" t="s">
        <v>7</v>
      </c>
    </row>
    <row r="24" spans="1:5" ht="14.25">
      <c r="A24" s="5" t="s">
        <v>215</v>
      </c>
      <c r="B24" s="46" t="s">
        <v>172</v>
      </c>
      <c r="C24" s="55">
        <v>0.1</v>
      </c>
      <c r="D24" s="69">
        <f>+E21</f>
        <v>270000</v>
      </c>
      <c r="E24" s="69">
        <f>+C24*D24</f>
        <v>27000</v>
      </c>
    </row>
    <row r="25" spans="1:5" ht="14.25">
      <c r="A25" s="5"/>
      <c r="B25" s="46"/>
      <c r="C25" s="45"/>
      <c r="D25" s="66"/>
      <c r="E25" s="66"/>
    </row>
    <row r="26" spans="1:5" ht="14.25">
      <c r="A26" s="420" t="s">
        <v>211</v>
      </c>
      <c r="B26" s="337"/>
      <c r="C26" s="337"/>
      <c r="D26" s="339"/>
      <c r="E26" s="80">
        <f>+E24+E25</f>
        <v>27000</v>
      </c>
    </row>
    <row r="27" spans="1:5" ht="14.25">
      <c r="A27" s="429" t="s">
        <v>216</v>
      </c>
      <c r="B27" s="337"/>
      <c r="C27" s="337"/>
      <c r="D27" s="337"/>
      <c r="E27" s="339"/>
    </row>
    <row r="28" spans="1:5" ht="14.25">
      <c r="A28" s="54" t="s">
        <v>3</v>
      </c>
      <c r="B28" s="50" t="s">
        <v>217</v>
      </c>
      <c r="C28" s="50" t="s">
        <v>5</v>
      </c>
      <c r="D28" s="50" t="s">
        <v>6</v>
      </c>
      <c r="E28" s="50" t="s">
        <v>218</v>
      </c>
    </row>
    <row r="29" spans="1:5" ht="14.25">
      <c r="A29" s="70" t="s">
        <v>219</v>
      </c>
      <c r="B29" s="71">
        <v>2</v>
      </c>
      <c r="C29" s="72">
        <v>1</v>
      </c>
      <c r="D29" s="56">
        <v>97500</v>
      </c>
      <c r="E29" s="56">
        <f>B29*C29*D29</f>
        <v>195000</v>
      </c>
    </row>
    <row r="30" spans="1:5" ht="14.25">
      <c r="A30" s="420" t="s">
        <v>211</v>
      </c>
      <c r="B30" s="337"/>
      <c r="C30" s="337"/>
      <c r="D30" s="339"/>
      <c r="E30" s="80">
        <f>SUM(E29)</f>
        <v>195000</v>
      </c>
    </row>
    <row r="31" spans="1:5" ht="14.25">
      <c r="A31" s="428"/>
      <c r="B31" s="337"/>
      <c r="C31" s="337"/>
      <c r="D31" s="337"/>
      <c r="E31" s="339"/>
    </row>
    <row r="32" spans="1:5" ht="14.25">
      <c r="A32" s="433" t="s">
        <v>220</v>
      </c>
      <c r="B32" s="337"/>
      <c r="C32" s="337"/>
      <c r="D32" s="339"/>
      <c r="E32" s="81">
        <f>E13+E21+E26+E30</f>
        <v>492000</v>
      </c>
    </row>
    <row r="33" spans="1:5" thickBot="1">
      <c r="A33" s="74" t="s">
        <v>222</v>
      </c>
      <c r="B33" s="75"/>
      <c r="C33" s="75"/>
      <c r="D33" s="74" t="s">
        <v>223</v>
      </c>
      <c r="E33" s="76"/>
    </row>
    <row r="34" spans="1:5" ht="14.25">
      <c r="A34" s="77" t="s">
        <v>224</v>
      </c>
      <c r="B34" s="434"/>
      <c r="C34" s="435"/>
      <c r="D34" s="436" t="s">
        <v>225</v>
      </c>
      <c r="E34" s="437"/>
    </row>
    <row r="35" spans="1:5" ht="14.25">
      <c r="A35" s="78"/>
      <c r="B35" s="438"/>
      <c r="C35" s="439"/>
      <c r="D35" s="440" t="s">
        <v>226</v>
      </c>
      <c r="E35" s="437"/>
    </row>
    <row r="36" spans="1:5" ht="14.25">
      <c r="A36" s="1"/>
      <c r="B36" s="1"/>
      <c r="C36" s="1"/>
      <c r="D36" s="1"/>
      <c r="E36" s="1"/>
    </row>
    <row r="37" spans="1:5" ht="14.25">
      <c r="A37" s="1"/>
      <c r="B37" s="1"/>
      <c r="C37" s="1"/>
      <c r="D37" s="1"/>
      <c r="E37" s="1"/>
    </row>
    <row r="38" spans="1:5" ht="14.25">
      <c r="A38" s="467" t="s">
        <v>234</v>
      </c>
      <c r="B38" s="468"/>
      <c r="C38" s="468"/>
      <c r="D38" s="468"/>
      <c r="E38" s="342"/>
    </row>
    <row r="39" spans="1:5" ht="14.25">
      <c r="A39" s="469"/>
      <c r="B39" s="470"/>
      <c r="C39" s="470"/>
      <c r="D39" s="470"/>
      <c r="E39" s="471"/>
    </row>
    <row r="40" spans="1:5" ht="14.25">
      <c r="A40" s="472" t="s">
        <v>228</v>
      </c>
      <c r="B40" s="384"/>
      <c r="C40" s="384"/>
      <c r="D40" s="384"/>
      <c r="E40" s="387"/>
    </row>
    <row r="41" spans="1:5" thickBot="1">
      <c r="A41" s="473" t="s">
        <v>235</v>
      </c>
      <c r="B41" s="461"/>
      <c r="C41" s="461"/>
      <c r="D41" s="461"/>
      <c r="E41" s="462"/>
    </row>
    <row r="42" spans="1:5" ht="14.25">
      <c r="A42" s="463"/>
      <c r="B42" s="461"/>
      <c r="C42" s="461"/>
      <c r="D42" s="461"/>
      <c r="E42" s="462"/>
    </row>
    <row r="43" spans="1:5" ht="14.25">
      <c r="A43" s="463"/>
      <c r="B43" s="461"/>
      <c r="C43" s="461"/>
      <c r="D43" s="461"/>
      <c r="E43" s="462"/>
    </row>
    <row r="44" spans="1:5" ht="14.25">
      <c r="A44" s="463"/>
      <c r="B44" s="461"/>
      <c r="C44" s="461"/>
      <c r="D44" s="461"/>
      <c r="E44" s="462"/>
    </row>
    <row r="45" spans="1:5" ht="14.25">
      <c r="A45" s="472" t="s">
        <v>230</v>
      </c>
      <c r="B45" s="384"/>
      <c r="C45" s="384"/>
      <c r="D45" s="384"/>
      <c r="E45" s="387"/>
    </row>
    <row r="46" spans="1:5" ht="14.25">
      <c r="A46" s="460" t="s">
        <v>236</v>
      </c>
      <c r="B46" s="461"/>
      <c r="C46" s="461"/>
      <c r="D46" s="461"/>
      <c r="E46" s="462"/>
    </row>
    <row r="47" spans="1:5" ht="14.25">
      <c r="A47" s="463"/>
      <c r="B47" s="461"/>
      <c r="C47" s="461"/>
      <c r="D47" s="461"/>
      <c r="E47" s="462"/>
    </row>
    <row r="48" spans="1:5" ht="14.25">
      <c r="A48" s="463"/>
      <c r="B48" s="461"/>
      <c r="C48" s="461"/>
      <c r="D48" s="461"/>
      <c r="E48" s="462"/>
    </row>
    <row r="49" spans="1:5" ht="14.25">
      <c r="A49" s="463"/>
      <c r="B49" s="461"/>
      <c r="C49" s="461"/>
      <c r="D49" s="461"/>
      <c r="E49" s="462"/>
    </row>
    <row r="50" spans="1:5" ht="14.25">
      <c r="A50" s="463"/>
      <c r="B50" s="461"/>
      <c r="C50" s="461"/>
      <c r="D50" s="461"/>
      <c r="E50" s="462"/>
    </row>
    <row r="51" spans="1:5" ht="14.25">
      <c r="A51" s="463"/>
      <c r="B51" s="461"/>
      <c r="C51" s="461"/>
      <c r="D51" s="461"/>
      <c r="E51" s="462"/>
    </row>
    <row r="52" spans="1:5" ht="201.75" customHeight="1">
      <c r="A52" s="463"/>
      <c r="B52" s="461"/>
      <c r="C52" s="461"/>
      <c r="D52" s="461"/>
      <c r="E52" s="462"/>
    </row>
    <row r="53" spans="1:5" ht="14.25">
      <c r="A53" s="464" t="s">
        <v>237</v>
      </c>
      <c r="B53" s="378"/>
      <c r="C53" s="378"/>
      <c r="D53" s="378"/>
      <c r="E53" s="465"/>
    </row>
    <row r="54" spans="1:5" ht="14.25">
      <c r="A54" s="380"/>
      <c r="B54" s="381"/>
      <c r="C54" s="381"/>
      <c r="D54" s="381"/>
      <c r="E54" s="466"/>
    </row>
  </sheetData>
  <sheetProtection algorithmName="SHA-512" hashValue="6eIpvwzH7SuvSzQLzHtqkE7pjPRoK5RMB9ZwdQP2f+szd98s+RBKusuEv2MP7F/LRqrYCcb7BD/7YrbOHLEw5Q==" saltValue="/KWZrwS6dDVdgBVEGLmOKg==" spinCount="100000" sheet="1" objects="1" scenarios="1"/>
  <mergeCells count="28">
    <mergeCell ref="A46:E52"/>
    <mergeCell ref="A53:E54"/>
    <mergeCell ref="B34:C34"/>
    <mergeCell ref="D34:E34"/>
    <mergeCell ref="B35:C35"/>
    <mergeCell ref="D35:E35"/>
    <mergeCell ref="A38:E39"/>
    <mergeCell ref="A40:E40"/>
    <mergeCell ref="A41:E44"/>
    <mergeCell ref="A45:E45"/>
    <mergeCell ref="A30:D30"/>
    <mergeCell ref="A31:E31"/>
    <mergeCell ref="A32:D32"/>
    <mergeCell ref="A14:E14"/>
    <mergeCell ref="A21:D21"/>
    <mergeCell ref="A22:E22"/>
    <mergeCell ref="A26:D26"/>
    <mergeCell ref="A27:E27"/>
    <mergeCell ref="A7:C7"/>
    <mergeCell ref="A8:C8"/>
    <mergeCell ref="A9:E9"/>
    <mergeCell ref="A10:E10"/>
    <mergeCell ref="A13:D13"/>
    <mergeCell ref="A1:A3"/>
    <mergeCell ref="C1:E1"/>
    <mergeCell ref="C2:E2"/>
    <mergeCell ref="A4:B4"/>
    <mergeCell ref="B6:E6"/>
  </mergeCells>
  <pageMargins left="0.7" right="0.7" top="0.75" bottom="0.75" header="0" footer="0"/>
  <pageSetup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outlinePr summaryBelow="0" summaryRight="0"/>
  </sheetPr>
  <dimension ref="A1:E78"/>
  <sheetViews>
    <sheetView topLeftCell="A49" workbookViewId="0">
      <selection activeCell="A49" sqref="A49:E76"/>
    </sheetView>
  </sheetViews>
  <sheetFormatPr baseColWidth="10" defaultColWidth="12.5" defaultRowHeight="15" customHeight="1"/>
  <cols>
    <col min="1" max="1" width="57.625" customWidth="1"/>
    <col min="2" max="2" width="13.625" customWidth="1"/>
    <col min="3" max="3" width="20.5" customWidth="1"/>
    <col min="4" max="4" width="18.875" customWidth="1"/>
    <col min="5" max="5" width="15" customWidth="1"/>
    <col min="6" max="19" width="8.625" customWidth="1"/>
  </cols>
  <sheetData>
    <row r="1" spans="1:5" ht="14.25" customHeight="1">
      <c r="A1" s="421" t="s">
        <v>196</v>
      </c>
      <c r="B1" s="5" t="s">
        <v>197</v>
      </c>
      <c r="C1" s="422"/>
      <c r="D1" s="337"/>
      <c r="E1" s="339"/>
    </row>
    <row r="2" spans="1:5" ht="14.25" customHeight="1">
      <c r="A2" s="375"/>
      <c r="B2" s="5" t="s">
        <v>198</v>
      </c>
      <c r="C2" s="423">
        <v>1</v>
      </c>
      <c r="D2" s="337"/>
      <c r="E2" s="339"/>
    </row>
    <row r="3" spans="1:5" ht="14.25" customHeight="1">
      <c r="A3" s="376"/>
      <c r="B3" s="5" t="s">
        <v>199</v>
      </c>
      <c r="C3" s="45"/>
      <c r="D3" s="46" t="s">
        <v>200</v>
      </c>
      <c r="E3" s="45"/>
    </row>
    <row r="4" spans="1:5" ht="14.25" customHeight="1">
      <c r="A4" s="424" t="s">
        <v>201</v>
      </c>
      <c r="B4" s="339"/>
      <c r="C4" s="45">
        <v>2</v>
      </c>
      <c r="D4" s="45">
        <v>3</v>
      </c>
      <c r="E4" s="47">
        <v>2026</v>
      </c>
    </row>
    <row r="5" spans="1:5" ht="14.25" customHeight="1">
      <c r="A5" s="48"/>
      <c r="B5" s="48"/>
      <c r="C5" s="46" t="s">
        <v>202</v>
      </c>
      <c r="D5" s="46" t="s">
        <v>203</v>
      </c>
      <c r="E5" s="46" t="s">
        <v>204</v>
      </c>
    </row>
    <row r="6" spans="1:5" ht="14.25">
      <c r="A6" s="49" t="s">
        <v>205</v>
      </c>
      <c r="B6" s="474" t="s">
        <v>206</v>
      </c>
      <c r="C6" s="337"/>
      <c r="D6" s="337"/>
      <c r="E6" s="339"/>
    </row>
    <row r="7" spans="1:5" ht="14.25" customHeight="1">
      <c r="A7" s="426" t="s">
        <v>207</v>
      </c>
      <c r="B7" s="337"/>
      <c r="C7" s="339"/>
      <c r="D7" s="50" t="s">
        <v>4</v>
      </c>
      <c r="E7" s="50" t="s">
        <v>5</v>
      </c>
    </row>
    <row r="8" spans="1:5" ht="16.5" customHeight="1">
      <c r="A8" s="427" t="str">
        <f>PRESUPUESTO!B8</f>
        <v>Taller temático.</v>
      </c>
      <c r="B8" s="337"/>
      <c r="C8" s="339"/>
      <c r="D8" s="52" t="str">
        <f>PRESUPUESTO!C8</f>
        <v>Und</v>
      </c>
      <c r="E8" s="53">
        <v>1</v>
      </c>
    </row>
    <row r="9" spans="1:5" ht="21.75" customHeight="1">
      <c r="A9" s="428"/>
      <c r="B9" s="337"/>
      <c r="C9" s="337"/>
      <c r="D9" s="337"/>
      <c r="E9" s="339"/>
    </row>
    <row r="10" spans="1:5" ht="9.75" customHeight="1">
      <c r="A10" s="429" t="s">
        <v>208</v>
      </c>
      <c r="B10" s="337"/>
      <c r="C10" s="337"/>
      <c r="D10" s="337"/>
      <c r="E10" s="339"/>
    </row>
    <row r="11" spans="1:5" ht="15.75" customHeight="1">
      <c r="A11" s="54" t="s">
        <v>3</v>
      </c>
      <c r="B11" s="50" t="s">
        <v>209</v>
      </c>
      <c r="C11" s="50" t="s">
        <v>210</v>
      </c>
      <c r="D11" s="50" t="s">
        <v>6</v>
      </c>
      <c r="E11" s="50" t="s">
        <v>7</v>
      </c>
    </row>
    <row r="12" spans="1:5" ht="23.25" customHeight="1">
      <c r="A12" s="5"/>
      <c r="B12" s="46"/>
      <c r="C12" s="55"/>
      <c r="D12" s="56"/>
      <c r="E12" s="56"/>
    </row>
    <row r="13" spans="1:5" ht="14.25">
      <c r="A13" s="420" t="s">
        <v>211</v>
      </c>
      <c r="B13" s="337"/>
      <c r="C13" s="337"/>
      <c r="D13" s="339"/>
      <c r="E13" s="56">
        <f>SUM(E12)</f>
        <v>0</v>
      </c>
    </row>
    <row r="14" spans="1:5" ht="14.25">
      <c r="A14" s="429" t="s">
        <v>212</v>
      </c>
      <c r="B14" s="337"/>
      <c r="C14" s="337"/>
      <c r="D14" s="337"/>
      <c r="E14" s="339"/>
    </row>
    <row r="15" spans="1:5" ht="14.25">
      <c r="A15" s="54" t="s">
        <v>3</v>
      </c>
      <c r="B15" s="50" t="s">
        <v>4</v>
      </c>
      <c r="C15" s="50" t="s">
        <v>5</v>
      </c>
      <c r="D15" s="50" t="s">
        <v>6</v>
      </c>
      <c r="E15" s="50" t="s">
        <v>7</v>
      </c>
    </row>
    <row r="16" spans="1:5" ht="39.75" customHeight="1">
      <c r="A16" s="9" t="s">
        <v>238</v>
      </c>
      <c r="B16" s="58" t="s">
        <v>213</v>
      </c>
      <c r="C16" s="59">
        <v>1</v>
      </c>
      <c r="D16" s="60">
        <f>INSUMOS!E15</f>
        <v>70000</v>
      </c>
      <c r="E16" s="61">
        <f>C16*D16</f>
        <v>70000</v>
      </c>
    </row>
    <row r="17" spans="1:5" ht="14.25">
      <c r="A17" s="9" t="s">
        <v>85</v>
      </c>
      <c r="B17" s="62" t="s">
        <v>213</v>
      </c>
      <c r="C17" s="59">
        <v>20</v>
      </c>
      <c r="D17" s="63">
        <f>INSUMOS!E16</f>
        <v>10000</v>
      </c>
      <c r="E17" s="64">
        <f>D17*C17</f>
        <v>200000</v>
      </c>
    </row>
    <row r="18" spans="1:5" ht="15.75" customHeight="1">
      <c r="A18" s="6"/>
      <c r="B18" s="6"/>
      <c r="C18" s="6"/>
      <c r="D18" s="6"/>
      <c r="E18" s="6"/>
    </row>
    <row r="19" spans="1:5" ht="10.5" customHeight="1">
      <c r="A19" s="5"/>
      <c r="B19" s="46"/>
      <c r="C19" s="79"/>
      <c r="D19" s="47"/>
      <c r="E19" s="67"/>
    </row>
    <row r="20" spans="1:5" ht="9.75" customHeight="1">
      <c r="A20" s="5"/>
      <c r="B20" s="46"/>
      <c r="C20" s="65"/>
      <c r="D20" s="66"/>
      <c r="E20" s="67"/>
    </row>
    <row r="21" spans="1:5" ht="16.5" customHeight="1">
      <c r="A21" s="420" t="s">
        <v>211</v>
      </c>
      <c r="B21" s="337"/>
      <c r="C21" s="337"/>
      <c r="D21" s="339"/>
      <c r="E21" s="80">
        <f>SUM(E16:E20)</f>
        <v>270000</v>
      </c>
    </row>
    <row r="22" spans="1:5" ht="14.25">
      <c r="A22" s="429" t="s">
        <v>214</v>
      </c>
      <c r="B22" s="337"/>
      <c r="C22" s="337"/>
      <c r="D22" s="337"/>
      <c r="E22" s="339"/>
    </row>
    <row r="23" spans="1:5" ht="14.25">
      <c r="A23" s="54" t="s">
        <v>3</v>
      </c>
      <c r="B23" s="50" t="s">
        <v>4</v>
      </c>
      <c r="C23" s="50" t="s">
        <v>5</v>
      </c>
      <c r="D23" s="50" t="s">
        <v>6</v>
      </c>
      <c r="E23" s="50" t="s">
        <v>7</v>
      </c>
    </row>
    <row r="24" spans="1:5" ht="14.25">
      <c r="A24" s="5" t="s">
        <v>215</v>
      </c>
      <c r="B24" s="46" t="s">
        <v>172</v>
      </c>
      <c r="C24" s="55">
        <v>0.1</v>
      </c>
      <c r="D24" s="69">
        <f>+E21</f>
        <v>270000</v>
      </c>
      <c r="E24" s="69">
        <f>+C24*D24</f>
        <v>27000</v>
      </c>
    </row>
    <row r="25" spans="1:5" ht="14.25">
      <c r="A25" s="5"/>
      <c r="B25" s="46"/>
      <c r="C25" s="45"/>
      <c r="D25" s="66"/>
      <c r="E25" s="66"/>
    </row>
    <row r="26" spans="1:5" ht="14.25">
      <c r="A26" s="420" t="s">
        <v>211</v>
      </c>
      <c r="B26" s="337"/>
      <c r="C26" s="337"/>
      <c r="D26" s="339"/>
      <c r="E26" s="80">
        <f>+E24+E25</f>
        <v>27000</v>
      </c>
    </row>
    <row r="27" spans="1:5" ht="14.25">
      <c r="A27" s="429" t="s">
        <v>216</v>
      </c>
      <c r="B27" s="337"/>
      <c r="C27" s="337"/>
      <c r="D27" s="337"/>
      <c r="E27" s="339"/>
    </row>
    <row r="28" spans="1:5" ht="14.25">
      <c r="A28" s="54" t="s">
        <v>3</v>
      </c>
      <c r="B28" s="50" t="s">
        <v>217</v>
      </c>
      <c r="C28" s="50" t="s">
        <v>5</v>
      </c>
      <c r="D28" s="82" t="s">
        <v>6</v>
      </c>
      <c r="E28" s="50" t="s">
        <v>218</v>
      </c>
    </row>
    <row r="29" spans="1:5" ht="14.25">
      <c r="A29" s="70" t="s">
        <v>219</v>
      </c>
      <c r="B29" s="71">
        <v>2</v>
      </c>
      <c r="C29" s="72">
        <v>1</v>
      </c>
      <c r="D29" s="56">
        <v>97500</v>
      </c>
      <c r="E29" s="56">
        <f>B29*C29*D29</f>
        <v>195000</v>
      </c>
    </row>
    <row r="30" spans="1:5" ht="14.25">
      <c r="A30" s="420" t="s">
        <v>211</v>
      </c>
      <c r="B30" s="337"/>
      <c r="C30" s="337"/>
      <c r="D30" s="339"/>
      <c r="E30" s="80">
        <f>SUM(E29)</f>
        <v>195000</v>
      </c>
    </row>
    <row r="31" spans="1:5" ht="14.25">
      <c r="A31" s="428"/>
      <c r="B31" s="337"/>
      <c r="C31" s="337"/>
      <c r="D31" s="337"/>
      <c r="E31" s="339"/>
    </row>
    <row r="32" spans="1:5" ht="14.25">
      <c r="A32" s="433" t="s">
        <v>220</v>
      </c>
      <c r="B32" s="337"/>
      <c r="C32" s="337"/>
      <c r="D32" s="339"/>
      <c r="E32" s="81">
        <f>E13+E21+E26+E30</f>
        <v>492000</v>
      </c>
    </row>
    <row r="33" spans="1:5" ht="14.25">
      <c r="A33" s="428"/>
      <c r="B33" s="337"/>
      <c r="C33" s="337"/>
      <c r="D33" s="337"/>
      <c r="E33" s="339"/>
    </row>
    <row r="34" spans="1:5" ht="15" customHeight="1">
      <c r="A34" s="74" t="s">
        <v>222</v>
      </c>
      <c r="B34" s="75"/>
      <c r="C34" s="75"/>
      <c r="D34" s="74" t="s">
        <v>223</v>
      </c>
      <c r="E34" s="76"/>
    </row>
    <row r="35" spans="1:5" ht="21.75" customHeight="1">
      <c r="A35" s="77" t="s">
        <v>224</v>
      </c>
      <c r="B35" s="434"/>
      <c r="C35" s="435"/>
      <c r="D35" s="436" t="s">
        <v>225</v>
      </c>
      <c r="E35" s="437"/>
    </row>
    <row r="36" spans="1:5" ht="14.25" customHeight="1">
      <c r="A36" s="78"/>
      <c r="B36" s="438"/>
      <c r="C36" s="439"/>
      <c r="D36" s="440" t="s">
        <v>226</v>
      </c>
      <c r="E36" s="437"/>
    </row>
    <row r="37" spans="1:5" ht="9.75" customHeight="1">
      <c r="A37" s="477" t="s">
        <v>234</v>
      </c>
      <c r="B37" s="378"/>
      <c r="C37" s="378"/>
      <c r="D37" s="378"/>
      <c r="E37" s="465"/>
    </row>
    <row r="38" spans="1:5" ht="9.75" customHeight="1">
      <c r="A38" s="380"/>
      <c r="B38" s="381"/>
      <c r="C38" s="381"/>
      <c r="D38" s="381"/>
      <c r="E38" s="466"/>
    </row>
    <row r="39" spans="1:5" ht="21" customHeight="1">
      <c r="A39" s="478" t="s">
        <v>239</v>
      </c>
      <c r="B39" s="381"/>
      <c r="C39" s="381"/>
      <c r="D39" s="381"/>
      <c r="E39" s="466"/>
    </row>
    <row r="40" spans="1:5" ht="9.75" customHeight="1">
      <c r="A40" s="475" t="s">
        <v>240</v>
      </c>
      <c r="B40" s="378"/>
      <c r="C40" s="378"/>
      <c r="D40" s="378"/>
      <c r="E40" s="465"/>
    </row>
    <row r="41" spans="1:5" ht="9.75" customHeight="1">
      <c r="A41" s="463"/>
      <c r="B41" s="461"/>
      <c r="C41" s="461"/>
      <c r="D41" s="461"/>
      <c r="E41" s="462"/>
    </row>
    <row r="42" spans="1:5" ht="9.75" customHeight="1">
      <c r="A42" s="463"/>
      <c r="B42" s="461"/>
      <c r="C42" s="461"/>
      <c r="D42" s="461"/>
      <c r="E42" s="462"/>
    </row>
    <row r="43" spans="1:5" ht="9.75" customHeight="1">
      <c r="A43" s="463"/>
      <c r="B43" s="461"/>
      <c r="C43" s="461"/>
      <c r="D43" s="461"/>
      <c r="E43" s="462"/>
    </row>
    <row r="44" spans="1:5" ht="9.75" customHeight="1">
      <c r="A44" s="463"/>
      <c r="B44" s="461"/>
      <c r="C44" s="461"/>
      <c r="D44" s="461"/>
      <c r="E44" s="462"/>
    </row>
    <row r="45" spans="1:5" ht="9.75" customHeight="1">
      <c r="A45" s="463"/>
      <c r="B45" s="461"/>
      <c r="C45" s="461"/>
      <c r="D45" s="461"/>
      <c r="E45" s="462"/>
    </row>
    <row r="46" spans="1:5" ht="9.75" customHeight="1">
      <c r="A46" s="463"/>
      <c r="B46" s="461"/>
      <c r="C46" s="461"/>
      <c r="D46" s="461"/>
      <c r="E46" s="462"/>
    </row>
    <row r="47" spans="1:5" ht="9.75" customHeight="1">
      <c r="A47" s="463"/>
      <c r="B47" s="461"/>
      <c r="C47" s="461"/>
      <c r="D47" s="461"/>
      <c r="E47" s="462"/>
    </row>
    <row r="48" spans="1:5" ht="14.25">
      <c r="A48" s="479" t="s">
        <v>241</v>
      </c>
      <c r="B48" s="384"/>
      <c r="C48" s="384"/>
      <c r="D48" s="384"/>
      <c r="E48" s="387"/>
    </row>
    <row r="49" spans="1:5" ht="24.75" customHeight="1">
      <c r="A49" s="475" t="s">
        <v>242</v>
      </c>
      <c r="B49" s="378"/>
      <c r="C49" s="378"/>
      <c r="D49" s="378"/>
      <c r="E49" s="465"/>
    </row>
    <row r="50" spans="1:5" ht="24.75" customHeight="1">
      <c r="A50" s="463"/>
      <c r="B50" s="461"/>
      <c r="C50" s="461"/>
      <c r="D50" s="461"/>
      <c r="E50" s="462"/>
    </row>
    <row r="51" spans="1:5" ht="24.75" customHeight="1">
      <c r="A51" s="463"/>
      <c r="B51" s="461"/>
      <c r="C51" s="461"/>
      <c r="D51" s="461"/>
      <c r="E51" s="462"/>
    </row>
    <row r="52" spans="1:5" ht="24.75" customHeight="1">
      <c r="A52" s="463"/>
      <c r="B52" s="461"/>
      <c r="C52" s="461"/>
      <c r="D52" s="461"/>
      <c r="E52" s="462"/>
    </row>
    <row r="53" spans="1:5" ht="24.75" customHeight="1">
      <c r="A53" s="463"/>
      <c r="B53" s="461"/>
      <c r="C53" s="461"/>
      <c r="D53" s="461"/>
      <c r="E53" s="462"/>
    </row>
    <row r="54" spans="1:5" ht="24.75" customHeight="1">
      <c r="A54" s="463"/>
      <c r="B54" s="461"/>
      <c r="C54" s="461"/>
      <c r="D54" s="461"/>
      <c r="E54" s="462"/>
    </row>
    <row r="55" spans="1:5" ht="24.75" customHeight="1">
      <c r="A55" s="463"/>
      <c r="B55" s="461"/>
      <c r="C55" s="461"/>
      <c r="D55" s="461"/>
      <c r="E55" s="462"/>
    </row>
    <row r="56" spans="1:5" ht="24.75" customHeight="1">
      <c r="A56" s="463"/>
      <c r="B56" s="461"/>
      <c r="C56" s="461"/>
      <c r="D56" s="461"/>
      <c r="E56" s="462"/>
    </row>
    <row r="57" spans="1:5" ht="24.75" customHeight="1">
      <c r="A57" s="463"/>
      <c r="B57" s="461"/>
      <c r="C57" s="461"/>
      <c r="D57" s="461"/>
      <c r="E57" s="462"/>
    </row>
    <row r="58" spans="1:5" ht="24.75" customHeight="1">
      <c r="A58" s="463"/>
      <c r="B58" s="461"/>
      <c r="C58" s="461"/>
      <c r="D58" s="461"/>
      <c r="E58" s="462"/>
    </row>
    <row r="59" spans="1:5" ht="24.75" customHeight="1">
      <c r="A59" s="463"/>
      <c r="B59" s="461"/>
      <c r="C59" s="461"/>
      <c r="D59" s="461"/>
      <c r="E59" s="462"/>
    </row>
    <row r="60" spans="1:5" ht="24.75" customHeight="1">
      <c r="A60" s="463"/>
      <c r="B60" s="461"/>
      <c r="C60" s="461"/>
      <c r="D60" s="461"/>
      <c r="E60" s="462"/>
    </row>
    <row r="61" spans="1:5" ht="24.75" customHeight="1">
      <c r="A61" s="463"/>
      <c r="B61" s="461"/>
      <c r="C61" s="461"/>
      <c r="D61" s="461"/>
      <c r="E61" s="462"/>
    </row>
    <row r="62" spans="1:5" ht="24.75" customHeight="1">
      <c r="A62" s="463"/>
      <c r="B62" s="461"/>
      <c r="C62" s="461"/>
      <c r="D62" s="461"/>
      <c r="E62" s="462"/>
    </row>
    <row r="63" spans="1:5" ht="24.75" customHeight="1">
      <c r="A63" s="463"/>
      <c r="B63" s="461"/>
      <c r="C63" s="461"/>
      <c r="D63" s="461"/>
      <c r="E63" s="462"/>
    </row>
    <row r="64" spans="1:5" ht="24.75" customHeight="1">
      <c r="A64" s="463"/>
      <c r="B64" s="461"/>
      <c r="C64" s="461"/>
      <c r="D64" s="461"/>
      <c r="E64" s="462"/>
    </row>
    <row r="65" spans="1:5" ht="24.75" customHeight="1">
      <c r="A65" s="463"/>
      <c r="B65" s="461"/>
      <c r="C65" s="461"/>
      <c r="D65" s="461"/>
      <c r="E65" s="462"/>
    </row>
    <row r="66" spans="1:5" ht="24.75" customHeight="1">
      <c r="A66" s="463"/>
      <c r="B66" s="461"/>
      <c r="C66" s="461"/>
      <c r="D66" s="461"/>
      <c r="E66" s="462"/>
    </row>
    <row r="67" spans="1:5" ht="24.75" customHeight="1">
      <c r="A67" s="463"/>
      <c r="B67" s="461"/>
      <c r="C67" s="461"/>
      <c r="D67" s="461"/>
      <c r="E67" s="462"/>
    </row>
    <row r="68" spans="1:5" ht="24.75" customHeight="1">
      <c r="A68" s="463"/>
      <c r="B68" s="461"/>
      <c r="C68" s="461"/>
      <c r="D68" s="461"/>
      <c r="E68" s="462"/>
    </row>
    <row r="69" spans="1:5" ht="24.75" customHeight="1">
      <c r="A69" s="463"/>
      <c r="B69" s="461"/>
      <c r="C69" s="461"/>
      <c r="D69" s="461"/>
      <c r="E69" s="462"/>
    </row>
    <row r="70" spans="1:5" ht="24.75" customHeight="1">
      <c r="A70" s="463"/>
      <c r="B70" s="461"/>
      <c r="C70" s="461"/>
      <c r="D70" s="461"/>
      <c r="E70" s="462"/>
    </row>
    <row r="71" spans="1:5" ht="24.75" customHeight="1">
      <c r="A71" s="463"/>
      <c r="B71" s="461"/>
      <c r="C71" s="461"/>
      <c r="D71" s="461"/>
      <c r="E71" s="462"/>
    </row>
    <row r="72" spans="1:5" ht="24.75" customHeight="1">
      <c r="A72" s="463"/>
      <c r="B72" s="461"/>
      <c r="C72" s="461"/>
      <c r="D72" s="461"/>
      <c r="E72" s="462"/>
    </row>
    <row r="73" spans="1:5" ht="24.75" customHeight="1">
      <c r="A73" s="463"/>
      <c r="B73" s="461"/>
      <c r="C73" s="461"/>
      <c r="D73" s="461"/>
      <c r="E73" s="462"/>
    </row>
    <row r="74" spans="1:5" ht="18.75" customHeight="1">
      <c r="A74" s="463"/>
      <c r="B74" s="461"/>
      <c r="C74" s="461"/>
      <c r="D74" s="461"/>
      <c r="E74" s="462"/>
    </row>
    <row r="75" spans="1:5" ht="18.75" customHeight="1">
      <c r="A75" s="463"/>
      <c r="B75" s="461"/>
      <c r="C75" s="461"/>
      <c r="D75" s="461"/>
      <c r="E75" s="462"/>
    </row>
    <row r="76" spans="1:5" ht="18.75" customHeight="1">
      <c r="A76" s="380"/>
      <c r="B76" s="381"/>
      <c r="C76" s="381"/>
      <c r="D76" s="381"/>
      <c r="E76" s="466"/>
    </row>
    <row r="77" spans="1:5" ht="9.75" customHeight="1">
      <c r="A77" s="476" t="s">
        <v>243</v>
      </c>
      <c r="B77" s="461"/>
      <c r="C77" s="461"/>
      <c r="D77" s="461"/>
      <c r="E77" s="462"/>
    </row>
    <row r="78" spans="1:5" ht="9.75" customHeight="1">
      <c r="A78" s="380"/>
      <c r="B78" s="381"/>
      <c r="C78" s="381"/>
      <c r="D78" s="381"/>
      <c r="E78" s="466"/>
    </row>
  </sheetData>
  <sheetProtection algorithmName="SHA-512" hashValue="lpyRQAxXzlwp+WgSE0vNyKboR9V4KILyyqQugX2X3kZkVHRJ21KJo2xla1d3QfTpkOk72iHyPA/6TuY3v9FNfQ==" saltValue="tgAiI3tsb0JbJU0Oqxpl2Q==" spinCount="100000" sheet="1" objects="1" scenarios="1"/>
  <mergeCells count="29">
    <mergeCell ref="A49:E76"/>
    <mergeCell ref="A77:E78"/>
    <mergeCell ref="A33:E33"/>
    <mergeCell ref="B35:C35"/>
    <mergeCell ref="D35:E35"/>
    <mergeCell ref="B36:C36"/>
    <mergeCell ref="D36:E36"/>
    <mergeCell ref="A37:E38"/>
    <mergeCell ref="A39:E39"/>
    <mergeCell ref="A40:E47"/>
    <mergeCell ref="A48:E48"/>
    <mergeCell ref="A30:D30"/>
    <mergeCell ref="A31:E31"/>
    <mergeCell ref="A32:D32"/>
    <mergeCell ref="A14:E14"/>
    <mergeCell ref="A21:D21"/>
    <mergeCell ref="A22:E22"/>
    <mergeCell ref="A26:D26"/>
    <mergeCell ref="A27:E27"/>
    <mergeCell ref="A7:C7"/>
    <mergeCell ref="A8:C8"/>
    <mergeCell ref="A9:E9"/>
    <mergeCell ref="A10:E10"/>
    <mergeCell ref="A13:D13"/>
    <mergeCell ref="A1:A3"/>
    <mergeCell ref="C1:E1"/>
    <mergeCell ref="C2:E2"/>
    <mergeCell ref="A4:B4"/>
    <mergeCell ref="B6:E6"/>
  </mergeCells>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outlinePr summaryBelow="0" summaryRight="0"/>
  </sheetPr>
  <dimension ref="A1:E54"/>
  <sheetViews>
    <sheetView topLeftCell="A16" zoomScale="110" zoomScaleNormal="110" workbookViewId="0">
      <selection activeCell="F34" sqref="F34"/>
    </sheetView>
  </sheetViews>
  <sheetFormatPr baseColWidth="10" defaultColWidth="12.5" defaultRowHeight="15" customHeight="1"/>
  <cols>
    <col min="1" max="1" width="57.5" customWidth="1"/>
    <col min="2" max="2" width="20.875" customWidth="1"/>
    <col min="3" max="3" width="18.5" customWidth="1"/>
    <col min="4" max="4" width="16.125" customWidth="1"/>
    <col min="5" max="5" width="19.375" customWidth="1"/>
    <col min="6" max="19" width="8.625" customWidth="1"/>
  </cols>
  <sheetData>
    <row r="1" spans="1:5" ht="14.25">
      <c r="A1" s="421" t="s">
        <v>196</v>
      </c>
      <c r="B1" s="5" t="s">
        <v>197</v>
      </c>
      <c r="C1" s="422"/>
      <c r="D1" s="337"/>
      <c r="E1" s="339"/>
    </row>
    <row r="2" spans="1:5" ht="14.25">
      <c r="A2" s="375"/>
      <c r="B2" s="5" t="s">
        <v>198</v>
      </c>
      <c r="C2" s="423">
        <v>1</v>
      </c>
      <c r="D2" s="337"/>
      <c r="E2" s="339"/>
    </row>
    <row r="3" spans="1:5" ht="14.25">
      <c r="A3" s="376"/>
      <c r="B3" s="5" t="s">
        <v>199</v>
      </c>
      <c r="C3" s="45"/>
      <c r="D3" s="46" t="s">
        <v>200</v>
      </c>
      <c r="E3" s="45"/>
    </row>
    <row r="4" spans="1:5" ht="14.25">
      <c r="A4" s="424" t="s">
        <v>201</v>
      </c>
      <c r="B4" s="339"/>
      <c r="C4" s="45">
        <v>2</v>
      </c>
      <c r="D4" s="45">
        <v>3</v>
      </c>
      <c r="E4" s="47">
        <v>2026</v>
      </c>
    </row>
    <row r="5" spans="1:5" ht="14.25">
      <c r="A5" s="48"/>
      <c r="B5" s="48"/>
      <c r="C5" s="46" t="s">
        <v>202</v>
      </c>
      <c r="D5" s="46" t="s">
        <v>203</v>
      </c>
      <c r="E5" s="46" t="s">
        <v>204</v>
      </c>
    </row>
    <row r="6" spans="1:5" ht="14.25">
      <c r="A6" s="49" t="s">
        <v>205</v>
      </c>
      <c r="B6" s="425" t="s">
        <v>206</v>
      </c>
      <c r="C6" s="337"/>
      <c r="D6" s="337"/>
      <c r="E6" s="339"/>
    </row>
    <row r="7" spans="1:5" ht="14.25">
      <c r="A7" s="426" t="s">
        <v>207</v>
      </c>
      <c r="B7" s="337"/>
      <c r="C7" s="339"/>
      <c r="D7" s="50" t="s">
        <v>4</v>
      </c>
      <c r="E7" s="50" t="s">
        <v>5</v>
      </c>
    </row>
    <row r="8" spans="1:5" ht="14.25">
      <c r="A8" s="427" t="str">
        <f>PRESUPUESTO!B9</f>
        <v>Encuentro de cierre PRISER - evaluación impacto del proyecto.</v>
      </c>
      <c r="B8" s="337"/>
      <c r="C8" s="339"/>
      <c r="D8" s="52" t="str">
        <f>PRESUPUESTO!C9</f>
        <v>Und</v>
      </c>
      <c r="E8" s="53">
        <v>1</v>
      </c>
    </row>
    <row r="9" spans="1:5" ht="14.25">
      <c r="A9" s="428"/>
      <c r="B9" s="337"/>
      <c r="C9" s="337"/>
      <c r="D9" s="337"/>
      <c r="E9" s="339"/>
    </row>
    <row r="10" spans="1:5" ht="14.25">
      <c r="A10" s="429" t="s">
        <v>208</v>
      </c>
      <c r="B10" s="337"/>
      <c r="C10" s="337"/>
      <c r="D10" s="337"/>
      <c r="E10" s="339"/>
    </row>
    <row r="11" spans="1:5" ht="17.25" customHeight="1">
      <c r="A11" s="54" t="s">
        <v>3</v>
      </c>
      <c r="B11" s="50" t="s">
        <v>209</v>
      </c>
      <c r="C11" s="50" t="s">
        <v>210</v>
      </c>
      <c r="D11" s="50" t="s">
        <v>6</v>
      </c>
      <c r="E11" s="50" t="s">
        <v>7</v>
      </c>
    </row>
    <row r="12" spans="1:5" ht="14.25">
      <c r="A12" s="5"/>
      <c r="B12" s="46"/>
      <c r="C12" s="55"/>
      <c r="D12" s="56"/>
      <c r="E12" s="56"/>
    </row>
    <row r="13" spans="1:5" ht="14.25">
      <c r="A13" s="420" t="s">
        <v>211</v>
      </c>
      <c r="B13" s="337"/>
      <c r="C13" s="337"/>
      <c r="D13" s="339"/>
      <c r="E13" s="56">
        <f>SUM(E12)</f>
        <v>0</v>
      </c>
    </row>
    <row r="14" spans="1:5" ht="14.25">
      <c r="A14" s="429" t="s">
        <v>212</v>
      </c>
      <c r="B14" s="337"/>
      <c r="C14" s="337"/>
      <c r="D14" s="337"/>
      <c r="E14" s="339"/>
    </row>
    <row r="15" spans="1:5" ht="14.25">
      <c r="A15" s="54" t="s">
        <v>3</v>
      </c>
      <c r="B15" s="50" t="s">
        <v>4</v>
      </c>
      <c r="C15" s="50" t="s">
        <v>5</v>
      </c>
      <c r="D15" s="50" t="s">
        <v>6</v>
      </c>
      <c r="E15" s="50" t="s">
        <v>7</v>
      </c>
    </row>
    <row r="16" spans="1:5" ht="24">
      <c r="A16" s="9" t="s">
        <v>84</v>
      </c>
      <c r="B16" s="58" t="s">
        <v>213</v>
      </c>
      <c r="C16" s="59">
        <v>1</v>
      </c>
      <c r="D16" s="60">
        <f>INSUMOS!E15</f>
        <v>70000</v>
      </c>
      <c r="E16" s="61">
        <f>C16*D16</f>
        <v>70000</v>
      </c>
    </row>
    <row r="17" spans="1:5" ht="14.25">
      <c r="A17" s="9" t="s">
        <v>85</v>
      </c>
      <c r="B17" s="62" t="s">
        <v>213</v>
      </c>
      <c r="C17" s="59">
        <v>0</v>
      </c>
      <c r="D17" s="63">
        <f>INSUMOS!E16</f>
        <v>10000</v>
      </c>
      <c r="E17" s="64">
        <f t="shared" ref="E17:E19" si="0">D17*C17</f>
        <v>0</v>
      </c>
    </row>
    <row r="18" spans="1:5" ht="14.25">
      <c r="A18" s="9" t="s">
        <v>86</v>
      </c>
      <c r="B18" s="58" t="s">
        <v>244</v>
      </c>
      <c r="C18" s="59">
        <v>20</v>
      </c>
      <c r="D18" s="60">
        <f>INSUMOS!E17</f>
        <v>17000</v>
      </c>
      <c r="E18" s="61">
        <f t="shared" si="0"/>
        <v>340000</v>
      </c>
    </row>
    <row r="19" spans="1:5" ht="14.25">
      <c r="A19" s="9" t="s">
        <v>87</v>
      </c>
      <c r="B19" s="58" t="s">
        <v>244</v>
      </c>
      <c r="C19" s="59">
        <v>1</v>
      </c>
      <c r="D19" s="60">
        <v>50000</v>
      </c>
      <c r="E19" s="61">
        <f t="shared" si="0"/>
        <v>50000</v>
      </c>
    </row>
    <row r="20" spans="1:5" ht="14.25">
      <c r="A20" s="9"/>
      <c r="B20" s="62"/>
      <c r="C20" s="59"/>
      <c r="D20" s="60"/>
      <c r="E20" s="61"/>
    </row>
    <row r="21" spans="1:5" ht="14.25">
      <c r="A21" s="9"/>
      <c r="B21" s="62"/>
      <c r="C21" s="59"/>
      <c r="D21" s="60"/>
      <c r="E21" s="61"/>
    </row>
    <row r="22" spans="1:5" ht="14.25">
      <c r="A22" s="5"/>
      <c r="B22" s="46"/>
      <c r="C22" s="65"/>
      <c r="D22" s="66"/>
      <c r="E22" s="67"/>
    </row>
    <row r="23" spans="1:5" ht="14.25">
      <c r="A23" s="420" t="s">
        <v>211</v>
      </c>
      <c r="B23" s="337"/>
      <c r="C23" s="337"/>
      <c r="D23" s="339"/>
      <c r="E23" s="80">
        <f>SUM(E16:E22)</f>
        <v>460000</v>
      </c>
    </row>
    <row r="24" spans="1:5" ht="14.25">
      <c r="A24" s="429" t="s">
        <v>214</v>
      </c>
      <c r="B24" s="337"/>
      <c r="C24" s="337"/>
      <c r="D24" s="337"/>
      <c r="E24" s="339"/>
    </row>
    <row r="25" spans="1:5" ht="14.25">
      <c r="A25" s="54" t="s">
        <v>3</v>
      </c>
      <c r="B25" s="50" t="s">
        <v>4</v>
      </c>
      <c r="C25" s="50" t="s">
        <v>5</v>
      </c>
      <c r="D25" s="50" t="s">
        <v>6</v>
      </c>
      <c r="E25" s="50" t="s">
        <v>7</v>
      </c>
    </row>
    <row r="26" spans="1:5" ht="14.25">
      <c r="A26" s="5" t="s">
        <v>215</v>
      </c>
      <c r="B26" s="46" t="s">
        <v>172</v>
      </c>
      <c r="C26" s="55">
        <v>0.1</v>
      </c>
      <c r="D26" s="69">
        <f>+E23</f>
        <v>460000</v>
      </c>
      <c r="E26" s="69">
        <f>+C26*D26</f>
        <v>46000</v>
      </c>
    </row>
    <row r="27" spans="1:5" ht="14.25">
      <c r="A27" s="5"/>
      <c r="B27" s="46"/>
      <c r="C27" s="45"/>
      <c r="D27" s="66"/>
      <c r="E27" s="66"/>
    </row>
    <row r="28" spans="1:5" ht="14.25">
      <c r="A28" s="420" t="s">
        <v>211</v>
      </c>
      <c r="B28" s="337"/>
      <c r="C28" s="337"/>
      <c r="D28" s="339"/>
      <c r="E28" s="80">
        <f>+E26+E27</f>
        <v>46000</v>
      </c>
    </row>
    <row r="29" spans="1:5" ht="14.25">
      <c r="A29" s="429" t="s">
        <v>216</v>
      </c>
      <c r="B29" s="337"/>
      <c r="C29" s="337"/>
      <c r="D29" s="337"/>
      <c r="E29" s="339"/>
    </row>
    <row r="30" spans="1:5" ht="14.25">
      <c r="A30" s="54" t="s">
        <v>3</v>
      </c>
      <c r="B30" s="50" t="s">
        <v>217</v>
      </c>
      <c r="C30" s="50" t="s">
        <v>5</v>
      </c>
      <c r="D30" s="82" t="s">
        <v>6</v>
      </c>
      <c r="E30" s="50" t="s">
        <v>218</v>
      </c>
    </row>
    <row r="31" spans="1:5" ht="14.25">
      <c r="A31" s="70" t="s">
        <v>219</v>
      </c>
      <c r="B31" s="71">
        <v>1</v>
      </c>
      <c r="C31" s="72">
        <v>1</v>
      </c>
      <c r="D31" s="56">
        <v>97500</v>
      </c>
      <c r="E31" s="56">
        <f>B31*C31*D31</f>
        <v>97500</v>
      </c>
    </row>
    <row r="32" spans="1:5" ht="14.25">
      <c r="A32" s="420" t="s">
        <v>211</v>
      </c>
      <c r="B32" s="337"/>
      <c r="C32" s="337"/>
      <c r="D32" s="339"/>
      <c r="E32" s="80">
        <f>SUM(E31)</f>
        <v>97500</v>
      </c>
    </row>
    <row r="33" spans="1:5" ht="14.25">
      <c r="A33" s="428"/>
      <c r="B33" s="337"/>
      <c r="C33" s="337"/>
      <c r="D33" s="337"/>
      <c r="E33" s="339"/>
    </row>
    <row r="34" spans="1:5" ht="14.25">
      <c r="A34" s="433" t="s">
        <v>220</v>
      </c>
      <c r="B34" s="337"/>
      <c r="C34" s="337"/>
      <c r="D34" s="339"/>
      <c r="E34" s="81">
        <f>E13+E23+E28+E32</f>
        <v>603500</v>
      </c>
    </row>
    <row r="35" spans="1:5" ht="14.25">
      <c r="A35" s="480"/>
      <c r="B35" s="481"/>
      <c r="C35" s="481"/>
      <c r="D35" s="481"/>
      <c r="E35" s="482"/>
    </row>
    <row r="36" spans="1:5" ht="14.25">
      <c r="A36" s="74" t="s">
        <v>222</v>
      </c>
      <c r="B36" s="75"/>
      <c r="C36" s="75"/>
      <c r="D36" s="74" t="s">
        <v>223</v>
      </c>
      <c r="E36" s="76"/>
    </row>
    <row r="37" spans="1:5" ht="14.25">
      <c r="A37" s="77" t="s">
        <v>224</v>
      </c>
      <c r="B37" s="434"/>
      <c r="C37" s="435"/>
      <c r="D37" s="436" t="s">
        <v>225</v>
      </c>
      <c r="E37" s="437"/>
    </row>
    <row r="38" spans="1:5" ht="14.25" customHeight="1">
      <c r="A38" s="78"/>
      <c r="B38" s="438"/>
      <c r="C38" s="439"/>
      <c r="D38" s="440" t="s">
        <v>226</v>
      </c>
      <c r="E38" s="437"/>
    </row>
    <row r="39" spans="1:5" ht="9.75" customHeight="1">
      <c r="A39" s="467" t="s">
        <v>234</v>
      </c>
      <c r="B39" s="468"/>
      <c r="C39" s="468"/>
      <c r="D39" s="468"/>
      <c r="E39" s="343"/>
    </row>
    <row r="40" spans="1:5" ht="9.75" customHeight="1">
      <c r="A40" s="469"/>
      <c r="B40" s="470"/>
      <c r="C40" s="470"/>
      <c r="D40" s="470"/>
      <c r="E40" s="483"/>
    </row>
    <row r="41" spans="1:5" ht="14.25">
      <c r="A41" s="479" t="s">
        <v>239</v>
      </c>
      <c r="B41" s="384"/>
      <c r="C41" s="384"/>
      <c r="D41" s="384"/>
      <c r="E41" s="387"/>
    </row>
    <row r="42" spans="1:5" ht="9.75" customHeight="1">
      <c r="A42" s="484" t="s">
        <v>370</v>
      </c>
      <c r="B42" s="461"/>
      <c r="C42" s="461"/>
      <c r="D42" s="461"/>
      <c r="E42" s="462"/>
    </row>
    <row r="43" spans="1:5" ht="9.75" customHeight="1">
      <c r="A43" s="461"/>
      <c r="B43" s="461"/>
      <c r="C43" s="461"/>
      <c r="D43" s="461"/>
      <c r="E43" s="462"/>
    </row>
    <row r="44" spans="1:5" ht="9.75" customHeight="1">
      <c r="A44" s="461"/>
      <c r="B44" s="461"/>
      <c r="C44" s="461"/>
      <c r="D44" s="461"/>
      <c r="E44" s="462"/>
    </row>
    <row r="45" spans="1:5" ht="20.25" customHeight="1">
      <c r="A45" s="461"/>
      <c r="B45" s="461"/>
      <c r="C45" s="461"/>
      <c r="D45" s="461"/>
      <c r="E45" s="462"/>
    </row>
    <row r="46" spans="1:5" ht="29.25" customHeight="1">
      <c r="A46" s="461"/>
      <c r="B46" s="461"/>
      <c r="C46" s="461"/>
      <c r="D46" s="461"/>
      <c r="E46" s="462"/>
    </row>
    <row r="47" spans="1:5" ht="29.25" customHeight="1">
      <c r="A47" s="461"/>
      <c r="B47" s="461"/>
      <c r="C47" s="461"/>
      <c r="D47" s="461"/>
      <c r="E47" s="462"/>
    </row>
    <row r="48" spans="1:5" ht="23.25" customHeight="1" thickBot="1">
      <c r="A48" s="461"/>
      <c r="B48" s="461"/>
      <c r="C48" s="461"/>
      <c r="D48" s="461"/>
      <c r="E48" s="462"/>
    </row>
    <row r="49" spans="1:5" ht="12.75" hidden="1" customHeight="1">
      <c r="A49" s="461"/>
      <c r="B49" s="461"/>
      <c r="C49" s="461"/>
      <c r="D49" s="461"/>
      <c r="E49" s="462"/>
    </row>
    <row r="50" spans="1:5" ht="14.25" hidden="1">
      <c r="A50" s="461"/>
      <c r="B50" s="461"/>
      <c r="C50" s="461"/>
      <c r="D50" s="461"/>
      <c r="E50" s="462"/>
    </row>
    <row r="51" spans="1:5" ht="16.5" customHeight="1" thickBot="1">
      <c r="A51" s="479" t="s">
        <v>241</v>
      </c>
      <c r="B51" s="384"/>
      <c r="C51" s="384"/>
      <c r="D51" s="384"/>
      <c r="E51" s="387"/>
    </row>
    <row r="52" spans="1:5" ht="276" customHeight="1" thickBot="1">
      <c r="A52" s="485" t="s">
        <v>373</v>
      </c>
      <c r="B52" s="378"/>
      <c r="C52" s="378"/>
      <c r="D52" s="378"/>
      <c r="E52" s="465"/>
    </row>
    <row r="53" spans="1:5" ht="9.75" customHeight="1">
      <c r="A53" s="464" t="s">
        <v>245</v>
      </c>
      <c r="B53" s="378"/>
      <c r="C53" s="378"/>
      <c r="D53" s="378"/>
      <c r="E53" s="465"/>
    </row>
    <row r="54" spans="1:5" ht="9.75" customHeight="1">
      <c r="A54" s="380"/>
      <c r="B54" s="381"/>
      <c r="C54" s="381"/>
      <c r="D54" s="381"/>
      <c r="E54" s="466"/>
    </row>
  </sheetData>
  <sheetProtection algorithmName="SHA-512" hashValue="KAC27kxa0Ov9pvCC3lQuMP/6YNwYrFBYlKlHMu6ptIl/MYlNVuqfzXBHmlVY7ZAt3HiW85JfeSFqiZqqYCopvg==" saltValue="GZBmGX1RucSr1upbbBwiZA==" spinCount="100000" sheet="1" objects="1" scenarios="1"/>
  <mergeCells count="29">
    <mergeCell ref="B38:C38"/>
    <mergeCell ref="D38:E38"/>
    <mergeCell ref="A53:E54"/>
    <mergeCell ref="A39:E40"/>
    <mergeCell ref="A41:E41"/>
    <mergeCell ref="A42:E50"/>
    <mergeCell ref="A51:E51"/>
    <mergeCell ref="A52:E52"/>
    <mergeCell ref="A35:E35"/>
    <mergeCell ref="B37:C37"/>
    <mergeCell ref="D37:E37"/>
    <mergeCell ref="A32:D32"/>
    <mergeCell ref="A33:E33"/>
    <mergeCell ref="A34:D34"/>
    <mergeCell ref="A14:E14"/>
    <mergeCell ref="A23:D23"/>
    <mergeCell ref="A24:E24"/>
    <mergeCell ref="A28:D28"/>
    <mergeCell ref="A29:E29"/>
    <mergeCell ref="A7:C7"/>
    <mergeCell ref="A8:C8"/>
    <mergeCell ref="A9:E9"/>
    <mergeCell ref="A10:E10"/>
    <mergeCell ref="A13:D13"/>
    <mergeCell ref="A1:A3"/>
    <mergeCell ref="C1:E1"/>
    <mergeCell ref="C2:E2"/>
    <mergeCell ref="A4:B4"/>
    <mergeCell ref="B6:E6"/>
  </mergeCells>
  <pageMargins left="0.7" right="0.7" top="0.75" bottom="0.75" header="0" footer="0"/>
  <pageSetup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G123"/>
  <sheetViews>
    <sheetView topLeftCell="A26" zoomScale="123" zoomScaleNormal="100" workbookViewId="0">
      <selection activeCell="F34" sqref="F34"/>
    </sheetView>
  </sheetViews>
  <sheetFormatPr baseColWidth="10" defaultColWidth="12.5" defaultRowHeight="15" customHeight="1"/>
  <cols>
    <col min="1" max="1" width="60.875" customWidth="1"/>
    <col min="2" max="2" width="24.625" customWidth="1"/>
    <col min="3" max="3" width="18" customWidth="1"/>
    <col min="4" max="4" width="16.875" customWidth="1"/>
    <col min="5" max="5" width="13.875" customWidth="1"/>
    <col min="6" max="6" width="18.375" customWidth="1"/>
    <col min="7" max="7" width="19.375" bestFit="1" customWidth="1"/>
    <col min="8" max="13" width="8.625" customWidth="1"/>
  </cols>
  <sheetData>
    <row r="1" spans="1:7" ht="14.25">
      <c r="A1" s="508" t="s">
        <v>196</v>
      </c>
      <c r="B1" s="5" t="s">
        <v>197</v>
      </c>
      <c r="C1" s="509"/>
      <c r="D1" s="338"/>
      <c r="E1" s="338"/>
      <c r="F1" s="1"/>
      <c r="G1" s="1"/>
    </row>
    <row r="2" spans="1:7" ht="14.25">
      <c r="A2" s="375"/>
      <c r="B2" s="5" t="s">
        <v>198</v>
      </c>
      <c r="C2" s="506">
        <v>1</v>
      </c>
      <c r="D2" s="338"/>
      <c r="E2" s="338"/>
      <c r="F2" s="1"/>
      <c r="G2" s="1"/>
    </row>
    <row r="3" spans="1:7" ht="14.25">
      <c r="A3" s="376"/>
      <c r="B3" s="5" t="s">
        <v>199</v>
      </c>
      <c r="C3" s="87"/>
      <c r="D3" s="46" t="s">
        <v>200</v>
      </c>
      <c r="E3" s="45"/>
      <c r="F3" s="1"/>
      <c r="G3" s="1"/>
    </row>
    <row r="4" spans="1:7" ht="14.25">
      <c r="A4" s="507" t="s">
        <v>201</v>
      </c>
      <c r="B4" s="395"/>
      <c r="C4" s="45">
        <v>2</v>
      </c>
      <c r="D4" s="45">
        <v>3</v>
      </c>
      <c r="E4" s="47">
        <v>2026</v>
      </c>
      <c r="F4" s="1"/>
      <c r="G4" s="1"/>
    </row>
    <row r="5" spans="1:7" ht="14.25">
      <c r="A5" s="48"/>
      <c r="B5" s="48"/>
      <c r="C5" s="89" t="s">
        <v>202</v>
      </c>
      <c r="D5" s="46" t="s">
        <v>203</v>
      </c>
      <c r="E5" s="46" t="s">
        <v>204</v>
      </c>
      <c r="F5" s="1"/>
      <c r="G5" s="1"/>
    </row>
    <row r="6" spans="1:7" ht="15" customHeight="1">
      <c r="A6" s="49" t="s">
        <v>205</v>
      </c>
      <c r="B6" s="392" t="s">
        <v>249</v>
      </c>
      <c r="C6" s="338"/>
      <c r="D6" s="395"/>
      <c r="E6" s="48"/>
      <c r="F6" s="1"/>
      <c r="G6" s="1"/>
    </row>
    <row r="7" spans="1:7" ht="14.25">
      <c r="A7" s="502" t="s">
        <v>207</v>
      </c>
      <c r="B7" s="338"/>
      <c r="C7" s="395"/>
      <c r="D7" s="50" t="s">
        <v>4</v>
      </c>
      <c r="E7" s="50" t="s">
        <v>5</v>
      </c>
      <c r="F7" s="1"/>
      <c r="G7" s="1"/>
    </row>
    <row r="8" spans="1:7" ht="25.5" customHeight="1">
      <c r="A8" s="503" t="str">
        <f>[6]PRESUPUESTO!B12</f>
        <v>Suministro, transporte e instalación de cerramiento para restauración pasiva con estacones en madera inmunizada y alambre de púas.</v>
      </c>
      <c r="B8" s="338"/>
      <c r="C8" s="395"/>
      <c r="D8" s="52" t="s">
        <v>94</v>
      </c>
      <c r="E8" s="53">
        <v>1</v>
      </c>
      <c r="F8" s="1"/>
      <c r="G8" s="1"/>
    </row>
    <row r="9" spans="1:7" ht="14.25">
      <c r="A9" s="83"/>
      <c r="B9" s="83"/>
      <c r="C9" s="83"/>
      <c r="D9" s="83"/>
      <c r="E9" s="83"/>
      <c r="F9" s="1"/>
      <c r="G9" s="1"/>
    </row>
    <row r="10" spans="1:7" ht="14.25">
      <c r="A10" s="400" t="s">
        <v>208</v>
      </c>
      <c r="B10" s="338"/>
      <c r="C10" s="338"/>
      <c r="D10" s="338"/>
      <c r="E10" s="395"/>
      <c r="F10" s="1"/>
      <c r="G10" s="1"/>
    </row>
    <row r="11" spans="1:7" ht="14.25">
      <c r="A11" s="54" t="s">
        <v>3</v>
      </c>
      <c r="B11" s="50" t="s">
        <v>209</v>
      </c>
      <c r="C11" s="90" t="s">
        <v>210</v>
      </c>
      <c r="D11" s="50" t="s">
        <v>6</v>
      </c>
      <c r="E11" s="50" t="s">
        <v>7</v>
      </c>
      <c r="F11" s="1"/>
      <c r="G11" s="1"/>
    </row>
    <row r="12" spans="1:7" ht="14.25">
      <c r="A12" s="5" t="s">
        <v>250</v>
      </c>
      <c r="B12" s="46" t="s">
        <v>172</v>
      </c>
      <c r="C12" s="86">
        <v>0.1</v>
      </c>
      <c r="D12" s="69">
        <f>E35</f>
        <v>5396.2699999999995</v>
      </c>
      <c r="E12" s="69">
        <f>C12*D12</f>
        <v>539.62699999999995</v>
      </c>
      <c r="F12" s="1"/>
      <c r="G12" s="1"/>
    </row>
    <row r="13" spans="1:7" ht="14.25">
      <c r="A13" s="5"/>
      <c r="B13" s="85"/>
      <c r="C13" s="86"/>
      <c r="D13" s="69"/>
      <c r="E13" s="69">
        <f ca="1">IFERROR(__xludf.DUMMYFUNCTION("+C13*D13"),0)</f>
        <v>0</v>
      </c>
      <c r="F13" s="1"/>
      <c r="G13" s="1"/>
    </row>
    <row r="14" spans="1:7" ht="14.25">
      <c r="A14" s="5"/>
      <c r="B14" s="85"/>
      <c r="C14" s="86"/>
      <c r="D14" s="69"/>
      <c r="E14" s="69"/>
      <c r="F14" s="1"/>
      <c r="G14" s="1"/>
    </row>
    <row r="15" spans="1:7" ht="14.25">
      <c r="A15" s="501" t="s">
        <v>211</v>
      </c>
      <c r="B15" s="338"/>
      <c r="C15" s="338"/>
      <c r="D15" s="395"/>
      <c r="E15" s="68">
        <f ca="1">SUM(E12:E14)</f>
        <v>539.62699999999995</v>
      </c>
      <c r="F15" s="1"/>
      <c r="G15" s="1"/>
    </row>
    <row r="16" spans="1:7" ht="14.25">
      <c r="A16" s="400" t="s">
        <v>212</v>
      </c>
      <c r="B16" s="338"/>
      <c r="C16" s="338"/>
      <c r="D16" s="338"/>
      <c r="E16" s="395"/>
      <c r="F16" s="1"/>
      <c r="G16" s="1"/>
    </row>
    <row r="17" spans="1:7" ht="14.25">
      <c r="A17" s="54" t="s">
        <v>3</v>
      </c>
      <c r="B17" s="50" t="s">
        <v>4</v>
      </c>
      <c r="C17" s="90" t="s">
        <v>5</v>
      </c>
      <c r="D17" s="50" t="s">
        <v>6</v>
      </c>
      <c r="E17" s="50" t="s">
        <v>7</v>
      </c>
      <c r="F17" s="1"/>
      <c r="G17" s="1"/>
    </row>
    <row r="18" spans="1:7" ht="14.25">
      <c r="A18" s="84" t="s">
        <v>367</v>
      </c>
      <c r="B18" s="85" t="s">
        <v>72</v>
      </c>
      <c r="C18" s="106">
        <f>160/400</f>
        <v>0.4</v>
      </c>
      <c r="D18" s="69">
        <v>35000</v>
      </c>
      <c r="E18" s="69">
        <f>+C18*D18</f>
        <v>14000</v>
      </c>
      <c r="F18" s="1"/>
      <c r="G18" s="1"/>
    </row>
    <row r="19" spans="1:7" ht="14.25">
      <c r="A19" s="84" t="s">
        <v>276</v>
      </c>
      <c r="B19" s="85" t="s">
        <v>94</v>
      </c>
      <c r="C19" s="106">
        <v>3</v>
      </c>
      <c r="D19" s="69">
        <f>[6]INSUMOS!E4</f>
        <v>680</v>
      </c>
      <c r="E19" s="69">
        <f>+C19*D19</f>
        <v>2040</v>
      </c>
      <c r="F19" s="1"/>
      <c r="G19" s="263"/>
    </row>
    <row r="20" spans="1:7" ht="14.25">
      <c r="A20" s="91" t="s">
        <v>251</v>
      </c>
      <c r="B20" s="46" t="s">
        <v>81</v>
      </c>
      <c r="C20" s="65">
        <v>0.01</v>
      </c>
      <c r="D20" s="47">
        <f>AlambreC13</f>
        <v>17900</v>
      </c>
      <c r="E20" s="69">
        <f t="shared" ref="E20:E21" si="0">+C20*D20</f>
        <v>179</v>
      </c>
      <c r="F20" s="1"/>
      <c r="G20" s="1"/>
    </row>
    <row r="21" spans="1:7" ht="14.25">
      <c r="A21" s="84" t="s">
        <v>252</v>
      </c>
      <c r="B21" s="85" t="s">
        <v>253</v>
      </c>
      <c r="C21" s="65">
        <v>2.5000000000000001E-3</v>
      </c>
      <c r="D21" s="47">
        <f>[6]INSUMOS!E7</f>
        <v>5100</v>
      </c>
      <c r="E21" s="69">
        <f t="shared" si="0"/>
        <v>12.75</v>
      </c>
      <c r="F21" s="1"/>
      <c r="G21" s="1"/>
    </row>
    <row r="22" spans="1:7" ht="14.25">
      <c r="A22" s="501" t="s">
        <v>211</v>
      </c>
      <c r="B22" s="338"/>
      <c r="C22" s="338"/>
      <c r="D22" s="395"/>
      <c r="E22" s="68">
        <f>SUM(E18:E21)</f>
        <v>16231.75</v>
      </c>
      <c r="F22" s="92"/>
      <c r="G22" s="1"/>
    </row>
    <row r="23" spans="1:7" ht="14.25">
      <c r="A23" s="400" t="s">
        <v>214</v>
      </c>
      <c r="B23" s="338"/>
      <c r="C23" s="338"/>
      <c r="D23" s="338"/>
      <c r="E23" s="395"/>
      <c r="F23" s="1"/>
      <c r="G23" s="263"/>
    </row>
    <row r="24" spans="1:7" ht="14.25">
      <c r="A24" s="54" t="s">
        <v>3</v>
      </c>
      <c r="B24" s="50" t="s">
        <v>4</v>
      </c>
      <c r="C24" s="90" t="s">
        <v>5</v>
      </c>
      <c r="D24" s="82" t="s">
        <v>6</v>
      </c>
      <c r="E24" s="50" t="s">
        <v>7</v>
      </c>
      <c r="F24" s="1"/>
      <c r="G24" s="1"/>
    </row>
    <row r="25" spans="1:7" ht="14.25">
      <c r="A25" s="5" t="s">
        <v>215</v>
      </c>
      <c r="B25" s="46" t="s">
        <v>172</v>
      </c>
      <c r="C25" s="86">
        <v>0.1</v>
      </c>
      <c r="D25" s="69">
        <f>E22</f>
        <v>16231.75</v>
      </c>
      <c r="E25" s="69">
        <f>+C25*D25</f>
        <v>1623.1750000000002</v>
      </c>
      <c r="F25" s="1"/>
      <c r="G25" s="1"/>
    </row>
    <row r="26" spans="1:7" ht="14.25">
      <c r="A26" s="70"/>
      <c r="B26" s="85"/>
      <c r="C26" s="86"/>
      <c r="D26" s="56"/>
      <c r="E26" s="56"/>
      <c r="F26" s="1"/>
      <c r="G26" s="1"/>
    </row>
    <row r="27" spans="1:7" ht="14.25">
      <c r="A27" s="501" t="s">
        <v>211</v>
      </c>
      <c r="B27" s="338"/>
      <c r="C27" s="338"/>
      <c r="D27" s="395"/>
      <c r="E27" s="68">
        <f>E25+E26</f>
        <v>1623.1750000000002</v>
      </c>
      <c r="F27" s="1"/>
      <c r="G27" s="1"/>
    </row>
    <row r="28" spans="1:7" ht="14.25">
      <c r="A28" s="400" t="s">
        <v>216</v>
      </c>
      <c r="B28" s="338"/>
      <c r="C28" s="338"/>
      <c r="D28" s="338"/>
      <c r="E28" s="395"/>
      <c r="F28" s="1"/>
      <c r="G28" s="1"/>
    </row>
    <row r="29" spans="1:7" ht="14.25">
      <c r="A29" s="54" t="s">
        <v>3</v>
      </c>
      <c r="B29" s="50" t="s">
        <v>256</v>
      </c>
      <c r="C29" s="90" t="s">
        <v>5</v>
      </c>
      <c r="D29" s="82" t="s">
        <v>6</v>
      </c>
      <c r="E29" s="50" t="s">
        <v>218</v>
      </c>
      <c r="F29" s="1"/>
      <c r="G29" s="1"/>
    </row>
    <row r="30" spans="1:7" ht="14.25">
      <c r="A30" s="70" t="s">
        <v>277</v>
      </c>
      <c r="B30" s="85">
        <v>400</v>
      </c>
      <c r="C30" s="86">
        <v>2</v>
      </c>
      <c r="D30" s="56">
        <f>Jornal!$G$12</f>
        <v>98114</v>
      </c>
      <c r="E30" s="56">
        <f>(D30*C30)/B30</f>
        <v>490.57</v>
      </c>
      <c r="F30" s="1"/>
      <c r="G30" s="1"/>
    </row>
    <row r="31" spans="1:7" ht="14.25">
      <c r="A31" s="70" t="s">
        <v>278</v>
      </c>
      <c r="B31" s="85">
        <v>400</v>
      </c>
      <c r="C31" s="86">
        <v>10</v>
      </c>
      <c r="D31" s="56">
        <f>Jornal!$G$12</f>
        <v>98114</v>
      </c>
      <c r="E31" s="56">
        <f>(D31*C31)/B31</f>
        <v>2452.85</v>
      </c>
      <c r="F31" s="1"/>
      <c r="G31" s="1"/>
    </row>
    <row r="32" spans="1:7" ht="14.25">
      <c r="A32" s="70" t="s">
        <v>279</v>
      </c>
      <c r="B32" s="85">
        <v>400</v>
      </c>
      <c r="C32" s="86">
        <v>4</v>
      </c>
      <c r="D32" s="56">
        <f>Jornal!$G$12</f>
        <v>98114</v>
      </c>
      <c r="E32" s="56">
        <f>(D32*C32)/B32</f>
        <v>981.14</v>
      </c>
      <c r="F32" s="1"/>
      <c r="G32" s="1"/>
    </row>
    <row r="33" spans="1:7" ht="14.25">
      <c r="A33" s="70" t="s">
        <v>280</v>
      </c>
      <c r="B33" s="85">
        <v>400</v>
      </c>
      <c r="C33" s="86">
        <v>4</v>
      </c>
      <c r="D33" s="56">
        <f>Jornal!$G$12</f>
        <v>98114</v>
      </c>
      <c r="E33" s="56">
        <f t="shared" ref="E33:E34" si="1">(D33*C33)/B33</f>
        <v>981.14</v>
      </c>
      <c r="F33" s="1"/>
      <c r="G33" s="1"/>
    </row>
    <row r="34" spans="1:7" ht="14.25">
      <c r="A34" s="70" t="s">
        <v>281</v>
      </c>
      <c r="B34" s="85">
        <v>400</v>
      </c>
      <c r="C34" s="86">
        <v>2</v>
      </c>
      <c r="D34" s="56">
        <f>Jornal!$G$12</f>
        <v>98114</v>
      </c>
      <c r="E34" s="56">
        <f t="shared" si="1"/>
        <v>490.57</v>
      </c>
      <c r="F34" s="1"/>
      <c r="G34" s="1"/>
    </row>
    <row r="35" spans="1:7" ht="14.25">
      <c r="A35" s="501" t="s">
        <v>211</v>
      </c>
      <c r="B35" s="338"/>
      <c r="C35" s="338"/>
      <c r="D35" s="395"/>
      <c r="E35" s="68">
        <f>SUM(E30:E34)</f>
        <v>5396.2699999999995</v>
      </c>
      <c r="F35" s="1"/>
      <c r="G35" s="1"/>
    </row>
    <row r="36" spans="1:7" thickBot="1">
      <c r="A36" s="495"/>
      <c r="B36" s="342"/>
      <c r="C36" s="342"/>
      <c r="D36" s="342"/>
      <c r="E36" s="343"/>
      <c r="F36" s="1"/>
      <c r="G36" s="1"/>
    </row>
    <row r="37" spans="1:7" ht="15" customHeight="1">
      <c r="A37" s="510" t="s">
        <v>377</v>
      </c>
      <c r="B37" s="385"/>
      <c r="C37" s="385"/>
      <c r="D37" s="511"/>
      <c r="E37" s="95">
        <f ca="1">ROUND(E35+E27+E22+E15,0)</f>
        <v>23791</v>
      </c>
      <c r="F37" s="1"/>
      <c r="G37" s="1"/>
    </row>
    <row r="38" spans="1:7" ht="14.25">
      <c r="A38" s="512"/>
      <c r="B38" s="493"/>
      <c r="C38" s="493"/>
      <c r="D38" s="493"/>
      <c r="E38" s="494"/>
      <c r="F38" s="1"/>
      <c r="G38" s="1"/>
    </row>
    <row r="39" spans="1:7" ht="14.25">
      <c r="A39" s="74" t="s">
        <v>222</v>
      </c>
      <c r="B39" s="75"/>
      <c r="C39" s="75"/>
      <c r="D39" s="74" t="s">
        <v>223</v>
      </c>
      <c r="E39" s="76"/>
      <c r="F39" s="1"/>
      <c r="G39" s="1"/>
    </row>
    <row r="40" spans="1:7" ht="14.25">
      <c r="A40" s="77" t="s">
        <v>248</v>
      </c>
      <c r="B40" s="434"/>
      <c r="C40" s="435"/>
      <c r="D40" s="436" t="s">
        <v>225</v>
      </c>
      <c r="E40" s="483"/>
      <c r="F40" s="1"/>
      <c r="G40" s="1"/>
    </row>
    <row r="41" spans="1:7" ht="14.25" customHeight="1">
      <c r="A41" s="78"/>
      <c r="B41" s="438"/>
      <c r="C41" s="439"/>
      <c r="D41" s="440" t="s">
        <v>226</v>
      </c>
      <c r="E41" s="483"/>
      <c r="F41" s="1"/>
      <c r="G41" s="1"/>
    </row>
    <row r="42" spans="1:7" ht="14.25">
      <c r="A42" s="513" t="s">
        <v>227</v>
      </c>
      <c r="B42" s="342"/>
      <c r="C42" s="342"/>
      <c r="D42" s="342"/>
      <c r="E42" s="343"/>
      <c r="F42" s="1"/>
      <c r="G42" s="1"/>
    </row>
    <row r="43" spans="1:7" thickBot="1">
      <c r="A43" s="514"/>
      <c r="B43" s="493"/>
      <c r="C43" s="493"/>
      <c r="D43" s="493"/>
      <c r="E43" s="494"/>
      <c r="F43" s="1"/>
      <c r="G43" s="1"/>
    </row>
    <row r="44" spans="1:7" thickBot="1">
      <c r="A44" s="479" t="s">
        <v>239</v>
      </c>
      <c r="B44" s="385"/>
      <c r="C44" s="385"/>
      <c r="D44" s="385"/>
      <c r="E44" s="511"/>
      <c r="F44" s="1"/>
      <c r="G44" s="1"/>
    </row>
    <row r="45" spans="1:7" ht="14.25" customHeight="1">
      <c r="A45" s="515" t="s">
        <v>347</v>
      </c>
      <c r="B45" s="379"/>
      <c r="C45" s="379"/>
      <c r="D45" s="379"/>
      <c r="E45" s="465"/>
      <c r="F45" s="1"/>
      <c r="G45" s="1"/>
    </row>
    <row r="46" spans="1:7" ht="13.5" customHeight="1">
      <c r="A46" s="461"/>
      <c r="B46" s="461"/>
      <c r="C46" s="461"/>
      <c r="D46" s="461"/>
      <c r="E46" s="462"/>
      <c r="F46" s="1"/>
      <c r="G46" s="1"/>
    </row>
    <row r="47" spans="1:7" ht="15.75" customHeight="1">
      <c r="A47" s="461"/>
      <c r="B47" s="461"/>
      <c r="C47" s="461"/>
      <c r="D47" s="461"/>
      <c r="E47" s="462"/>
      <c r="F47" s="96"/>
      <c r="G47" s="97"/>
    </row>
    <row r="48" spans="1:7" ht="30" customHeight="1">
      <c r="A48" s="461"/>
      <c r="B48" s="461"/>
      <c r="C48" s="461"/>
      <c r="D48" s="461"/>
      <c r="E48" s="462"/>
      <c r="F48" s="97"/>
    </row>
    <row r="49" spans="1:7" ht="27.75" customHeight="1" thickBot="1">
      <c r="A49" s="461"/>
      <c r="B49" s="461"/>
      <c r="C49" s="461"/>
      <c r="D49" s="461"/>
      <c r="E49" s="462"/>
      <c r="F49" s="97"/>
      <c r="G49" s="97"/>
    </row>
    <row r="50" spans="1:7" ht="15.75" customHeight="1">
      <c r="A50" s="479" t="s">
        <v>241</v>
      </c>
      <c r="B50" s="385"/>
      <c r="C50" s="385"/>
      <c r="D50" s="385"/>
      <c r="E50" s="511"/>
      <c r="F50" s="1"/>
      <c r="G50" s="1"/>
    </row>
    <row r="51" spans="1:7" ht="13.5" customHeight="1">
      <c r="A51" s="515" t="s">
        <v>282</v>
      </c>
      <c r="B51" s="379"/>
      <c r="C51" s="379"/>
      <c r="D51" s="379"/>
      <c r="E51" s="465"/>
      <c r="F51" s="1"/>
      <c r="G51" s="98"/>
    </row>
    <row r="52" spans="1:7" ht="13.5" customHeight="1">
      <c r="A52" s="461"/>
      <c r="B52" s="461"/>
      <c r="C52" s="461"/>
      <c r="D52" s="461"/>
      <c r="E52" s="462"/>
      <c r="F52" s="1"/>
    </row>
    <row r="53" spans="1:7" ht="13.5" customHeight="1">
      <c r="A53" s="461"/>
      <c r="B53" s="461"/>
      <c r="C53" s="461"/>
      <c r="D53" s="461"/>
      <c r="E53" s="462"/>
      <c r="F53" s="1"/>
    </row>
    <row r="54" spans="1:7" ht="13.5" customHeight="1">
      <c r="A54" s="461"/>
      <c r="B54" s="461"/>
      <c r="C54" s="461"/>
      <c r="D54" s="461"/>
      <c r="E54" s="462"/>
      <c r="F54" s="1"/>
    </row>
    <row r="55" spans="1:7" ht="13.5" customHeight="1">
      <c r="A55" s="382"/>
      <c r="B55" s="382"/>
      <c r="C55" s="382"/>
      <c r="D55" s="382"/>
      <c r="E55" s="466"/>
      <c r="F55" s="1"/>
      <c r="G55" s="1"/>
    </row>
    <row r="56" spans="1:7" ht="13.5" customHeight="1">
      <c r="A56" s="517" t="s">
        <v>297</v>
      </c>
      <c r="B56" s="461"/>
      <c r="C56" s="461"/>
      <c r="D56" s="461"/>
      <c r="E56" s="462"/>
      <c r="F56" s="1"/>
      <c r="G56" s="1"/>
    </row>
    <row r="57" spans="1:7" ht="9.75" customHeight="1">
      <c r="A57" s="463"/>
      <c r="B57" s="461"/>
      <c r="C57" s="461"/>
      <c r="D57" s="461"/>
      <c r="E57" s="462"/>
      <c r="F57" s="1"/>
      <c r="G57" s="1"/>
    </row>
    <row r="58" spans="1:7" ht="16.5" customHeight="1">
      <c r="A58" s="472" t="s">
        <v>255</v>
      </c>
      <c r="B58" s="385"/>
      <c r="C58" s="385"/>
      <c r="D58" s="385"/>
      <c r="E58" s="511"/>
      <c r="F58" s="1"/>
      <c r="G58" s="1"/>
    </row>
    <row r="59" spans="1:7" ht="15" customHeight="1">
      <c r="A59" s="516"/>
      <c r="B59" s="461"/>
      <c r="C59" s="461"/>
      <c r="D59" s="461"/>
      <c r="E59" s="461"/>
    </row>
    <row r="60" spans="1:7" ht="15" customHeight="1">
      <c r="A60" s="461"/>
      <c r="B60" s="461"/>
      <c r="C60" s="461"/>
      <c r="D60" s="461"/>
      <c r="E60" s="461"/>
    </row>
    <row r="61" spans="1:7" ht="15" customHeight="1">
      <c r="A61" s="461"/>
      <c r="B61" s="461"/>
      <c r="C61" s="461"/>
      <c r="D61" s="461"/>
      <c r="E61" s="461"/>
    </row>
    <row r="62" spans="1:7" ht="15" customHeight="1">
      <c r="A62" s="461"/>
      <c r="B62" s="461"/>
      <c r="C62" s="461"/>
      <c r="D62" s="461"/>
      <c r="E62" s="461"/>
    </row>
    <row r="63" spans="1:7" ht="15" customHeight="1">
      <c r="A63" s="461"/>
      <c r="B63" s="461"/>
      <c r="C63" s="461"/>
      <c r="D63" s="461"/>
      <c r="E63" s="461"/>
    </row>
    <row r="64" spans="1:7" ht="15" customHeight="1">
      <c r="A64" s="461"/>
      <c r="B64" s="461"/>
      <c r="C64" s="461"/>
      <c r="D64" s="461"/>
      <c r="E64" s="461"/>
    </row>
    <row r="65" spans="1:7" ht="15" customHeight="1">
      <c r="A65" s="461"/>
      <c r="B65" s="461"/>
      <c r="C65" s="461"/>
      <c r="D65" s="461"/>
      <c r="E65" s="461"/>
    </row>
    <row r="66" spans="1:7" ht="15" customHeight="1">
      <c r="A66" s="461"/>
      <c r="B66" s="461"/>
      <c r="C66" s="461"/>
      <c r="D66" s="461"/>
      <c r="E66" s="461"/>
    </row>
    <row r="67" spans="1:7" ht="15" customHeight="1">
      <c r="A67" s="461"/>
      <c r="B67" s="461"/>
      <c r="C67" s="461"/>
      <c r="D67" s="461"/>
      <c r="E67" s="461"/>
    </row>
    <row r="68" spans="1:7" ht="15" customHeight="1">
      <c r="A68" s="461"/>
      <c r="B68" s="461"/>
      <c r="C68" s="461"/>
      <c r="D68" s="461"/>
      <c r="E68" s="461"/>
    </row>
    <row r="69" spans="1:7" ht="15" customHeight="1">
      <c r="A69" s="461"/>
      <c r="B69" s="461"/>
      <c r="C69" s="461"/>
      <c r="D69" s="461"/>
      <c r="E69" s="461"/>
    </row>
    <row r="70" spans="1:7" ht="15" customHeight="1">
      <c r="A70" s="461"/>
      <c r="B70" s="461"/>
      <c r="C70" s="461"/>
      <c r="D70" s="461"/>
      <c r="E70" s="461"/>
    </row>
    <row r="71" spans="1:7" ht="15" customHeight="1">
      <c r="A71" s="461"/>
      <c r="B71" s="461"/>
      <c r="C71" s="461"/>
      <c r="D71" s="461"/>
      <c r="E71" s="461"/>
    </row>
    <row r="72" spans="1:7" ht="15" customHeight="1">
      <c r="A72" s="461"/>
      <c r="B72" s="461"/>
      <c r="C72" s="461"/>
      <c r="D72" s="461"/>
      <c r="E72" s="461"/>
    </row>
    <row r="73" spans="1:7" ht="15" customHeight="1">
      <c r="A73" s="461"/>
      <c r="B73" s="461"/>
      <c r="C73" s="461"/>
      <c r="D73" s="461"/>
      <c r="E73" s="461"/>
    </row>
    <row r="74" spans="1:7" ht="15" customHeight="1">
      <c r="A74" s="461"/>
      <c r="B74" s="461"/>
      <c r="C74" s="461"/>
      <c r="D74" s="461"/>
      <c r="E74" s="461"/>
    </row>
    <row r="75" spans="1:7" ht="15" customHeight="1">
      <c r="A75" s="461"/>
      <c r="B75" s="461"/>
      <c r="C75" s="461"/>
      <c r="D75" s="461"/>
      <c r="E75" s="461"/>
    </row>
    <row r="76" spans="1:7" ht="15" customHeight="1">
      <c r="A76" s="461"/>
      <c r="B76" s="461"/>
      <c r="C76" s="461"/>
      <c r="D76" s="461"/>
      <c r="E76" s="461"/>
    </row>
    <row r="77" spans="1:7" ht="15" customHeight="1">
      <c r="A77" s="461"/>
      <c r="B77" s="461"/>
      <c r="C77" s="461"/>
      <c r="D77" s="461"/>
      <c r="E77" s="461"/>
    </row>
    <row r="78" spans="1:7" ht="15" customHeight="1" thickBot="1">
      <c r="A78" s="461"/>
      <c r="B78" s="461"/>
      <c r="C78" s="461"/>
      <c r="D78" s="461"/>
      <c r="E78" s="461"/>
    </row>
    <row r="79" spans="1:7" ht="18" customHeight="1" thickBot="1">
      <c r="A79" s="489" t="s">
        <v>290</v>
      </c>
      <c r="B79" s="490"/>
      <c r="C79" s="490"/>
      <c r="D79" s="490"/>
      <c r="E79" s="491"/>
    </row>
    <row r="80" spans="1:7" ht="15" customHeight="1">
      <c r="A80" s="504" t="s">
        <v>196</v>
      </c>
      <c r="B80" s="113" t="s">
        <v>197</v>
      </c>
      <c r="C80" s="505"/>
      <c r="D80" s="493"/>
      <c r="E80" s="493"/>
      <c r="F80" s="338"/>
      <c r="G80" s="395"/>
    </row>
    <row r="81" spans="1:7" ht="15" customHeight="1">
      <c r="A81" s="375"/>
      <c r="B81" s="5" t="s">
        <v>198</v>
      </c>
      <c r="C81" s="506">
        <v>1</v>
      </c>
      <c r="D81" s="338"/>
      <c r="E81" s="338"/>
      <c r="F81" s="338"/>
      <c r="G81" s="395"/>
    </row>
    <row r="82" spans="1:7" ht="15" customHeight="1">
      <c r="A82" s="376"/>
      <c r="B82" s="5" t="s">
        <v>199</v>
      </c>
      <c r="C82" s="87"/>
      <c r="D82" s="46" t="s">
        <v>200</v>
      </c>
      <c r="E82" s="45"/>
      <c r="F82" s="45"/>
      <c r="G82" s="45"/>
    </row>
    <row r="83" spans="1:7" ht="15" customHeight="1">
      <c r="A83" s="507" t="s">
        <v>201</v>
      </c>
      <c r="B83" s="395"/>
      <c r="C83" s="45">
        <v>20</v>
      </c>
      <c r="D83" s="45">
        <v>3</v>
      </c>
      <c r="E83" s="47">
        <v>2025</v>
      </c>
      <c r="F83" s="47"/>
      <c r="G83" s="47"/>
    </row>
    <row r="84" spans="1:7" ht="15" customHeight="1">
      <c r="A84" s="48"/>
      <c r="B84" s="48"/>
      <c r="C84" s="89" t="s">
        <v>202</v>
      </c>
      <c r="D84" s="46" t="s">
        <v>203</v>
      </c>
      <c r="E84" s="46" t="s">
        <v>204</v>
      </c>
      <c r="F84" s="46"/>
      <c r="G84" s="46"/>
    </row>
    <row r="85" spans="1:7" ht="15" customHeight="1">
      <c r="A85" s="49" t="s">
        <v>205</v>
      </c>
      <c r="B85" s="392" t="s">
        <v>249</v>
      </c>
      <c r="C85" s="338"/>
      <c r="D85" s="395"/>
      <c r="E85" s="48"/>
      <c r="F85" s="48"/>
      <c r="G85" s="48"/>
    </row>
    <row r="86" spans="1:7" ht="15" customHeight="1">
      <c r="A86" s="502" t="s">
        <v>207</v>
      </c>
      <c r="B86" s="338"/>
      <c r="C86" s="395"/>
      <c r="D86" s="50" t="s">
        <v>4</v>
      </c>
      <c r="E86" s="50" t="s">
        <v>5</v>
      </c>
      <c r="F86" s="50"/>
      <c r="G86" s="50"/>
    </row>
    <row r="87" spans="1:7" ht="15" customHeight="1">
      <c r="A87" s="503">
        <f>[7]PRESUPUESTO!B94</f>
        <v>0</v>
      </c>
      <c r="B87" s="338"/>
      <c r="C87" s="395"/>
      <c r="D87" s="52">
        <f>[7]PRESUPUESTO!C94</f>
        <v>0</v>
      </c>
      <c r="E87" s="53">
        <v>1</v>
      </c>
      <c r="F87" s="53"/>
      <c r="G87" s="53"/>
    </row>
    <row r="88" spans="1:7" ht="15" customHeight="1">
      <c r="A88" s="83"/>
      <c r="B88" s="83"/>
      <c r="C88" s="83"/>
      <c r="D88" s="83"/>
      <c r="E88" s="83"/>
      <c r="F88" s="148"/>
      <c r="G88" s="148"/>
    </row>
    <row r="89" spans="1:7" ht="15" customHeight="1">
      <c r="A89" s="400" t="s">
        <v>208</v>
      </c>
      <c r="B89" s="338"/>
      <c r="C89" s="338"/>
      <c r="D89" s="338"/>
      <c r="E89" s="395"/>
      <c r="F89" s="148"/>
      <c r="G89" s="148"/>
    </row>
    <row r="90" spans="1:7" ht="15" customHeight="1">
      <c r="A90" s="54" t="s">
        <v>3</v>
      </c>
      <c r="B90" s="50" t="s">
        <v>209</v>
      </c>
      <c r="C90" s="90" t="s">
        <v>210</v>
      </c>
      <c r="D90" s="50" t="s">
        <v>6</v>
      </c>
      <c r="E90" s="50" t="s">
        <v>7</v>
      </c>
      <c r="F90" s="50" t="s">
        <v>283</v>
      </c>
      <c r="G90" s="50" t="s">
        <v>284</v>
      </c>
    </row>
    <row r="91" spans="1:7" ht="15" customHeight="1">
      <c r="A91" s="5" t="s">
        <v>250</v>
      </c>
      <c r="B91" s="46" t="s">
        <v>172</v>
      </c>
      <c r="C91" s="86">
        <v>0.1</v>
      </c>
      <c r="D91" s="69">
        <f>+E114</f>
        <v>2158508</v>
      </c>
      <c r="E91" s="69">
        <f>C91*D91</f>
        <v>215850.80000000002</v>
      </c>
      <c r="F91" s="69">
        <v>400</v>
      </c>
      <c r="G91" s="69">
        <f>E91/F91</f>
        <v>539.62700000000007</v>
      </c>
    </row>
    <row r="92" spans="1:7" ht="15" customHeight="1">
      <c r="A92" s="5"/>
      <c r="B92" s="85"/>
      <c r="C92" s="86"/>
      <c r="D92" s="69"/>
      <c r="E92" s="69">
        <f>+C92*D92</f>
        <v>0</v>
      </c>
      <c r="F92" s="69"/>
      <c r="G92" s="69"/>
    </row>
    <row r="93" spans="1:7" ht="15" customHeight="1">
      <c r="A93" s="5"/>
      <c r="B93" s="85"/>
      <c r="C93" s="86"/>
      <c r="D93" s="69"/>
      <c r="E93" s="69"/>
      <c r="F93" s="69"/>
      <c r="G93" s="69"/>
    </row>
    <row r="94" spans="1:7" ht="15" customHeight="1">
      <c r="A94" s="501" t="s">
        <v>211</v>
      </c>
      <c r="B94" s="338"/>
      <c r="C94" s="338"/>
      <c r="D94" s="395"/>
      <c r="E94" s="68">
        <f>SUM(E91:E93)</f>
        <v>215850.80000000002</v>
      </c>
      <c r="F94" s="68"/>
      <c r="G94" s="68">
        <f>G91</f>
        <v>539.62700000000007</v>
      </c>
    </row>
    <row r="95" spans="1:7" ht="15" customHeight="1">
      <c r="A95" s="400" t="s">
        <v>212</v>
      </c>
      <c r="B95" s="338"/>
      <c r="C95" s="338"/>
      <c r="D95" s="338"/>
      <c r="E95" s="395"/>
      <c r="F95" s="148"/>
      <c r="G95" s="148"/>
    </row>
    <row r="96" spans="1:7" ht="15" customHeight="1">
      <c r="A96" s="54" t="s">
        <v>3</v>
      </c>
      <c r="B96" s="50" t="s">
        <v>4</v>
      </c>
      <c r="C96" s="90" t="s">
        <v>5</v>
      </c>
      <c r="D96" s="50" t="s">
        <v>6</v>
      </c>
      <c r="E96" s="50" t="s">
        <v>7</v>
      </c>
      <c r="F96" s="50" t="s">
        <v>283</v>
      </c>
      <c r="G96" s="50" t="s">
        <v>284</v>
      </c>
    </row>
    <row r="97" spans="1:7" ht="15" customHeight="1">
      <c r="A97" s="84" t="s">
        <v>71</v>
      </c>
      <c r="B97" s="85" t="s">
        <v>72</v>
      </c>
      <c r="C97" s="86">
        <v>160</v>
      </c>
      <c r="D97" s="69">
        <v>35000</v>
      </c>
      <c r="E97" s="69">
        <f t="shared" ref="E97:E100" si="2">+C97*D97</f>
        <v>5600000</v>
      </c>
      <c r="F97" s="69">
        <v>400</v>
      </c>
      <c r="G97" s="69">
        <f>E97/F97</f>
        <v>14000</v>
      </c>
    </row>
    <row r="98" spans="1:7" ht="15" customHeight="1">
      <c r="A98" s="84" t="s">
        <v>276</v>
      </c>
      <c r="B98" s="85" t="s">
        <v>23</v>
      </c>
      <c r="C98" s="86">
        <v>1200</v>
      </c>
      <c r="D98" s="69">
        <v>680</v>
      </c>
      <c r="E98" s="69">
        <f t="shared" si="2"/>
        <v>816000</v>
      </c>
      <c r="F98" s="69">
        <v>400</v>
      </c>
      <c r="G98" s="69">
        <f t="shared" ref="G98:G100" si="3">E98/F98</f>
        <v>2040</v>
      </c>
    </row>
    <row r="99" spans="1:7" ht="15" customHeight="1">
      <c r="A99" s="91" t="s">
        <v>251</v>
      </c>
      <c r="B99" s="46" t="s">
        <v>81</v>
      </c>
      <c r="C99" s="87">
        <v>4</v>
      </c>
      <c r="D99" s="47">
        <v>17900</v>
      </c>
      <c r="E99" s="69">
        <f t="shared" si="2"/>
        <v>71600</v>
      </c>
      <c r="F99" s="69">
        <v>400</v>
      </c>
      <c r="G99" s="69">
        <f t="shared" si="3"/>
        <v>179</v>
      </c>
    </row>
    <row r="100" spans="1:7" ht="15" customHeight="1">
      <c r="A100" s="84" t="s">
        <v>252</v>
      </c>
      <c r="B100" s="85" t="s">
        <v>253</v>
      </c>
      <c r="C100" s="87">
        <v>1</v>
      </c>
      <c r="D100" s="47">
        <v>5100</v>
      </c>
      <c r="E100" s="69">
        <f t="shared" si="2"/>
        <v>5100</v>
      </c>
      <c r="F100" s="69">
        <v>400</v>
      </c>
      <c r="G100" s="69">
        <f t="shared" si="3"/>
        <v>12.75</v>
      </c>
    </row>
    <row r="101" spans="1:7" ht="15" customHeight="1">
      <c r="A101" s="501" t="s">
        <v>211</v>
      </c>
      <c r="B101" s="338"/>
      <c r="C101" s="338"/>
      <c r="D101" s="395"/>
      <c r="E101" s="68">
        <f>SUM(E97:E100)</f>
        <v>6492700</v>
      </c>
      <c r="F101" s="68"/>
      <c r="G101" s="68">
        <f>G97+G98+G99+G100</f>
        <v>16231.75</v>
      </c>
    </row>
    <row r="102" spans="1:7" ht="15" customHeight="1">
      <c r="A102" s="400" t="s">
        <v>214</v>
      </c>
      <c r="B102" s="338"/>
      <c r="C102" s="338"/>
      <c r="D102" s="338"/>
      <c r="E102" s="395"/>
      <c r="F102" s="148"/>
      <c r="G102" s="148"/>
    </row>
    <row r="103" spans="1:7" ht="15" customHeight="1">
      <c r="A103" s="54" t="s">
        <v>3</v>
      </c>
      <c r="B103" s="50" t="s">
        <v>4</v>
      </c>
      <c r="C103" s="90" t="s">
        <v>5</v>
      </c>
      <c r="D103" s="82" t="s">
        <v>6</v>
      </c>
      <c r="E103" s="50" t="s">
        <v>7</v>
      </c>
      <c r="F103" s="50" t="s">
        <v>283</v>
      </c>
      <c r="G103" s="50" t="s">
        <v>284</v>
      </c>
    </row>
    <row r="104" spans="1:7" ht="15" customHeight="1">
      <c r="A104" s="5" t="s">
        <v>215</v>
      </c>
      <c r="B104" s="46" t="s">
        <v>172</v>
      </c>
      <c r="C104" s="149">
        <v>0.1</v>
      </c>
      <c r="D104" s="69">
        <f>+E101</f>
        <v>6492700</v>
      </c>
      <c r="E104" s="69">
        <f>+C104*D104</f>
        <v>649270</v>
      </c>
      <c r="F104" s="69">
        <v>400</v>
      </c>
      <c r="G104" s="69">
        <f>E104/F104</f>
        <v>1623.175</v>
      </c>
    </row>
    <row r="105" spans="1:7" ht="15" customHeight="1">
      <c r="A105" s="5"/>
      <c r="B105" s="46"/>
      <c r="C105" s="87"/>
      <c r="D105" s="69"/>
      <c r="E105" s="69"/>
      <c r="F105" s="69"/>
      <c r="G105" s="69"/>
    </row>
    <row r="106" spans="1:7" ht="15" customHeight="1">
      <c r="A106" s="501" t="s">
        <v>211</v>
      </c>
      <c r="B106" s="338"/>
      <c r="C106" s="338"/>
      <c r="D106" s="395"/>
      <c r="E106" s="68">
        <f>+E104+E105</f>
        <v>649270</v>
      </c>
      <c r="F106" s="68"/>
      <c r="G106" s="68">
        <f>G104</f>
        <v>1623.175</v>
      </c>
    </row>
    <row r="107" spans="1:7" ht="15" customHeight="1">
      <c r="A107" s="400" t="s">
        <v>216</v>
      </c>
      <c r="B107" s="338"/>
      <c r="C107" s="338"/>
      <c r="D107" s="338"/>
      <c r="E107" s="395"/>
      <c r="F107" s="148"/>
      <c r="G107" s="148"/>
    </row>
    <row r="108" spans="1:7" ht="15" customHeight="1">
      <c r="A108" s="54" t="s">
        <v>3</v>
      </c>
      <c r="B108" s="50" t="s">
        <v>4</v>
      </c>
      <c r="C108" s="90" t="s">
        <v>5</v>
      </c>
      <c r="D108" s="82" t="s">
        <v>6</v>
      </c>
      <c r="E108" s="50" t="s">
        <v>218</v>
      </c>
      <c r="F108" s="50" t="s">
        <v>283</v>
      </c>
      <c r="G108" s="50" t="s">
        <v>284</v>
      </c>
    </row>
    <row r="109" spans="1:7" ht="15" customHeight="1">
      <c r="A109" s="70" t="s">
        <v>285</v>
      </c>
      <c r="B109" s="85" t="s">
        <v>246</v>
      </c>
      <c r="C109" s="86">
        <v>2</v>
      </c>
      <c r="D109" s="56">
        <f>$D$30</f>
        <v>98114</v>
      </c>
      <c r="E109" s="56">
        <f t="shared" ref="E109:E113" si="4">C109*D109</f>
        <v>196228</v>
      </c>
      <c r="F109" s="69">
        <v>400</v>
      </c>
      <c r="G109" s="56">
        <f t="shared" ref="G109:G113" si="5">E109/F109</f>
        <v>490.57</v>
      </c>
    </row>
    <row r="110" spans="1:7" ht="15" customHeight="1">
      <c r="A110" s="70" t="s">
        <v>247</v>
      </c>
      <c r="B110" s="85" t="s">
        <v>246</v>
      </c>
      <c r="C110" s="86">
        <v>10</v>
      </c>
      <c r="D110" s="56">
        <f t="shared" ref="D110:D113" si="6">$D$30</f>
        <v>98114</v>
      </c>
      <c r="E110" s="56">
        <f t="shared" si="4"/>
        <v>981140</v>
      </c>
      <c r="F110" s="69">
        <v>400</v>
      </c>
      <c r="G110" s="56">
        <f t="shared" si="5"/>
        <v>2452.85</v>
      </c>
    </row>
    <row r="111" spans="1:7" ht="15" customHeight="1">
      <c r="A111" s="70" t="s">
        <v>286</v>
      </c>
      <c r="B111" s="85" t="s">
        <v>246</v>
      </c>
      <c r="C111" s="86">
        <v>4</v>
      </c>
      <c r="D111" s="56">
        <f t="shared" si="6"/>
        <v>98114</v>
      </c>
      <c r="E111" s="56">
        <f t="shared" si="4"/>
        <v>392456</v>
      </c>
      <c r="F111" s="69">
        <v>400</v>
      </c>
      <c r="G111" s="56">
        <f t="shared" si="5"/>
        <v>981.14</v>
      </c>
    </row>
    <row r="112" spans="1:7" ht="15" customHeight="1">
      <c r="A112" s="70" t="s">
        <v>287</v>
      </c>
      <c r="B112" s="85" t="s">
        <v>246</v>
      </c>
      <c r="C112" s="86">
        <v>4</v>
      </c>
      <c r="D112" s="56">
        <f t="shared" si="6"/>
        <v>98114</v>
      </c>
      <c r="E112" s="56">
        <f t="shared" si="4"/>
        <v>392456</v>
      </c>
      <c r="F112" s="69">
        <v>400</v>
      </c>
      <c r="G112" s="56">
        <f t="shared" si="5"/>
        <v>981.14</v>
      </c>
    </row>
    <row r="113" spans="1:7" ht="15" customHeight="1">
      <c r="A113" s="70" t="s">
        <v>288</v>
      </c>
      <c r="B113" s="85" t="s">
        <v>246</v>
      </c>
      <c r="C113" s="86">
        <v>2</v>
      </c>
      <c r="D113" s="56">
        <f t="shared" si="6"/>
        <v>98114</v>
      </c>
      <c r="E113" s="56">
        <f t="shared" si="4"/>
        <v>196228</v>
      </c>
      <c r="F113" s="69">
        <v>400</v>
      </c>
      <c r="G113" s="56">
        <f t="shared" si="5"/>
        <v>490.57</v>
      </c>
    </row>
    <row r="114" spans="1:7" ht="15" customHeight="1">
      <c r="A114" s="501" t="s">
        <v>211</v>
      </c>
      <c r="B114" s="338"/>
      <c r="C114" s="338"/>
      <c r="D114" s="395"/>
      <c r="E114" s="68">
        <f>SUM(E109:E113)</f>
        <v>2158508</v>
      </c>
      <c r="F114" s="68"/>
      <c r="G114" s="68">
        <f>G109+G110+G111+G112+G113</f>
        <v>5396.2699999999995</v>
      </c>
    </row>
    <row r="115" spans="1:7" ht="15" customHeight="1">
      <c r="A115" s="54" t="s">
        <v>3</v>
      </c>
      <c r="B115" s="145" t="s">
        <v>172</v>
      </c>
      <c r="C115" s="146" t="s">
        <v>5</v>
      </c>
      <c r="D115" s="147" t="s">
        <v>6</v>
      </c>
      <c r="E115" s="147" t="s">
        <v>7</v>
      </c>
      <c r="F115" s="147" t="s">
        <v>283</v>
      </c>
      <c r="G115" s="147" t="s">
        <v>284</v>
      </c>
    </row>
    <row r="116" spans="1:7" ht="15" customHeight="1">
      <c r="A116" s="49" t="s">
        <v>254</v>
      </c>
      <c r="B116" s="93">
        <v>0</v>
      </c>
      <c r="C116" s="72">
        <v>0</v>
      </c>
      <c r="D116" s="67">
        <f>E114+E106+E101+E94</f>
        <v>9516328.8000000007</v>
      </c>
      <c r="E116" s="67">
        <f>+C116*D116</f>
        <v>0</v>
      </c>
      <c r="F116" s="67">
        <v>400</v>
      </c>
      <c r="G116" s="150">
        <f>E116/F116</f>
        <v>0</v>
      </c>
    </row>
    <row r="117" spans="1:7" ht="15" customHeight="1">
      <c r="A117" s="492" t="s">
        <v>221</v>
      </c>
      <c r="B117" s="493"/>
      <c r="C117" s="493"/>
      <c r="D117" s="494"/>
      <c r="E117" s="94">
        <f>+E116</f>
        <v>0</v>
      </c>
      <c r="F117" s="92"/>
      <c r="G117" s="92"/>
    </row>
    <row r="118" spans="1:7" ht="15" customHeight="1" thickBot="1">
      <c r="A118" s="495"/>
      <c r="B118" s="342"/>
      <c r="C118" s="342"/>
      <c r="D118" s="342"/>
      <c r="E118" s="343"/>
      <c r="F118" s="151"/>
      <c r="G118" s="151"/>
    </row>
    <row r="119" spans="1:7" ht="15" customHeight="1" thickBot="1">
      <c r="A119" s="496" t="s">
        <v>289</v>
      </c>
      <c r="B119" s="379"/>
      <c r="C119" s="379"/>
      <c r="D119" s="379"/>
      <c r="E119" s="158">
        <f>E117+E114+E106+E101+E94</f>
        <v>9516328.8000000007</v>
      </c>
      <c r="F119" s="157" t="s">
        <v>284</v>
      </c>
      <c r="G119" s="95">
        <f>ROUND(G94+G101+G106+G114+G116,0)</f>
        <v>23791</v>
      </c>
    </row>
    <row r="120" spans="1:7" ht="15" customHeight="1">
      <c r="A120" s="497"/>
      <c r="B120" s="487"/>
      <c r="C120" s="487"/>
      <c r="D120" s="487"/>
      <c r="E120" s="498"/>
      <c r="F120" s="151"/>
      <c r="G120" s="151"/>
    </row>
    <row r="121" spans="1:7" ht="15" customHeight="1">
      <c r="A121" s="153" t="s">
        <v>222</v>
      </c>
      <c r="B121" s="154"/>
      <c r="C121" s="154"/>
      <c r="D121" s="153" t="s">
        <v>223</v>
      </c>
      <c r="E121" s="154"/>
      <c r="F121" s="152"/>
      <c r="G121" s="152"/>
    </row>
    <row r="122" spans="1:7" ht="15" customHeight="1">
      <c r="A122" s="155" t="s">
        <v>248</v>
      </c>
      <c r="B122" s="499"/>
      <c r="C122" s="487"/>
      <c r="D122" s="500" t="s">
        <v>225</v>
      </c>
      <c r="E122" s="487"/>
      <c r="F122" s="151"/>
      <c r="G122" s="151"/>
    </row>
    <row r="123" spans="1:7" ht="15" customHeight="1">
      <c r="A123" s="156"/>
      <c r="B123" s="486"/>
      <c r="C123" s="487"/>
      <c r="D123" s="488" t="s">
        <v>226</v>
      </c>
      <c r="E123" s="487"/>
      <c r="F123" s="151"/>
      <c r="G123" s="151"/>
    </row>
  </sheetData>
  <sheetProtection algorithmName="SHA-512" hashValue="4+A4VWBXk2/0vx23T3Rd5X2wAgymWPXkhafCSTbhUJv5UdiwqoTwVGkB0Ti+XCRGXh3qBR1Y3DXhSpDJHLLj9Q==" saltValue="i6E509n274/3B9zt1xTIIQ==" spinCount="100000" sheet="1" objects="1" scenarios="1"/>
  <mergeCells count="54">
    <mergeCell ref="A59:E78"/>
    <mergeCell ref="A50:E50"/>
    <mergeCell ref="A51:E55"/>
    <mergeCell ref="A56:E57"/>
    <mergeCell ref="A58:E58"/>
    <mergeCell ref="B41:C41"/>
    <mergeCell ref="D41:E41"/>
    <mergeCell ref="A42:E43"/>
    <mergeCell ref="A44:E44"/>
    <mergeCell ref="A45:E49"/>
    <mergeCell ref="A36:E36"/>
    <mergeCell ref="A37:D37"/>
    <mergeCell ref="A38:E38"/>
    <mergeCell ref="B40:C40"/>
    <mergeCell ref="D40:E40"/>
    <mergeCell ref="A22:D22"/>
    <mergeCell ref="A23:E23"/>
    <mergeCell ref="A27:D27"/>
    <mergeCell ref="A28:E28"/>
    <mergeCell ref="A35:D35"/>
    <mergeCell ref="A7:C7"/>
    <mergeCell ref="A8:C8"/>
    <mergeCell ref="A10:E10"/>
    <mergeCell ref="A15:D15"/>
    <mergeCell ref="A16:E16"/>
    <mergeCell ref="A1:A3"/>
    <mergeCell ref="A4:B4"/>
    <mergeCell ref="B6:D6"/>
    <mergeCell ref="C1:E1"/>
    <mergeCell ref="C2:E2"/>
    <mergeCell ref="A89:E89"/>
    <mergeCell ref="A94:D94"/>
    <mergeCell ref="A95:E95"/>
    <mergeCell ref="A80:A82"/>
    <mergeCell ref="C80:G80"/>
    <mergeCell ref="C81:G81"/>
    <mergeCell ref="A83:B83"/>
    <mergeCell ref="B85:D85"/>
    <mergeCell ref="B123:C123"/>
    <mergeCell ref="D123:E123"/>
    <mergeCell ref="A79:E79"/>
    <mergeCell ref="A117:D117"/>
    <mergeCell ref="A118:E118"/>
    <mergeCell ref="A119:D119"/>
    <mergeCell ref="A120:E120"/>
    <mergeCell ref="B122:C122"/>
    <mergeCell ref="D122:E122"/>
    <mergeCell ref="A101:D101"/>
    <mergeCell ref="A102:E102"/>
    <mergeCell ref="A106:D106"/>
    <mergeCell ref="A107:E107"/>
    <mergeCell ref="A114:D114"/>
    <mergeCell ref="A86:C86"/>
    <mergeCell ref="A87:C87"/>
  </mergeCells>
  <pageMargins left="0.7" right="0.7" top="0.75" bottom="0.75" header="0" footer="0"/>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6">
    <tabColor rgb="FF92D050"/>
  </sheetPr>
  <dimension ref="A1:E61"/>
  <sheetViews>
    <sheetView topLeftCell="A17" workbookViewId="0">
      <selection activeCell="A31" sqref="A31:E31"/>
    </sheetView>
  </sheetViews>
  <sheetFormatPr baseColWidth="10" defaultColWidth="12.5" defaultRowHeight="15" customHeight="1"/>
  <cols>
    <col min="1" max="1" width="59.625" customWidth="1"/>
    <col min="3" max="3" width="16.375" customWidth="1"/>
    <col min="4" max="4" width="21.5" customWidth="1"/>
    <col min="5" max="5" width="15.625" customWidth="1"/>
  </cols>
  <sheetData>
    <row r="1" spans="1:5" ht="22.5" customHeight="1">
      <c r="A1" s="518" t="s">
        <v>196</v>
      </c>
      <c r="B1" s="5" t="s">
        <v>197</v>
      </c>
      <c r="C1" s="422"/>
      <c r="D1" s="337"/>
      <c r="E1" s="339"/>
    </row>
    <row r="2" spans="1:5" ht="23.25" customHeight="1">
      <c r="A2" s="519"/>
      <c r="B2" s="5" t="s">
        <v>198</v>
      </c>
      <c r="C2" s="423">
        <v>1</v>
      </c>
      <c r="D2" s="337"/>
      <c r="E2" s="339"/>
    </row>
    <row r="3" spans="1:5" ht="14.25" customHeight="1">
      <c r="A3" s="519"/>
      <c r="B3" s="88" t="s">
        <v>199</v>
      </c>
      <c r="C3" s="45"/>
      <c r="D3" s="46" t="s">
        <v>200</v>
      </c>
      <c r="E3" s="45"/>
    </row>
    <row r="4" spans="1:5" ht="14.25" customHeight="1">
      <c r="A4" s="424" t="s">
        <v>201</v>
      </c>
      <c r="B4" s="339"/>
      <c r="C4" s="45">
        <v>2</v>
      </c>
      <c r="D4" s="45">
        <v>3</v>
      </c>
      <c r="E4" s="47">
        <v>2026</v>
      </c>
    </row>
    <row r="5" spans="1:5" ht="14.25" customHeight="1">
      <c r="A5" s="101"/>
      <c r="B5" s="99"/>
      <c r="C5" s="102" t="s">
        <v>202</v>
      </c>
      <c r="D5" s="102" t="s">
        <v>203</v>
      </c>
      <c r="E5" s="103" t="s">
        <v>204</v>
      </c>
    </row>
    <row r="6" spans="1:5" ht="14.25" customHeight="1">
      <c r="A6" s="49" t="s">
        <v>205</v>
      </c>
      <c r="B6" s="520" t="s">
        <v>257</v>
      </c>
      <c r="C6" s="481"/>
      <c r="D6" s="481"/>
      <c r="E6" s="104"/>
    </row>
    <row r="7" spans="1:5" ht="14.25" customHeight="1">
      <c r="A7" s="426" t="s">
        <v>207</v>
      </c>
      <c r="B7" s="337"/>
      <c r="C7" s="339"/>
      <c r="D7" s="50" t="s">
        <v>4</v>
      </c>
      <c r="E7" s="50" t="s">
        <v>5</v>
      </c>
    </row>
    <row r="8" spans="1:5" ht="14.25" customHeight="1">
      <c r="A8" s="521" t="str">
        <f>PRESUPUESTO!B32</f>
        <v>Suministro y transporte de Mesa hexagonal.</v>
      </c>
      <c r="B8" s="337"/>
      <c r="C8" s="339"/>
      <c r="D8" s="52" t="str">
        <f>PRESUPUESTO!C32</f>
        <v>Und</v>
      </c>
      <c r="E8" s="53">
        <v>1</v>
      </c>
    </row>
    <row r="9" spans="1:5" ht="14.25" customHeight="1">
      <c r="A9" s="428"/>
      <c r="B9" s="337"/>
      <c r="C9" s="337"/>
      <c r="D9" s="337"/>
      <c r="E9" s="339"/>
    </row>
    <row r="10" spans="1:5" ht="14.25" customHeight="1">
      <c r="A10" s="429" t="s">
        <v>208</v>
      </c>
      <c r="B10" s="337"/>
      <c r="C10" s="337"/>
      <c r="D10" s="337"/>
      <c r="E10" s="339"/>
    </row>
    <row r="11" spans="1:5" ht="14.25" customHeight="1">
      <c r="A11" s="105" t="s">
        <v>3</v>
      </c>
      <c r="B11" s="50" t="s">
        <v>209</v>
      </c>
      <c r="C11" s="54" t="s">
        <v>210</v>
      </c>
      <c r="D11" s="50" t="s">
        <v>6</v>
      </c>
      <c r="E11" s="50" t="s">
        <v>7</v>
      </c>
    </row>
    <row r="12" spans="1:5" ht="14.25" customHeight="1">
      <c r="A12" s="51" t="s">
        <v>250</v>
      </c>
      <c r="B12" s="46" t="s">
        <v>172</v>
      </c>
      <c r="C12" s="55">
        <v>0.1</v>
      </c>
      <c r="D12" s="56">
        <f>+E30</f>
        <v>0</v>
      </c>
      <c r="E12" s="56">
        <f>C12*D12</f>
        <v>0</v>
      </c>
    </row>
    <row r="13" spans="1:5" ht="14.25" customHeight="1">
      <c r="A13" s="420" t="s">
        <v>211</v>
      </c>
      <c r="B13" s="337"/>
      <c r="C13" s="337"/>
      <c r="D13" s="339"/>
      <c r="E13" s="56">
        <f>SUM(E12)</f>
        <v>0</v>
      </c>
    </row>
    <row r="14" spans="1:5" ht="14.25" customHeight="1">
      <c r="A14" s="429" t="s">
        <v>212</v>
      </c>
      <c r="B14" s="337"/>
      <c r="C14" s="337"/>
      <c r="D14" s="337"/>
      <c r="E14" s="339"/>
    </row>
    <row r="15" spans="1:5" ht="14.25" customHeight="1">
      <c r="A15" s="112" t="s">
        <v>3</v>
      </c>
      <c r="B15" s="57" t="s">
        <v>4</v>
      </c>
      <c r="C15" s="57" t="s">
        <v>5</v>
      </c>
      <c r="D15" s="57" t="s">
        <v>6</v>
      </c>
      <c r="E15" s="57" t="s">
        <v>7</v>
      </c>
    </row>
    <row r="16" spans="1:5" ht="14.25" customHeight="1">
      <c r="A16" s="114" t="s">
        <v>263</v>
      </c>
      <c r="B16" s="115" t="s">
        <v>213</v>
      </c>
      <c r="C16" s="116">
        <v>1</v>
      </c>
      <c r="D16" s="117">
        <f>INSUMOS!E63</f>
        <v>1209173</v>
      </c>
      <c r="E16" s="117">
        <f>+C16*D16</f>
        <v>1209173</v>
      </c>
    </row>
    <row r="17" spans="1:5" ht="14.25" customHeight="1">
      <c r="A17" s="118"/>
      <c r="B17" s="119"/>
      <c r="C17" s="120"/>
      <c r="D17" s="119"/>
      <c r="E17" s="119"/>
    </row>
    <row r="18" spans="1:5" ht="14.25" customHeight="1">
      <c r="A18" s="114"/>
      <c r="B18" s="115"/>
      <c r="C18" s="121"/>
      <c r="D18" s="115"/>
      <c r="E18" s="115"/>
    </row>
    <row r="19" spans="1:5" ht="15.75" customHeight="1">
      <c r="A19" s="114"/>
      <c r="B19" s="117"/>
      <c r="C19" s="122"/>
      <c r="D19" s="123"/>
      <c r="E19" s="117"/>
    </row>
    <row r="20" spans="1:5" ht="15.75" customHeight="1">
      <c r="A20" s="124"/>
      <c r="B20" s="125"/>
      <c r="C20" s="126"/>
      <c r="D20" s="127"/>
      <c r="E20" s="125"/>
    </row>
    <row r="21" spans="1:5" ht="15.75" customHeight="1">
      <c r="A21" s="522" t="s">
        <v>211</v>
      </c>
      <c r="B21" s="481"/>
      <c r="C21" s="481"/>
      <c r="D21" s="482"/>
      <c r="E21" s="94">
        <f>SUM(E16:E19)</f>
        <v>1209173</v>
      </c>
    </row>
    <row r="22" spans="1:5" ht="15.75" customHeight="1">
      <c r="A22" s="429" t="s">
        <v>214</v>
      </c>
      <c r="B22" s="337"/>
      <c r="C22" s="337"/>
      <c r="D22" s="337"/>
      <c r="E22" s="339"/>
    </row>
    <row r="23" spans="1:5" ht="14.25">
      <c r="A23" s="54" t="s">
        <v>3</v>
      </c>
      <c r="B23" s="50" t="s">
        <v>4</v>
      </c>
      <c r="C23" s="50" t="s">
        <v>5</v>
      </c>
      <c r="D23" s="50" t="s">
        <v>6</v>
      </c>
      <c r="E23" s="50" t="s">
        <v>7</v>
      </c>
    </row>
    <row r="24" spans="1:5" ht="15.75" customHeight="1">
      <c r="A24" s="5" t="s">
        <v>215</v>
      </c>
      <c r="B24" s="46" t="s">
        <v>172</v>
      </c>
      <c r="C24" s="55">
        <v>0.05</v>
      </c>
      <c r="D24" s="69">
        <f>+E21</f>
        <v>1209173</v>
      </c>
      <c r="E24" s="69">
        <f>+C24*D24</f>
        <v>60458.65</v>
      </c>
    </row>
    <row r="25" spans="1:5" ht="15.75" customHeight="1">
      <c r="A25" s="5"/>
      <c r="B25" s="46"/>
      <c r="C25" s="45"/>
      <c r="D25" s="66"/>
      <c r="E25" s="66"/>
    </row>
    <row r="26" spans="1:5" ht="15.75" customHeight="1">
      <c r="A26" s="420" t="s">
        <v>211</v>
      </c>
      <c r="B26" s="337"/>
      <c r="C26" s="337"/>
      <c r="D26" s="339"/>
      <c r="E26" s="68">
        <f>+E24+E25</f>
        <v>60458.65</v>
      </c>
    </row>
    <row r="27" spans="1:5" ht="15.75" customHeight="1">
      <c r="A27" s="429" t="s">
        <v>216</v>
      </c>
      <c r="B27" s="337"/>
      <c r="C27" s="337"/>
      <c r="D27" s="337"/>
      <c r="E27" s="339"/>
    </row>
    <row r="28" spans="1:5" ht="15.75" customHeight="1">
      <c r="A28" s="54" t="s">
        <v>3</v>
      </c>
      <c r="B28" s="50" t="s">
        <v>217</v>
      </c>
      <c r="C28" s="50" t="s">
        <v>5</v>
      </c>
      <c r="D28" s="50" t="s">
        <v>6</v>
      </c>
      <c r="E28" s="50" t="s">
        <v>218</v>
      </c>
    </row>
    <row r="29" spans="1:5" ht="15.75" customHeight="1">
      <c r="A29" s="107"/>
      <c r="B29" s="108"/>
      <c r="C29" s="109"/>
      <c r="D29" s="110"/>
      <c r="E29" s="111"/>
    </row>
    <row r="30" spans="1:5" ht="15.75" customHeight="1">
      <c r="A30" s="420" t="s">
        <v>211</v>
      </c>
      <c r="B30" s="337"/>
      <c r="C30" s="337"/>
      <c r="D30" s="339"/>
      <c r="E30" s="68">
        <f>SUM(E29)</f>
        <v>0</v>
      </c>
    </row>
    <row r="31" spans="1:5" ht="15.75" customHeight="1">
      <c r="A31" s="428"/>
      <c r="B31" s="337"/>
      <c r="C31" s="337"/>
      <c r="D31" s="337"/>
      <c r="E31" s="339"/>
    </row>
    <row r="32" spans="1:5" ht="15.75" customHeight="1">
      <c r="A32" s="425" t="s">
        <v>220</v>
      </c>
      <c r="B32" s="337"/>
      <c r="C32" s="337"/>
      <c r="D32" s="339"/>
      <c r="E32" s="68">
        <f>E13+E21+E26+E30</f>
        <v>1269631.6499999999</v>
      </c>
    </row>
    <row r="33" spans="1:5" ht="21.75" customHeight="1" thickBot="1">
      <c r="A33" s="428"/>
      <c r="B33" s="337"/>
      <c r="C33" s="337"/>
      <c r="D33" s="337"/>
      <c r="E33" s="339"/>
    </row>
    <row r="34" spans="1:5" ht="15.75" customHeight="1" thickBot="1">
      <c r="A34" s="425" t="s">
        <v>377</v>
      </c>
      <c r="B34" s="337"/>
      <c r="C34" s="337"/>
      <c r="D34" s="337"/>
      <c r="E34" s="95">
        <f>ROUND(E32,0)</f>
        <v>1269632</v>
      </c>
    </row>
    <row r="35" spans="1:5" ht="15.75" customHeight="1">
      <c r="A35" s="428"/>
      <c r="B35" s="337"/>
      <c r="C35" s="337"/>
      <c r="D35" s="337"/>
      <c r="E35" s="339"/>
    </row>
    <row r="36" spans="1:5" ht="15.75" customHeight="1">
      <c r="A36" s="74" t="s">
        <v>222</v>
      </c>
      <c r="B36" s="75"/>
      <c r="C36" s="75"/>
      <c r="D36" s="74" t="s">
        <v>223</v>
      </c>
      <c r="E36" s="76"/>
    </row>
    <row r="37" spans="1:5" ht="15.75" customHeight="1">
      <c r="A37" s="77" t="s">
        <v>224</v>
      </c>
      <c r="B37" s="434"/>
      <c r="C37" s="435"/>
      <c r="D37" s="436" t="s">
        <v>225</v>
      </c>
      <c r="E37" s="437"/>
    </row>
    <row r="38" spans="1:5" ht="14.25">
      <c r="A38" s="100"/>
      <c r="B38" s="524"/>
      <c r="C38" s="525"/>
      <c r="D38" s="526" t="s">
        <v>226</v>
      </c>
      <c r="E38" s="482"/>
    </row>
    <row r="39" spans="1:5" ht="14.25">
      <c r="A39" s="477" t="s">
        <v>227</v>
      </c>
      <c r="B39" s="378"/>
      <c r="C39" s="378"/>
      <c r="D39" s="378"/>
      <c r="E39" s="465"/>
    </row>
    <row r="40" spans="1:5" ht="14.25">
      <c r="A40" s="380"/>
      <c r="B40" s="381"/>
      <c r="C40" s="381"/>
      <c r="D40" s="381"/>
      <c r="E40" s="466"/>
    </row>
    <row r="41" spans="1:5" ht="15.75" customHeight="1">
      <c r="A41" s="527" t="s">
        <v>239</v>
      </c>
      <c r="B41" s="384"/>
      <c r="C41" s="384"/>
      <c r="D41" s="384"/>
      <c r="E41" s="387"/>
    </row>
    <row r="42" spans="1:5" ht="15.75" customHeight="1">
      <c r="A42" s="523" t="s">
        <v>264</v>
      </c>
      <c r="B42" s="378"/>
      <c r="C42" s="378"/>
      <c r="D42" s="378"/>
      <c r="E42" s="465"/>
    </row>
    <row r="43" spans="1:5" ht="15.75" customHeight="1">
      <c r="A43" s="463"/>
      <c r="B43" s="461"/>
      <c r="C43" s="461"/>
      <c r="D43" s="461"/>
      <c r="E43" s="462"/>
    </row>
    <row r="44" spans="1:5" ht="15.75" customHeight="1">
      <c r="A44" s="463"/>
      <c r="B44" s="461"/>
      <c r="C44" s="461"/>
      <c r="D44" s="461"/>
      <c r="E44" s="462"/>
    </row>
    <row r="45" spans="1:5" ht="15.75" customHeight="1">
      <c r="A45" s="463"/>
      <c r="B45" s="461"/>
      <c r="C45" s="461"/>
      <c r="D45" s="461"/>
      <c r="E45" s="462"/>
    </row>
    <row r="46" spans="1:5" ht="15.75" customHeight="1">
      <c r="A46" s="463"/>
      <c r="B46" s="461"/>
      <c r="C46" s="461"/>
      <c r="D46" s="461"/>
      <c r="E46" s="462"/>
    </row>
    <row r="47" spans="1:5" ht="15.75" customHeight="1">
      <c r="A47" s="527" t="s">
        <v>265</v>
      </c>
      <c r="B47" s="384"/>
      <c r="C47" s="384"/>
      <c r="D47" s="384"/>
      <c r="E47" s="387"/>
    </row>
    <row r="48" spans="1:5" ht="15.75" customHeight="1">
      <c r="A48" s="523"/>
      <c r="B48" s="378"/>
      <c r="C48" s="378"/>
      <c r="D48" s="378"/>
      <c r="E48" s="465"/>
    </row>
    <row r="49" spans="1:5" ht="15.75" customHeight="1">
      <c r="A49" s="463"/>
      <c r="B49" s="461"/>
      <c r="C49" s="461"/>
      <c r="D49" s="461"/>
      <c r="E49" s="462"/>
    </row>
    <row r="50" spans="1:5" ht="15.75" customHeight="1">
      <c r="A50" s="463"/>
      <c r="B50" s="461"/>
      <c r="C50" s="461"/>
      <c r="D50" s="461"/>
      <c r="E50" s="462"/>
    </row>
    <row r="51" spans="1:5" ht="15.75" customHeight="1">
      <c r="A51" s="463"/>
      <c r="B51" s="461"/>
      <c r="C51" s="461"/>
      <c r="D51" s="461"/>
      <c r="E51" s="462"/>
    </row>
    <row r="52" spans="1:5" ht="15.75" customHeight="1">
      <c r="A52" s="463"/>
      <c r="B52" s="461"/>
      <c r="C52" s="461"/>
      <c r="D52" s="461"/>
      <c r="E52" s="462"/>
    </row>
    <row r="53" spans="1:5" ht="15.75" customHeight="1">
      <c r="A53" s="463"/>
      <c r="B53" s="461"/>
      <c r="C53" s="461"/>
      <c r="D53" s="461"/>
      <c r="E53" s="462"/>
    </row>
    <row r="54" spans="1:5" ht="15.75" customHeight="1">
      <c r="A54" s="463"/>
      <c r="B54" s="461"/>
      <c r="C54" s="461"/>
      <c r="D54" s="461"/>
      <c r="E54" s="462"/>
    </row>
    <row r="55" spans="1:5" ht="15.75" customHeight="1">
      <c r="A55" s="463"/>
      <c r="B55" s="461"/>
      <c r="C55" s="461"/>
      <c r="D55" s="461"/>
      <c r="E55" s="462"/>
    </row>
    <row r="56" spans="1:5" ht="15.75" customHeight="1">
      <c r="A56" s="463"/>
      <c r="B56" s="461"/>
      <c r="C56" s="461"/>
      <c r="D56" s="461"/>
      <c r="E56" s="462"/>
    </row>
    <row r="57" spans="1:5" ht="15.75" customHeight="1">
      <c r="A57" s="463"/>
      <c r="B57" s="461"/>
      <c r="C57" s="461"/>
      <c r="D57" s="461"/>
      <c r="E57" s="462"/>
    </row>
    <row r="58" spans="1:5" ht="15.75" customHeight="1">
      <c r="A58" s="463"/>
      <c r="B58" s="461"/>
      <c r="C58" s="461"/>
      <c r="D58" s="461"/>
      <c r="E58" s="462"/>
    </row>
    <row r="59" spans="1:5" ht="15.75" customHeight="1">
      <c r="A59" s="380"/>
      <c r="B59" s="381"/>
      <c r="C59" s="381"/>
      <c r="D59" s="381"/>
      <c r="E59" s="466"/>
    </row>
    <row r="60" spans="1:5" ht="15.75" customHeight="1">
      <c r="A60" s="464" t="s">
        <v>266</v>
      </c>
      <c r="B60" s="378"/>
      <c r="C60" s="378"/>
      <c r="D60" s="378"/>
      <c r="E60" s="465"/>
    </row>
    <row r="61" spans="1:5" ht="15.75" customHeight="1">
      <c r="A61" s="380"/>
      <c r="B61" s="381"/>
      <c r="C61" s="381"/>
      <c r="D61" s="381"/>
      <c r="E61" s="466"/>
    </row>
  </sheetData>
  <sheetProtection algorithmName="SHA-512" hashValue="L0+L+PHNK0wMp7Ruux010pGX+yCZGgmaw0F81QnlIGOyIBzI7G2p3b3AIwK6KpFM2fH31myy/6iqiE0dGJrVEQ==" saltValue="vkbCdJLNpni+I/V2Syhs9Q==" spinCount="100000" sheet="1" objects="1" scenarios="1"/>
  <mergeCells count="31">
    <mergeCell ref="A48:E59"/>
    <mergeCell ref="A60:E61"/>
    <mergeCell ref="A34:D34"/>
    <mergeCell ref="A35:E35"/>
    <mergeCell ref="B37:C37"/>
    <mergeCell ref="D37:E37"/>
    <mergeCell ref="B38:C38"/>
    <mergeCell ref="D38:E38"/>
    <mergeCell ref="A39:E40"/>
    <mergeCell ref="A41:E41"/>
    <mergeCell ref="A42:E46"/>
    <mergeCell ref="A47:E47"/>
    <mergeCell ref="A30:D30"/>
    <mergeCell ref="A31:E31"/>
    <mergeCell ref="A32:D32"/>
    <mergeCell ref="A33:E33"/>
    <mergeCell ref="A14:E14"/>
    <mergeCell ref="A21:D21"/>
    <mergeCell ref="A22:E22"/>
    <mergeCell ref="A26:D26"/>
    <mergeCell ref="A27:E27"/>
    <mergeCell ref="A7:C7"/>
    <mergeCell ref="A8:C8"/>
    <mergeCell ref="A9:E9"/>
    <mergeCell ref="A10:E10"/>
    <mergeCell ref="A13:D13"/>
    <mergeCell ref="A1:A3"/>
    <mergeCell ref="C1:E1"/>
    <mergeCell ref="C2:E2"/>
    <mergeCell ref="A4:B4"/>
    <mergeCell ref="B6:D6"/>
  </mergeCells>
  <pageMargins left="0.7" right="0.7" top="0.75" bottom="0.75" header="0" footer="0"/>
  <pageSetup orientation="landscape"/>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2">
    <tabColor rgb="FF92D050"/>
  </sheetPr>
  <dimension ref="A1:E65"/>
  <sheetViews>
    <sheetView topLeftCell="A19" zoomScale="120" zoomScaleNormal="120" workbookViewId="0">
      <selection activeCell="A36" sqref="A36:E36"/>
    </sheetView>
  </sheetViews>
  <sheetFormatPr baseColWidth="10" defaultColWidth="12.5" defaultRowHeight="15" customHeight="1"/>
  <cols>
    <col min="1" max="1" width="59" customWidth="1"/>
    <col min="2" max="2" width="15" customWidth="1"/>
    <col min="3" max="3" width="17" customWidth="1"/>
    <col min="4" max="4" width="15.625" customWidth="1"/>
    <col min="5" max="5" width="18.125" customWidth="1"/>
    <col min="6" max="26" width="10.5" customWidth="1"/>
  </cols>
  <sheetData>
    <row r="1" spans="1:5" ht="14.25" customHeight="1">
      <c r="A1" s="518" t="s">
        <v>196</v>
      </c>
      <c r="B1" s="5" t="s">
        <v>197</v>
      </c>
      <c r="C1" s="422"/>
      <c r="D1" s="337"/>
      <c r="E1" s="339"/>
    </row>
    <row r="2" spans="1:5" ht="14.25" customHeight="1">
      <c r="A2" s="519"/>
      <c r="B2" s="5" t="s">
        <v>198</v>
      </c>
      <c r="C2" s="423">
        <v>1</v>
      </c>
      <c r="D2" s="337"/>
      <c r="E2" s="339"/>
    </row>
    <row r="3" spans="1:5" ht="14.25" customHeight="1">
      <c r="A3" s="519"/>
      <c r="B3" s="88" t="s">
        <v>199</v>
      </c>
      <c r="C3" s="45"/>
      <c r="D3" s="46" t="s">
        <v>200</v>
      </c>
      <c r="E3" s="45"/>
    </row>
    <row r="4" spans="1:5" ht="14.25" customHeight="1">
      <c r="A4" s="424" t="s">
        <v>201</v>
      </c>
      <c r="B4" s="339"/>
      <c r="C4" s="45">
        <v>2</v>
      </c>
      <c r="D4" s="45">
        <v>3</v>
      </c>
      <c r="E4" s="47">
        <v>2026</v>
      </c>
    </row>
    <row r="5" spans="1:5" ht="14.25" customHeight="1">
      <c r="A5" s="101"/>
      <c r="B5" s="99"/>
      <c r="C5" s="102" t="s">
        <v>202</v>
      </c>
      <c r="D5" s="102" t="s">
        <v>203</v>
      </c>
      <c r="E5" s="103" t="s">
        <v>204</v>
      </c>
    </row>
    <row r="6" spans="1:5" ht="14.25" customHeight="1">
      <c r="A6" s="49" t="s">
        <v>205</v>
      </c>
      <c r="B6" s="520" t="s">
        <v>257</v>
      </c>
      <c r="C6" s="481"/>
      <c r="D6" s="481"/>
      <c r="E6" s="104"/>
    </row>
    <row r="7" spans="1:5" ht="14.25" customHeight="1">
      <c r="A7" s="426" t="s">
        <v>207</v>
      </c>
      <c r="B7" s="337"/>
      <c r="C7" s="339"/>
      <c r="D7" s="50" t="s">
        <v>4</v>
      </c>
      <c r="E7" s="50" t="s">
        <v>5</v>
      </c>
    </row>
    <row r="8" spans="1:5" ht="14.25" customHeight="1">
      <c r="A8" s="521" t="str">
        <f>PRESUPUESTO!B39</f>
        <v>Suministro, transporte e instalación de señalética en madera plástica. Opción 1</v>
      </c>
      <c r="B8" s="337"/>
      <c r="C8" s="339"/>
      <c r="D8" s="128" t="s">
        <v>72</v>
      </c>
      <c r="E8" s="53">
        <v>1</v>
      </c>
    </row>
    <row r="9" spans="1:5" ht="14.25" customHeight="1">
      <c r="A9" s="428"/>
      <c r="B9" s="337"/>
      <c r="C9" s="337"/>
      <c r="D9" s="337"/>
      <c r="E9" s="339"/>
    </row>
    <row r="10" spans="1:5" ht="14.25" customHeight="1">
      <c r="A10" s="429" t="s">
        <v>208</v>
      </c>
      <c r="B10" s="337"/>
      <c r="C10" s="337"/>
      <c r="D10" s="337"/>
      <c r="E10" s="339"/>
    </row>
    <row r="11" spans="1:5" ht="14.25" customHeight="1">
      <c r="A11" s="105" t="s">
        <v>3</v>
      </c>
      <c r="B11" s="50" t="s">
        <v>209</v>
      </c>
      <c r="C11" s="50" t="s">
        <v>210</v>
      </c>
      <c r="D11" s="50" t="s">
        <v>6</v>
      </c>
      <c r="E11" s="50" t="s">
        <v>7</v>
      </c>
    </row>
    <row r="12" spans="1:5" ht="14.25">
      <c r="A12" s="51" t="s">
        <v>250</v>
      </c>
      <c r="B12" s="46" t="s">
        <v>172</v>
      </c>
      <c r="C12" s="55">
        <v>0.1</v>
      </c>
      <c r="D12" s="56">
        <f>+E31</f>
        <v>11914.843829907406</v>
      </c>
      <c r="E12" s="56">
        <f>C12*D12</f>
        <v>1191.4843829907406</v>
      </c>
    </row>
    <row r="13" spans="1:5" ht="14.25" customHeight="1">
      <c r="A13" s="420" t="s">
        <v>211</v>
      </c>
      <c r="B13" s="337"/>
      <c r="C13" s="337"/>
      <c r="D13" s="339"/>
      <c r="E13" s="56">
        <f>SUM(E12)</f>
        <v>1191.4843829907406</v>
      </c>
    </row>
    <row r="14" spans="1:5" ht="14.25" customHeight="1">
      <c r="A14" s="429" t="s">
        <v>212</v>
      </c>
      <c r="B14" s="337"/>
      <c r="C14" s="337"/>
      <c r="D14" s="337"/>
      <c r="E14" s="339"/>
    </row>
    <row r="15" spans="1:5" ht="14.25" customHeight="1">
      <c r="A15" s="112" t="s">
        <v>3</v>
      </c>
      <c r="B15" s="57" t="s">
        <v>4</v>
      </c>
      <c r="C15" s="57" t="s">
        <v>5</v>
      </c>
      <c r="D15" s="57" t="s">
        <v>6</v>
      </c>
      <c r="E15" s="57" t="s">
        <v>7</v>
      </c>
    </row>
    <row r="16" spans="1:5" ht="14.25" customHeight="1">
      <c r="A16" s="51" t="s">
        <v>132</v>
      </c>
      <c r="B16" s="51" t="s">
        <v>72</v>
      </c>
      <c r="C16" s="51">
        <v>1</v>
      </c>
      <c r="D16" s="167">
        <f>INSUMOS!E65</f>
        <v>850000</v>
      </c>
      <c r="E16" s="168">
        <f>+C16*D16</f>
        <v>850000</v>
      </c>
    </row>
    <row r="17" spans="1:5" ht="14.25" customHeight="1">
      <c r="A17" s="118"/>
      <c r="B17" s="119"/>
      <c r="C17" s="120"/>
      <c r="D17" s="119"/>
      <c r="E17" s="119"/>
    </row>
    <row r="18" spans="1:5" ht="14.25" customHeight="1">
      <c r="A18" s="114"/>
      <c r="B18" s="115"/>
      <c r="C18" s="121"/>
      <c r="D18" s="115"/>
      <c r="E18" s="115"/>
    </row>
    <row r="19" spans="1:5" ht="14.25" customHeight="1">
      <c r="A19" s="114"/>
      <c r="B19" s="117"/>
      <c r="C19" s="122"/>
      <c r="D19" s="123"/>
      <c r="E19" s="117"/>
    </row>
    <row r="20" spans="1:5" ht="14.25" customHeight="1">
      <c r="A20" s="114"/>
      <c r="B20" s="117"/>
      <c r="C20" s="122"/>
      <c r="D20" s="123"/>
      <c r="E20" s="117"/>
    </row>
    <row r="21" spans="1:5" ht="14.25" customHeight="1">
      <c r="A21" s="124"/>
      <c r="B21" s="125"/>
      <c r="C21" s="126"/>
      <c r="D21" s="127"/>
      <c r="E21" s="125"/>
    </row>
    <row r="22" spans="1:5" ht="14.25" customHeight="1">
      <c r="A22" s="522" t="s">
        <v>211</v>
      </c>
      <c r="B22" s="481"/>
      <c r="C22" s="481"/>
      <c r="D22" s="482"/>
      <c r="E22" s="94">
        <f>SUM(E16:E20)</f>
        <v>850000</v>
      </c>
    </row>
    <row r="23" spans="1:5" ht="14.25" customHeight="1">
      <c r="A23" s="429" t="s">
        <v>214</v>
      </c>
      <c r="B23" s="337"/>
      <c r="C23" s="337"/>
      <c r="D23" s="337"/>
      <c r="E23" s="339"/>
    </row>
    <row r="24" spans="1:5" ht="14.25" customHeight="1">
      <c r="A24" s="54" t="s">
        <v>3</v>
      </c>
      <c r="B24" s="50" t="s">
        <v>4</v>
      </c>
      <c r="C24" s="50" t="s">
        <v>5</v>
      </c>
      <c r="D24" s="82" t="s">
        <v>6</v>
      </c>
      <c r="E24" s="50" t="s">
        <v>7</v>
      </c>
    </row>
    <row r="25" spans="1:5" ht="14.25" customHeight="1">
      <c r="A25" s="5" t="s">
        <v>215</v>
      </c>
      <c r="B25" s="46" t="s">
        <v>172</v>
      </c>
      <c r="C25" s="55">
        <v>0.05</v>
      </c>
      <c r="D25" s="69">
        <f>+E22</f>
        <v>850000</v>
      </c>
      <c r="E25" s="69">
        <f>+C25*D25</f>
        <v>42500</v>
      </c>
    </row>
    <row r="26" spans="1:5" ht="14.25" customHeight="1">
      <c r="A26" s="5"/>
      <c r="B26" s="46"/>
      <c r="C26" s="45"/>
      <c r="D26" s="66"/>
      <c r="E26" s="66"/>
    </row>
    <row r="27" spans="1:5" ht="14.25" customHeight="1">
      <c r="A27" s="420" t="s">
        <v>211</v>
      </c>
      <c r="B27" s="337"/>
      <c r="C27" s="337"/>
      <c r="D27" s="339"/>
      <c r="E27" s="68">
        <f>+E25+E26</f>
        <v>42500</v>
      </c>
    </row>
    <row r="28" spans="1:5" ht="14.25" customHeight="1">
      <c r="A28" s="429" t="s">
        <v>216</v>
      </c>
      <c r="B28" s="337"/>
      <c r="C28" s="337"/>
      <c r="D28" s="337"/>
      <c r="E28" s="339"/>
    </row>
    <row r="29" spans="1:5" ht="14.25" customHeight="1">
      <c r="A29" s="54" t="s">
        <v>3</v>
      </c>
      <c r="B29" s="50" t="s">
        <v>217</v>
      </c>
      <c r="C29" s="50" t="s">
        <v>5</v>
      </c>
      <c r="D29" s="82" t="s">
        <v>6</v>
      </c>
      <c r="E29" s="50" t="s">
        <v>218</v>
      </c>
    </row>
    <row r="30" spans="1:5" ht="14.25" customHeight="1">
      <c r="A30" s="107" t="s">
        <v>261</v>
      </c>
      <c r="B30" s="108">
        <v>12</v>
      </c>
      <c r="C30" s="109">
        <v>1</v>
      </c>
      <c r="D30" s="110">
        <f>'FACTOR PRESTACIONAL (para obra)'!$D$36</f>
        <v>142978.12595888888</v>
      </c>
      <c r="E30" s="111">
        <f>C30*(D30/B30)</f>
        <v>11914.843829907406</v>
      </c>
    </row>
    <row r="31" spans="1:5" ht="14.25" customHeight="1">
      <c r="A31" s="420" t="s">
        <v>211</v>
      </c>
      <c r="B31" s="337"/>
      <c r="C31" s="337"/>
      <c r="D31" s="339"/>
      <c r="E31" s="68">
        <f>SUM(E30)</f>
        <v>11914.843829907406</v>
      </c>
    </row>
    <row r="32" spans="1:5" ht="14.25" customHeight="1">
      <c r="A32" s="428"/>
      <c r="B32" s="337"/>
      <c r="C32" s="337"/>
      <c r="D32" s="337"/>
      <c r="E32" s="339"/>
    </row>
    <row r="33" spans="1:5" ht="14.25" customHeight="1">
      <c r="A33" s="433" t="s">
        <v>220</v>
      </c>
      <c r="B33" s="337"/>
      <c r="C33" s="337"/>
      <c r="D33" s="339"/>
      <c r="E33" s="73">
        <f>E13+E22+E27+E31</f>
        <v>905606.32821289811</v>
      </c>
    </row>
    <row r="34" spans="1:5" ht="14.25" customHeight="1" thickBot="1">
      <c r="A34" s="428"/>
      <c r="B34" s="337"/>
      <c r="C34" s="337"/>
      <c r="D34" s="337"/>
      <c r="E34" s="339"/>
    </row>
    <row r="35" spans="1:5" ht="14.25" customHeight="1" thickBot="1">
      <c r="A35" s="433" t="s">
        <v>377</v>
      </c>
      <c r="B35" s="337"/>
      <c r="C35" s="337"/>
      <c r="D35" s="338"/>
      <c r="E35" s="143">
        <f>ROUND(E33,0)</f>
        <v>905606</v>
      </c>
    </row>
    <row r="36" spans="1:5" ht="14.25" customHeight="1">
      <c r="A36" s="428"/>
      <c r="B36" s="337"/>
      <c r="C36" s="337"/>
      <c r="D36" s="337"/>
      <c r="E36" s="339"/>
    </row>
    <row r="37" spans="1:5" ht="14.25" customHeight="1">
      <c r="A37" s="74" t="s">
        <v>222</v>
      </c>
      <c r="B37" s="75"/>
      <c r="C37" s="75"/>
      <c r="D37" s="74" t="s">
        <v>223</v>
      </c>
      <c r="E37" s="76"/>
    </row>
    <row r="38" spans="1:5" ht="14.25" customHeight="1">
      <c r="A38" s="77"/>
      <c r="B38" s="434"/>
      <c r="C38" s="435"/>
      <c r="D38" s="436" t="s">
        <v>225</v>
      </c>
      <c r="E38" s="437"/>
    </row>
    <row r="39" spans="1:5" ht="35.25" customHeight="1">
      <c r="A39" s="100"/>
      <c r="B39" s="524"/>
      <c r="C39" s="525"/>
      <c r="D39" s="526" t="s">
        <v>226</v>
      </c>
      <c r="E39" s="482"/>
    </row>
    <row r="40" spans="1:5" ht="14.25">
      <c r="A40" s="477" t="s">
        <v>227</v>
      </c>
      <c r="B40" s="378"/>
      <c r="C40" s="378"/>
      <c r="D40" s="378"/>
      <c r="E40" s="465"/>
    </row>
    <row r="41" spans="1:5" ht="14.25">
      <c r="A41" s="380"/>
      <c r="B41" s="381"/>
      <c r="C41" s="381"/>
      <c r="D41" s="381"/>
      <c r="E41" s="466"/>
    </row>
    <row r="42" spans="1:5" ht="14.25" customHeight="1">
      <c r="A42" s="527" t="s">
        <v>239</v>
      </c>
      <c r="B42" s="384"/>
      <c r="C42" s="384"/>
      <c r="D42" s="384"/>
      <c r="E42" s="387"/>
    </row>
    <row r="43" spans="1:5" ht="14.25" customHeight="1">
      <c r="A43" s="523" t="s">
        <v>269</v>
      </c>
      <c r="B43" s="378"/>
      <c r="C43" s="378"/>
      <c r="D43" s="378"/>
      <c r="E43" s="465"/>
    </row>
    <row r="44" spans="1:5" ht="14.25" customHeight="1">
      <c r="A44" s="463"/>
      <c r="B44" s="461"/>
      <c r="C44" s="461"/>
      <c r="D44" s="461"/>
      <c r="E44" s="462"/>
    </row>
    <row r="45" spans="1:5" ht="14.25" customHeight="1">
      <c r="A45" s="463"/>
      <c r="B45" s="461"/>
      <c r="C45" s="461"/>
      <c r="D45" s="461"/>
      <c r="E45" s="462"/>
    </row>
    <row r="46" spans="1:5" ht="14.25" customHeight="1">
      <c r="A46" s="463"/>
      <c r="B46" s="461"/>
      <c r="C46" s="461"/>
      <c r="D46" s="461"/>
      <c r="E46" s="462"/>
    </row>
    <row r="47" spans="1:5" ht="14.25" customHeight="1">
      <c r="A47" s="463"/>
      <c r="B47" s="461"/>
      <c r="C47" s="461"/>
      <c r="D47" s="461"/>
      <c r="E47" s="462"/>
    </row>
    <row r="48" spans="1:5" ht="14.25" customHeight="1">
      <c r="A48" s="463"/>
      <c r="B48" s="461"/>
      <c r="C48" s="461"/>
      <c r="D48" s="461"/>
      <c r="E48" s="462"/>
    </row>
    <row r="49" spans="1:5" ht="14.25" customHeight="1">
      <c r="A49" s="527" t="s">
        <v>262</v>
      </c>
      <c r="B49" s="384"/>
      <c r="C49" s="384"/>
      <c r="D49" s="384"/>
      <c r="E49" s="387"/>
    </row>
    <row r="50" spans="1:5" ht="14.25" customHeight="1">
      <c r="A50" s="523"/>
      <c r="B50" s="378"/>
      <c r="C50" s="378"/>
      <c r="D50" s="378"/>
      <c r="E50" s="465"/>
    </row>
    <row r="51" spans="1:5" ht="14.25" customHeight="1">
      <c r="A51" s="463"/>
      <c r="B51" s="461"/>
      <c r="C51" s="461"/>
      <c r="D51" s="461"/>
      <c r="E51" s="462"/>
    </row>
    <row r="52" spans="1:5" ht="14.25" customHeight="1">
      <c r="A52" s="463"/>
      <c r="B52" s="461"/>
      <c r="C52" s="461"/>
      <c r="D52" s="461"/>
      <c r="E52" s="462"/>
    </row>
    <row r="53" spans="1:5" ht="14.25" customHeight="1">
      <c r="A53" s="463"/>
      <c r="B53" s="461"/>
      <c r="C53" s="461"/>
      <c r="D53" s="461"/>
      <c r="E53" s="462"/>
    </row>
    <row r="54" spans="1:5" ht="14.25" customHeight="1">
      <c r="A54" s="463"/>
      <c r="B54" s="461"/>
      <c r="C54" s="461"/>
      <c r="D54" s="461"/>
      <c r="E54" s="462"/>
    </row>
    <row r="55" spans="1:5" ht="14.25" customHeight="1">
      <c r="A55" s="463"/>
      <c r="B55" s="461"/>
      <c r="C55" s="461"/>
      <c r="D55" s="461"/>
      <c r="E55" s="462"/>
    </row>
    <row r="56" spans="1:5" ht="14.25" customHeight="1">
      <c r="A56" s="463"/>
      <c r="B56" s="461"/>
      <c r="C56" s="461"/>
      <c r="D56" s="461"/>
      <c r="E56" s="462"/>
    </row>
    <row r="57" spans="1:5" ht="14.25" customHeight="1">
      <c r="A57" s="463"/>
      <c r="B57" s="461"/>
      <c r="C57" s="461"/>
      <c r="D57" s="461"/>
      <c r="E57" s="462"/>
    </row>
    <row r="58" spans="1:5" ht="14.25" customHeight="1">
      <c r="A58" s="463"/>
      <c r="B58" s="461"/>
      <c r="C58" s="461"/>
      <c r="D58" s="461"/>
      <c r="E58" s="462"/>
    </row>
    <row r="59" spans="1:5" ht="14.25" customHeight="1">
      <c r="A59" s="463"/>
      <c r="B59" s="461"/>
      <c r="C59" s="461"/>
      <c r="D59" s="461"/>
      <c r="E59" s="462"/>
    </row>
    <row r="60" spans="1:5" ht="14.25" customHeight="1">
      <c r="A60" s="463"/>
      <c r="B60" s="461"/>
      <c r="C60" s="461"/>
      <c r="D60" s="461"/>
      <c r="E60" s="462"/>
    </row>
    <row r="61" spans="1:5" ht="14.25" customHeight="1">
      <c r="A61" s="463"/>
      <c r="B61" s="461"/>
      <c r="C61" s="461"/>
      <c r="D61" s="461"/>
      <c r="E61" s="462"/>
    </row>
    <row r="62" spans="1:5" ht="14.25" customHeight="1">
      <c r="A62" s="463"/>
      <c r="B62" s="461"/>
      <c r="C62" s="461"/>
      <c r="D62" s="461"/>
      <c r="E62" s="462"/>
    </row>
    <row r="63" spans="1:5" ht="14.25" customHeight="1">
      <c r="A63" s="380"/>
      <c r="B63" s="381"/>
      <c r="C63" s="381"/>
      <c r="D63" s="381"/>
      <c r="E63" s="466"/>
    </row>
    <row r="64" spans="1:5" ht="14.25" customHeight="1">
      <c r="A64" s="528" t="s">
        <v>270</v>
      </c>
      <c r="B64" s="378"/>
      <c r="C64" s="378"/>
      <c r="D64" s="378"/>
      <c r="E64" s="465"/>
    </row>
    <row r="65" spans="1:5" ht="14.25" customHeight="1">
      <c r="A65" s="380"/>
      <c r="B65" s="381"/>
      <c r="C65" s="381"/>
      <c r="D65" s="381"/>
      <c r="E65" s="466"/>
    </row>
  </sheetData>
  <sheetProtection algorithmName="SHA-512" hashValue="CTSZSB205ZZmHb9ZnnnpGJ50IGxOTnYONdw7DLhNRVBpmgqELUNOoMKMVdL6GXT4DDlUR1gJTITncDeHUkS0WQ==" saltValue="AMwi0JkuFkTyNrrGMXmq6Q==" spinCount="100000" sheet="1" objects="1" scenarios="1"/>
  <mergeCells count="31">
    <mergeCell ref="A50:E63"/>
    <mergeCell ref="A64:E65"/>
    <mergeCell ref="A35:D35"/>
    <mergeCell ref="A36:E36"/>
    <mergeCell ref="B38:C38"/>
    <mergeCell ref="D38:E38"/>
    <mergeCell ref="B39:C39"/>
    <mergeCell ref="D39:E39"/>
    <mergeCell ref="A40:E41"/>
    <mergeCell ref="A42:E42"/>
    <mergeCell ref="A43:E48"/>
    <mergeCell ref="A49:E49"/>
    <mergeCell ref="A31:D31"/>
    <mergeCell ref="A32:E32"/>
    <mergeCell ref="A33:D33"/>
    <mergeCell ref="A34:E34"/>
    <mergeCell ref="A14:E14"/>
    <mergeCell ref="A22:D22"/>
    <mergeCell ref="A23:E23"/>
    <mergeCell ref="A27:D27"/>
    <mergeCell ref="A28:E28"/>
    <mergeCell ref="A7:C7"/>
    <mergeCell ref="A8:C8"/>
    <mergeCell ref="A9:E9"/>
    <mergeCell ref="A10:E10"/>
    <mergeCell ref="A13:D13"/>
    <mergeCell ref="A1:A3"/>
    <mergeCell ref="C1:E1"/>
    <mergeCell ref="C2:E2"/>
    <mergeCell ref="A4:B4"/>
    <mergeCell ref="B6:D6"/>
  </mergeCells>
  <pageMargins left="0.7" right="0.7" top="0.75" bottom="0.75" header="0" footer="0"/>
  <pageSetup orientation="landscape"/>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0">
    <tabColor rgb="FF92D050"/>
  </sheetPr>
  <dimension ref="A1:E70"/>
  <sheetViews>
    <sheetView zoomScale="90" zoomScaleNormal="90" workbookViewId="0">
      <selection activeCell="A4" sqref="A4:B4"/>
    </sheetView>
  </sheetViews>
  <sheetFormatPr baseColWidth="10" defaultColWidth="12.5" defaultRowHeight="15" customHeight="1"/>
  <cols>
    <col min="1" max="1" width="59.875" customWidth="1"/>
    <col min="2" max="2" width="25.875" customWidth="1"/>
    <col min="3" max="3" width="24.125" customWidth="1"/>
    <col min="4" max="4" width="15.125" customWidth="1"/>
    <col min="5" max="5" width="19.125" customWidth="1"/>
    <col min="6" max="26" width="10.5" customWidth="1"/>
  </cols>
  <sheetData>
    <row r="1" spans="1:5" ht="14.25" customHeight="1">
      <c r="A1" s="529" t="s">
        <v>196</v>
      </c>
      <c r="B1" s="129"/>
      <c r="C1" s="530"/>
      <c r="D1" s="337"/>
      <c r="E1" s="339"/>
    </row>
    <row r="2" spans="1:5" ht="14.25">
      <c r="A2" s="375"/>
      <c r="B2" s="129" t="s">
        <v>198</v>
      </c>
      <c r="C2" s="530">
        <v>1</v>
      </c>
      <c r="D2" s="337"/>
      <c r="E2" s="339"/>
    </row>
    <row r="3" spans="1:5" ht="14.25">
      <c r="A3" s="376"/>
      <c r="B3" s="129"/>
      <c r="C3" s="130"/>
      <c r="D3" s="130"/>
      <c r="E3" s="130"/>
    </row>
    <row r="4" spans="1:5" ht="14.25">
      <c r="A4" s="531" t="s">
        <v>201</v>
      </c>
      <c r="B4" s="339"/>
      <c r="C4" s="45">
        <v>2</v>
      </c>
      <c r="D4" s="45">
        <v>3</v>
      </c>
      <c r="E4" s="47">
        <v>2026</v>
      </c>
    </row>
    <row r="5" spans="1:5" ht="14.25">
      <c r="A5" s="131"/>
      <c r="B5" s="131"/>
      <c r="C5" s="130" t="s">
        <v>202</v>
      </c>
      <c r="D5" s="130" t="s">
        <v>203</v>
      </c>
      <c r="E5" s="130" t="s">
        <v>204</v>
      </c>
    </row>
    <row r="6" spans="1:5" ht="12" customHeight="1">
      <c r="A6" s="132" t="s">
        <v>205</v>
      </c>
      <c r="B6" s="532" t="s">
        <v>267</v>
      </c>
      <c r="C6" s="337"/>
      <c r="D6" s="339"/>
      <c r="E6" s="131"/>
    </row>
    <row r="7" spans="1:5" ht="14.25">
      <c r="A7" s="533" t="s">
        <v>268</v>
      </c>
      <c r="B7" s="337"/>
      <c r="C7" s="339"/>
      <c r="D7" s="133" t="s">
        <v>4</v>
      </c>
      <c r="E7" s="133" t="s">
        <v>5</v>
      </c>
    </row>
    <row r="8" spans="1:5" ht="24.75" customHeight="1">
      <c r="A8" s="427" t="str">
        <f>PRESUPUESTO!B48</f>
        <v>Suministro, transporte e instalación de kiosko de 16m2 en madera plástica, teja/cubierta de polipropileno, con perfiles de 9cm*3cm, 8cm*8cm, encierro en perfil de 2.5cm, piso en tabla de 2.2cm*12cm.</v>
      </c>
      <c r="B8" s="337"/>
      <c r="C8" s="339"/>
      <c r="D8" s="134" t="str">
        <f>PRESUPUESTO!C48</f>
        <v>Und</v>
      </c>
      <c r="E8" s="134">
        <v>1</v>
      </c>
    </row>
    <row r="9" spans="1:5" ht="14.25">
      <c r="A9" s="534"/>
      <c r="B9" s="337"/>
      <c r="C9" s="337"/>
      <c r="D9" s="337"/>
      <c r="E9" s="339"/>
    </row>
    <row r="10" spans="1:5" ht="14.25">
      <c r="A10" s="535" t="s">
        <v>208</v>
      </c>
      <c r="B10" s="337"/>
      <c r="C10" s="337"/>
      <c r="D10" s="337"/>
      <c r="E10" s="339"/>
    </row>
    <row r="11" spans="1:5" ht="14.25">
      <c r="A11" s="133" t="s">
        <v>3</v>
      </c>
      <c r="B11" s="133" t="s">
        <v>209</v>
      </c>
      <c r="C11" s="133" t="s">
        <v>210</v>
      </c>
      <c r="D11" s="133" t="s">
        <v>6</v>
      </c>
      <c r="E11" s="133" t="s">
        <v>7</v>
      </c>
    </row>
    <row r="12" spans="1:5" ht="14.25">
      <c r="A12" s="9" t="s">
        <v>272</v>
      </c>
      <c r="B12" s="10" t="s">
        <v>172</v>
      </c>
      <c r="C12" s="139">
        <v>0.1</v>
      </c>
      <c r="D12" s="135">
        <f>E29</f>
        <v>358096.28388339723</v>
      </c>
      <c r="E12" s="135">
        <f>C12*D12</f>
        <v>35809.628388339726</v>
      </c>
    </row>
    <row r="13" spans="1:5" ht="14.25">
      <c r="A13" s="9"/>
      <c r="B13" s="10"/>
      <c r="C13" s="140"/>
      <c r="D13" s="135"/>
      <c r="E13" s="135"/>
    </row>
    <row r="14" spans="1:5" ht="14.25">
      <c r="A14" s="536" t="s">
        <v>211</v>
      </c>
      <c r="B14" s="337"/>
      <c r="C14" s="337"/>
      <c r="D14" s="339"/>
      <c r="E14" s="136">
        <f>SUM(E12:E13)</f>
        <v>35809.628388339726</v>
      </c>
    </row>
    <row r="15" spans="1:5" ht="14.25">
      <c r="A15" s="535" t="s">
        <v>212</v>
      </c>
      <c r="B15" s="337"/>
      <c r="C15" s="337"/>
      <c r="D15" s="337"/>
      <c r="E15" s="339"/>
    </row>
    <row r="16" spans="1:5" ht="14.25">
      <c r="A16" s="133" t="s">
        <v>3</v>
      </c>
      <c r="B16" s="133" t="s">
        <v>4</v>
      </c>
      <c r="C16" s="133" t="s">
        <v>5</v>
      </c>
      <c r="D16" s="133" t="s">
        <v>6</v>
      </c>
      <c r="E16" s="133" t="s">
        <v>7</v>
      </c>
    </row>
    <row r="17" spans="1:5" ht="14.25">
      <c r="A17" s="9" t="s">
        <v>137</v>
      </c>
      <c r="B17" s="10" t="s">
        <v>72</v>
      </c>
      <c r="C17" s="10">
        <v>1</v>
      </c>
      <c r="D17" s="135">
        <f>INSUMOS!E70</f>
        <v>14351344</v>
      </c>
      <c r="E17" s="135">
        <f>C17*D17</f>
        <v>14351344</v>
      </c>
    </row>
    <row r="18" spans="1:5" ht="14.25">
      <c r="A18" s="9"/>
      <c r="B18" s="10"/>
      <c r="C18" s="10"/>
      <c r="D18" s="135"/>
      <c r="E18" s="135"/>
    </row>
    <row r="19" spans="1:5" ht="14.25">
      <c r="A19" s="536" t="s">
        <v>211</v>
      </c>
      <c r="B19" s="337"/>
      <c r="C19" s="337"/>
      <c r="D19" s="339"/>
      <c r="E19" s="136">
        <f>SUM(E17:E18)</f>
        <v>14351344</v>
      </c>
    </row>
    <row r="20" spans="1:5" ht="14.25">
      <c r="A20" s="535" t="s">
        <v>214</v>
      </c>
      <c r="B20" s="337"/>
      <c r="C20" s="337"/>
      <c r="D20" s="337"/>
      <c r="E20" s="339"/>
    </row>
    <row r="21" spans="1:5" ht="14.25">
      <c r="A21" s="133" t="s">
        <v>3</v>
      </c>
      <c r="B21" s="133" t="s">
        <v>4</v>
      </c>
      <c r="C21" s="133" t="s">
        <v>5</v>
      </c>
      <c r="D21" s="133" t="s">
        <v>6</v>
      </c>
      <c r="E21" s="133" t="s">
        <v>7</v>
      </c>
    </row>
    <row r="22" spans="1:5" ht="14.25">
      <c r="A22" s="9" t="s">
        <v>271</v>
      </c>
      <c r="B22" s="10" t="s">
        <v>172</v>
      </c>
      <c r="C22" s="142">
        <v>0.03</v>
      </c>
      <c r="D22" s="135">
        <f>E19</f>
        <v>14351344</v>
      </c>
      <c r="E22" s="135">
        <f>D22*C22</f>
        <v>430540.32</v>
      </c>
    </row>
    <row r="23" spans="1:5" ht="14.25">
      <c r="A23" s="9"/>
      <c r="B23" s="10"/>
      <c r="C23" s="10"/>
      <c r="D23" s="135"/>
      <c r="E23" s="135"/>
    </row>
    <row r="24" spans="1:5" ht="14.25">
      <c r="A24" s="536" t="s">
        <v>211</v>
      </c>
      <c r="B24" s="337"/>
      <c r="C24" s="337"/>
      <c r="D24" s="339"/>
      <c r="E24" s="136">
        <f>SUM(E22:E23)</f>
        <v>430540.32</v>
      </c>
    </row>
    <row r="25" spans="1:5" ht="14.25">
      <c r="A25" s="535" t="s">
        <v>216</v>
      </c>
      <c r="B25" s="337"/>
      <c r="C25" s="337"/>
      <c r="D25" s="337"/>
      <c r="E25" s="339"/>
    </row>
    <row r="26" spans="1:5" ht="14.25">
      <c r="A26" s="133" t="s">
        <v>3</v>
      </c>
      <c r="B26" s="133" t="s">
        <v>217</v>
      </c>
      <c r="C26" s="133" t="s">
        <v>5</v>
      </c>
      <c r="D26" s="133" t="s">
        <v>6</v>
      </c>
      <c r="E26" s="133" t="s">
        <v>7</v>
      </c>
    </row>
    <row r="27" spans="1:5" ht="14.25">
      <c r="A27" s="9" t="s">
        <v>150</v>
      </c>
      <c r="B27" s="10">
        <v>1</v>
      </c>
      <c r="C27" s="135">
        <v>1</v>
      </c>
      <c r="D27" s="135">
        <f>'FACTOR PRESTACIONAL (para obra)'!F36</f>
        <v>179048.14194169862</v>
      </c>
      <c r="E27" s="135">
        <f t="shared" ref="E27:E28" si="0">C27*(D27/B27)</f>
        <v>179048.14194169862</v>
      </c>
    </row>
    <row r="28" spans="1:5" ht="14.25">
      <c r="A28" s="9" t="s">
        <v>150</v>
      </c>
      <c r="B28" s="10">
        <v>1</v>
      </c>
      <c r="C28" s="135">
        <v>1</v>
      </c>
      <c r="D28" s="135">
        <f>'FACTOR PRESTACIONAL (para obra)'!F36</f>
        <v>179048.14194169862</v>
      </c>
      <c r="E28" s="135">
        <f t="shared" si="0"/>
        <v>179048.14194169862</v>
      </c>
    </row>
    <row r="29" spans="1:5" ht="14.25">
      <c r="A29" s="536" t="s">
        <v>211</v>
      </c>
      <c r="B29" s="337"/>
      <c r="C29" s="337"/>
      <c r="D29" s="339"/>
      <c r="E29" s="136">
        <f>SUM(E27:E28)</f>
        <v>358096.28388339723</v>
      </c>
    </row>
    <row r="30" spans="1:5" ht="14.25">
      <c r="A30" s="534"/>
      <c r="B30" s="337"/>
      <c r="C30" s="337"/>
      <c r="D30" s="337"/>
      <c r="E30" s="339"/>
    </row>
    <row r="31" spans="1:5" ht="14.25">
      <c r="A31" s="537" t="s">
        <v>220</v>
      </c>
      <c r="B31" s="337"/>
      <c r="C31" s="337"/>
      <c r="D31" s="339"/>
      <c r="E31" s="138">
        <f>ROUNDUP(E14+E19+E24+E29,0)</f>
        <v>15175791</v>
      </c>
    </row>
    <row r="32" spans="1:5" ht="14.25">
      <c r="A32" s="534"/>
      <c r="B32" s="337"/>
      <c r="C32" s="337"/>
      <c r="D32" s="337"/>
      <c r="E32" s="339"/>
    </row>
    <row r="33" spans="1:5" ht="14.25">
      <c r="A33" s="534"/>
      <c r="B33" s="337"/>
      <c r="C33" s="337"/>
      <c r="D33" s="337"/>
      <c r="E33" s="339"/>
    </row>
    <row r="34" spans="1:5" ht="14.25">
      <c r="A34" s="537" t="s">
        <v>377</v>
      </c>
      <c r="B34" s="337"/>
      <c r="C34" s="337"/>
      <c r="D34" s="338"/>
      <c r="E34" s="137">
        <f>ROUND(E31,0)</f>
        <v>15175791</v>
      </c>
    </row>
    <row r="35" spans="1:5" ht="14.25">
      <c r="A35" s="534"/>
      <c r="B35" s="337"/>
      <c r="C35" s="337"/>
      <c r="D35" s="337"/>
      <c r="E35" s="339"/>
    </row>
    <row r="36" spans="1:5" ht="14.25">
      <c r="A36" s="74" t="s">
        <v>222</v>
      </c>
      <c r="B36" s="75"/>
      <c r="C36" s="75"/>
      <c r="D36" s="74" t="s">
        <v>223</v>
      </c>
      <c r="E36" s="76"/>
    </row>
    <row r="37" spans="1:5" ht="14.25">
      <c r="A37" s="77" t="s">
        <v>258</v>
      </c>
      <c r="B37" s="434"/>
      <c r="C37" s="435"/>
      <c r="D37" s="436" t="s">
        <v>259</v>
      </c>
      <c r="E37" s="437"/>
    </row>
    <row r="38" spans="1:5" ht="25.5" customHeight="1">
      <c r="A38" s="100"/>
      <c r="B38" s="524"/>
      <c r="C38" s="525"/>
      <c r="D38" s="526" t="s">
        <v>260</v>
      </c>
      <c r="E38" s="482"/>
    </row>
    <row r="39" spans="1:5" ht="14.25" customHeight="1">
      <c r="A39" s="477" t="s">
        <v>227</v>
      </c>
      <c r="B39" s="378"/>
      <c r="C39" s="378"/>
      <c r="D39" s="378"/>
      <c r="E39" s="465"/>
    </row>
    <row r="40" spans="1:5" ht="14.25" customHeight="1">
      <c r="A40" s="380"/>
      <c r="B40" s="381"/>
      <c r="C40" s="381"/>
      <c r="D40" s="381"/>
      <c r="E40" s="466"/>
    </row>
    <row r="41" spans="1:5" ht="14.25" customHeight="1">
      <c r="A41" s="517" t="s">
        <v>273</v>
      </c>
      <c r="B41" s="461"/>
      <c r="C41" s="461"/>
      <c r="D41" s="461"/>
      <c r="E41" s="462"/>
    </row>
    <row r="42" spans="1:5" ht="14.25" customHeight="1">
      <c r="A42" s="463"/>
      <c r="B42" s="461"/>
      <c r="C42" s="461"/>
      <c r="D42" s="461"/>
      <c r="E42" s="462"/>
    </row>
    <row r="43" spans="1:5" ht="14.25" customHeight="1">
      <c r="A43" s="463"/>
      <c r="B43" s="461"/>
      <c r="C43" s="461"/>
      <c r="D43" s="461"/>
      <c r="E43" s="462"/>
    </row>
    <row r="44" spans="1:5" ht="14.25" customHeight="1">
      <c r="A44" s="463"/>
      <c r="B44" s="461"/>
      <c r="C44" s="461"/>
      <c r="D44" s="461"/>
      <c r="E44" s="462"/>
    </row>
    <row r="45" spans="1:5" ht="14.25" customHeight="1">
      <c r="A45" s="463"/>
      <c r="B45" s="461"/>
      <c r="C45" s="461"/>
      <c r="D45" s="461"/>
      <c r="E45" s="462"/>
    </row>
    <row r="46" spans="1:5" ht="30.75" customHeight="1">
      <c r="A46" s="463"/>
      <c r="B46" s="461"/>
      <c r="C46" s="461"/>
      <c r="D46" s="461"/>
      <c r="E46" s="462"/>
    </row>
    <row r="47" spans="1:5" ht="14.25" customHeight="1">
      <c r="A47" s="464" t="s">
        <v>274</v>
      </c>
      <c r="B47" s="378"/>
      <c r="C47" s="378"/>
      <c r="D47" s="378"/>
      <c r="E47" s="465"/>
    </row>
    <row r="48" spans="1:5" ht="14.25" customHeight="1">
      <c r="A48" s="463"/>
      <c r="B48" s="461"/>
      <c r="C48" s="461"/>
      <c r="D48" s="461"/>
      <c r="E48" s="462"/>
    </row>
    <row r="49" spans="1:5" ht="14.25" customHeight="1">
      <c r="A49" s="463"/>
      <c r="B49" s="461"/>
      <c r="C49" s="461"/>
      <c r="D49" s="461"/>
      <c r="E49" s="462"/>
    </row>
    <row r="50" spans="1:5" ht="14.25" customHeight="1">
      <c r="A50" s="463"/>
      <c r="B50" s="461"/>
      <c r="C50" s="461"/>
      <c r="D50" s="461"/>
      <c r="E50" s="462"/>
    </row>
    <row r="51" spans="1:5" ht="14.25" customHeight="1">
      <c r="A51" s="463"/>
      <c r="B51" s="461"/>
      <c r="C51" s="461"/>
      <c r="D51" s="461"/>
      <c r="E51" s="462"/>
    </row>
    <row r="52" spans="1:5" ht="14.25" customHeight="1">
      <c r="A52" s="463"/>
      <c r="B52" s="461"/>
      <c r="C52" s="461"/>
      <c r="D52" s="461"/>
      <c r="E52" s="462"/>
    </row>
    <row r="53" spans="1:5" ht="32.25" customHeight="1">
      <c r="A53" s="380"/>
      <c r="B53" s="381"/>
      <c r="C53" s="381"/>
      <c r="D53" s="381"/>
      <c r="E53" s="466"/>
    </row>
    <row r="54" spans="1:5" ht="9.75" customHeight="1">
      <c r="A54" s="528" t="s">
        <v>275</v>
      </c>
      <c r="B54" s="378"/>
      <c r="C54" s="378"/>
      <c r="D54" s="378"/>
      <c r="E54" s="465"/>
    </row>
    <row r="55" spans="1:5" ht="14.25" customHeight="1">
      <c r="A55" s="463"/>
      <c r="B55" s="461"/>
      <c r="C55" s="461"/>
      <c r="D55" s="461"/>
      <c r="E55" s="462"/>
    </row>
    <row r="56" spans="1:5" ht="14.25" customHeight="1">
      <c r="A56" s="538" t="s">
        <v>262</v>
      </c>
      <c r="B56" s="384"/>
      <c r="C56" s="384"/>
      <c r="D56" s="384"/>
      <c r="E56" s="387"/>
    </row>
    <row r="57" spans="1:5" ht="15" customHeight="1">
      <c r="A57" s="461"/>
      <c r="B57" s="461"/>
      <c r="C57" s="461"/>
      <c r="D57" s="461"/>
      <c r="E57" s="461"/>
    </row>
    <row r="58" spans="1:5" ht="15" customHeight="1">
      <c r="A58" s="461"/>
      <c r="B58" s="461"/>
      <c r="C58" s="461"/>
      <c r="D58" s="461"/>
      <c r="E58" s="461"/>
    </row>
    <row r="59" spans="1:5" ht="15" customHeight="1">
      <c r="A59" s="461"/>
      <c r="B59" s="461"/>
      <c r="C59" s="461"/>
      <c r="D59" s="461"/>
      <c r="E59" s="461"/>
    </row>
    <row r="60" spans="1:5" ht="15" customHeight="1">
      <c r="A60" s="461"/>
      <c r="B60" s="461"/>
      <c r="C60" s="461"/>
      <c r="D60" s="461"/>
      <c r="E60" s="461"/>
    </row>
    <row r="61" spans="1:5" ht="15" customHeight="1">
      <c r="A61" s="461"/>
      <c r="B61" s="461"/>
      <c r="C61" s="461"/>
      <c r="D61" s="461"/>
      <c r="E61" s="461"/>
    </row>
    <row r="62" spans="1:5" ht="15" customHeight="1">
      <c r="A62" s="461"/>
      <c r="B62" s="461"/>
      <c r="C62" s="461"/>
      <c r="D62" s="461"/>
      <c r="E62" s="461"/>
    </row>
    <row r="63" spans="1:5" ht="15" customHeight="1">
      <c r="A63" s="461"/>
      <c r="B63" s="461"/>
      <c r="C63" s="461"/>
      <c r="D63" s="461"/>
      <c r="E63" s="461"/>
    </row>
    <row r="64" spans="1:5" ht="15" customHeight="1">
      <c r="A64" s="461"/>
      <c r="B64" s="461"/>
      <c r="C64" s="461"/>
      <c r="D64" s="461"/>
      <c r="E64" s="461"/>
    </row>
    <row r="65" spans="1:5" ht="15" customHeight="1">
      <c r="A65" s="461"/>
      <c r="B65" s="461"/>
      <c r="C65" s="461"/>
      <c r="D65" s="461"/>
      <c r="E65" s="461"/>
    </row>
    <row r="66" spans="1:5" ht="15" customHeight="1">
      <c r="A66" s="461"/>
      <c r="B66" s="461"/>
      <c r="C66" s="461"/>
      <c r="D66" s="461"/>
      <c r="E66" s="461"/>
    </row>
    <row r="67" spans="1:5" ht="15" customHeight="1">
      <c r="A67" s="461"/>
      <c r="B67" s="461"/>
      <c r="C67" s="461"/>
      <c r="D67" s="461"/>
      <c r="E67" s="461"/>
    </row>
    <row r="68" spans="1:5" ht="15" customHeight="1">
      <c r="A68" s="461"/>
      <c r="B68" s="461"/>
      <c r="C68" s="461"/>
      <c r="D68" s="461"/>
      <c r="E68" s="461"/>
    </row>
    <row r="69" spans="1:5" ht="15" customHeight="1">
      <c r="A69" s="461"/>
      <c r="B69" s="461"/>
      <c r="C69" s="461"/>
      <c r="D69" s="461"/>
      <c r="E69" s="461"/>
    </row>
    <row r="70" spans="1:5" ht="15" customHeight="1">
      <c r="A70" s="461"/>
      <c r="B70" s="461"/>
      <c r="C70" s="461"/>
      <c r="D70" s="461"/>
      <c r="E70" s="461"/>
    </row>
  </sheetData>
  <sheetProtection algorithmName="SHA-512" hashValue="4p3KNxFJmvBPBTT+DHg1RF2OHx4vGMwywgegTVrW5I5E/hSV2DvUzXvPEeApeXlX/YKm8XHR3aXmQwjF0suFNQ==" saltValue="rCtrwnSHUdXnCWitBQ/11w==" spinCount="100000" sheet="1" objects="1" scenarios="1"/>
  <mergeCells count="32">
    <mergeCell ref="A56:E56"/>
    <mergeCell ref="A57:E70"/>
    <mergeCell ref="A33:E33"/>
    <mergeCell ref="A34:D34"/>
    <mergeCell ref="A35:E35"/>
    <mergeCell ref="B37:C37"/>
    <mergeCell ref="D37:E37"/>
    <mergeCell ref="B38:C38"/>
    <mergeCell ref="D38:E38"/>
    <mergeCell ref="A39:E40"/>
    <mergeCell ref="A41:E46"/>
    <mergeCell ref="A47:E53"/>
    <mergeCell ref="A54:E55"/>
    <mergeCell ref="A29:D29"/>
    <mergeCell ref="A30:E30"/>
    <mergeCell ref="A31:D31"/>
    <mergeCell ref="A32:E32"/>
    <mergeCell ref="A15:E15"/>
    <mergeCell ref="A19:D19"/>
    <mergeCell ref="A20:E20"/>
    <mergeCell ref="A24:D24"/>
    <mergeCell ref="A25:E25"/>
    <mergeCell ref="A7:C7"/>
    <mergeCell ref="A8:C8"/>
    <mergeCell ref="A9:E9"/>
    <mergeCell ref="A10:E10"/>
    <mergeCell ref="A14:D14"/>
    <mergeCell ref="A1:A3"/>
    <mergeCell ref="C1:E1"/>
    <mergeCell ref="C2:E2"/>
    <mergeCell ref="A4:B4"/>
    <mergeCell ref="B6:D6"/>
  </mergeCells>
  <pageMargins left="0.7" right="0.7" top="0.75" bottom="0.75" header="0" footer="0"/>
  <pageSetup orientation="landscape"/>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A71DB233-FB9E-4FA8-93A3-7009A76C19B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11</vt:i4>
      </vt:variant>
    </vt:vector>
  </HeadingPairs>
  <TitlesOfParts>
    <vt:vector size="25" baseType="lpstr">
      <vt:lpstr>PRESUPUESTO</vt:lpstr>
      <vt:lpstr>Administración y Utilidad </vt:lpstr>
      <vt:lpstr>INSUMOS</vt:lpstr>
      <vt:lpstr>Jornal</vt:lpstr>
      <vt:lpstr>FACTOR PRESTACIONAL (para obra)</vt:lpstr>
      <vt:lpstr>APORTE MUNICIPIO</vt:lpstr>
      <vt:lpstr>1.1 Taller socialización</vt:lpstr>
      <vt:lpstr>1.2 Taller de enfoque PRISER (F</vt:lpstr>
      <vt:lpstr>1.3 Taller temático</vt:lpstr>
      <vt:lpstr>1.4 Evento cierre</vt:lpstr>
      <vt:lpstr>2.2 Restauración pasiva</vt:lpstr>
      <vt:lpstr>5.5 Mesa hexagonal</vt:lpstr>
      <vt:lpstr>6.4 señalética madera plástica</vt:lpstr>
      <vt:lpstr>6.13 kiosco 16m2 madera plásti</vt:lpstr>
      <vt:lpstr>Abonaza</vt:lpstr>
      <vt:lpstr>Agua</vt:lpstr>
      <vt:lpstr>AlambreC13</vt:lpstr>
      <vt:lpstr>Cal</vt:lpstr>
      <vt:lpstr>ClavoComun25</vt:lpstr>
      <vt:lpstr>Costal</vt:lpstr>
      <vt:lpstr>Estacon</vt:lpstr>
      <vt:lpstr>Fibra</vt:lpstr>
      <vt:lpstr>Geotextil</vt:lpstr>
      <vt:lpstr>Guadua</vt:lpstr>
      <vt:lpstr>Semilla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Fernanda Gonzalez Arroyave</dc:creator>
  <cp:lastModifiedBy>Equipo</cp:lastModifiedBy>
  <dcterms:created xsi:type="dcterms:W3CDTF">2024-09-13T13:52:21Z</dcterms:created>
  <dcterms:modified xsi:type="dcterms:W3CDTF">2026-10-02T19:19:15Z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NXPowerLiteLastOptimized">
    <vt:lpwstr>1209464</vt:lpwstr>
  </property>
  <property fmtid="{D5CDD505-2E9C-101B-9397-08002B2CF9AE}" pid="3" name="NXPowerLiteSettings">
    <vt:lpwstr>C7000400038000</vt:lpwstr>
  </property>
  <property fmtid="{D5CDD505-2E9C-101B-9397-08002B2CF9AE}" pid="4" name="NXPowerLiteVersion">
    <vt:lpwstr>S10.3.1</vt:lpwstr>
  </property>
</Properties>
</file>