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etbcsj-my.sharepoint.com/personal/mzuletac_cendoj_ramajudicial_gov_co/Documents/Unplodd 1/Omega 3/Cartagena/Contratación/Contratación 2026/En trámite/Vigilancia 2026-2030/Carpeta de trabajo/"/>
    </mc:Choice>
  </mc:AlternateContent>
  <xr:revisionPtr revIDLastSave="0" documentId="8_{9CF7408E-2E75-486D-B331-006B34A71ECD}" xr6:coauthVersionLast="47" xr6:coauthVersionMax="47" xr10:uidLastSave="{00000000-0000-0000-0000-000000000000}"/>
  <bookViews>
    <workbookView xWindow="-120" yWindow="-120" windowWidth="29040" windowHeight="15720" xr2:uid="{BFBB221F-58DC-4162-B7AB-C5EBB907735D}"/>
  </bookViews>
  <sheets>
    <sheet name="ESTUDIO DE MERCADO" sheetId="1" r:id="rId1"/>
    <sheet name="ANEXO 6 OE" sheetId="2" r:id="rId2"/>
  </sheets>
  <externalReferences>
    <externalReference r:id="rId3"/>
    <externalReference r:id="rId4"/>
    <externalReference r:id="rId5"/>
    <externalReference r:id="rId6"/>
    <externalReference r:id="rId7"/>
  </externalReferences>
  <definedNames>
    <definedName name="_00">#N/A</definedName>
    <definedName name="_0000_03" localSheetId="1">[1]CAPROVIG!#REF!</definedName>
    <definedName name="_0000_03">[1]CAPROVIG!#REF!</definedName>
    <definedName name="_0000_08">#N/A</definedName>
    <definedName name="_1000_01">#N/A</definedName>
    <definedName name="_1130_02" localSheetId="1">[1]CAPROVIG!#REF!</definedName>
    <definedName name="_1130_02">[1]CAPROVIG!#REF!</definedName>
    <definedName name="_133_19" localSheetId="1">[1]CAPROVIG!#REF!</definedName>
    <definedName name="_133_19">[1]CAPROVIG!#REF!</definedName>
    <definedName name="_2110_02" localSheetId="1">[1]CAPROVIG!#REF!</definedName>
    <definedName name="_2110_02">[1]CAPROVIG!#REF!</definedName>
    <definedName name="_2110_06" localSheetId="1">[1]CAPROVIG!#REF!</definedName>
    <definedName name="_2110_06">[1]CAPROVIG!#REF!</definedName>
    <definedName name="_230_01">#N/A</definedName>
    <definedName name="_230_03">#N/A</definedName>
    <definedName name="_230_05">#N/A</definedName>
    <definedName name="_3000_08">[1]CAPROVIG!#REF!</definedName>
    <definedName name="_3000_19">[1]CAPROVIG!#REF!</definedName>
    <definedName name="_3110_11">[1]CAPROVIG!#REF!</definedName>
    <definedName name="_3130_02">[1]CAPROVIG!#REF!</definedName>
    <definedName name="_888_22">[1]CAPROVIG!#REF!</definedName>
    <definedName name="_888_29">[1]CAPROVIG!#REF!</definedName>
    <definedName name="_888_34">[1]CAPROVIG!#REF!</definedName>
    <definedName name="_888_35">[1]CAPROVIG!#REF!</definedName>
    <definedName name="_888_43">#N/A</definedName>
    <definedName name="_888_44">#N/A</definedName>
    <definedName name="_Key1" localSheetId="1" hidden="1">[1]CAPROVIG!#REF!</definedName>
    <definedName name="_Key1" hidden="1">[1]CAPROVIG!#REF!</definedName>
    <definedName name="_Key2" localSheetId="1" hidden="1">[1]CAPROVIG!#REF!</definedName>
    <definedName name="_Key2" hidden="1">[1]CAPROVIG!#REF!</definedName>
    <definedName name="_Order1" hidden="1">255</definedName>
    <definedName name="_Order2" hidden="1">255</definedName>
    <definedName name="_Toc134838815_7">#N/A</definedName>
    <definedName name="_Toc134838819_6">#N/A</definedName>
    <definedName name="_Toc134838824_7">#N/A</definedName>
    <definedName name="a">[1]CAPROVIG!#REF!</definedName>
    <definedName name="AFPs">[2]AFP!$D$2:$D$17</definedName>
    <definedName name="Confirmacion" localSheetId="1">#REF!</definedName>
    <definedName name="Confirmacion" localSheetId="0">#REF!</definedName>
    <definedName name="Confirmacion">[3]Listas!$E$2:$E$3</definedName>
    <definedName name="Daniel" localSheetId="1" hidden="1">[1]CAPROVIG!#REF!</definedName>
    <definedName name="Daniel" hidden="1">[1]CAPROVIG!#REF!</definedName>
    <definedName name="EPSs">[2]EPS!$E$2:$E$79</definedName>
    <definedName name="ExportarAExcel" localSheetId="1">#REF!</definedName>
    <definedName name="ExportarAExcel" localSheetId="0">#REF!</definedName>
    <definedName name="ExportarAExcel">#REF!</definedName>
    <definedName name="ggggggggggggggg" localSheetId="1">[1]CAPROVIG!#REF!</definedName>
    <definedName name="ggggggggggggggg">[1]CAPROVIG!#REF!</definedName>
    <definedName name="HUK">[1]CAPROVIG!#REF!</definedName>
    <definedName name="MN">[1]CAPROVIG!#REF!</definedName>
    <definedName name="sexo">[2]OTROS!$E$6:$E$7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J19" i="2" l="1"/>
  <c r="J25" i="2" s="1"/>
  <c r="J20" i="2"/>
  <c r="J22" i="2"/>
  <c r="K22" i="2"/>
  <c r="J23" i="2"/>
  <c r="J24" i="2"/>
  <c r="J26" i="2"/>
  <c r="H27" i="2"/>
  <c r="G27" i="2"/>
  <c r="F27" i="2"/>
  <c r="E27" i="2"/>
  <c r="B23" i="2"/>
  <c r="D22" i="2"/>
  <c r="D27" i="2" s="1"/>
  <c r="B22" i="2"/>
  <c r="AT21" i="2"/>
  <c r="AS21" i="2"/>
  <c r="AQ21" i="2"/>
  <c r="AP21" i="2"/>
  <c r="AO21" i="2"/>
  <c r="AN21" i="2"/>
  <c r="AM21" i="2"/>
  <c r="AU21" i="2" s="1"/>
  <c r="C69" i="1"/>
  <c r="G55" i="1"/>
  <c r="G44" i="1"/>
  <c r="G33" i="1"/>
  <c r="M22" i="1"/>
  <c r="E22" i="1"/>
  <c r="A21" i="1"/>
  <c r="A32" i="1" s="1"/>
  <c r="A43" i="1" s="1"/>
  <c r="A54" i="1" s="1"/>
  <c r="A20" i="1"/>
  <c r="A31" i="1" s="1"/>
  <c r="A42" i="1" s="1"/>
  <c r="A53" i="1" s="1"/>
  <c r="A19" i="1"/>
  <c r="A30" i="1" s="1"/>
  <c r="A41" i="1" s="1"/>
  <c r="A52" i="1" s="1"/>
  <c r="A18" i="1"/>
  <c r="A29" i="1" s="1"/>
  <c r="A40" i="1" s="1"/>
  <c r="A51" i="1" s="1"/>
  <c r="A17" i="1"/>
  <c r="A28" i="1" s="1"/>
  <c r="A39" i="1" s="1"/>
  <c r="A50" i="1" s="1"/>
  <c r="A16" i="1"/>
  <c r="A27" i="1" s="1"/>
  <c r="A38" i="1" s="1"/>
  <c r="A49" i="1" s="1"/>
  <c r="A15" i="1"/>
  <c r="A26" i="1" s="1"/>
  <c r="A37" i="1" s="1"/>
  <c r="A48" i="1" s="1"/>
  <c r="Q11" i="1"/>
  <c r="K11" i="1"/>
  <c r="E11" i="1"/>
  <c r="D11" i="1"/>
  <c r="W10" i="1"/>
  <c r="K26" i="2" s="1"/>
  <c r="F10" i="1"/>
  <c r="G10" i="1" s="1"/>
  <c r="W9" i="1"/>
  <c r="G9" i="1"/>
  <c r="I9" i="1" s="1"/>
  <c r="F9" i="1"/>
  <c r="W8" i="1"/>
  <c r="F8" i="1"/>
  <c r="G8" i="1" s="1"/>
  <c r="W7" i="1"/>
  <c r="K19" i="2" s="1"/>
  <c r="K24" i="2" s="1"/>
  <c r="K25" i="2" s="1"/>
  <c r="F7" i="1"/>
  <c r="G7" i="1" s="1"/>
  <c r="W6" i="1"/>
  <c r="K20" i="2" s="1"/>
  <c r="F6" i="1"/>
  <c r="G6" i="1" s="1"/>
  <c r="W5" i="1"/>
  <c r="K23" i="2" s="1"/>
  <c r="G5" i="1"/>
  <c r="F5" i="1"/>
  <c r="W4" i="1"/>
  <c r="F4" i="1"/>
  <c r="G4" i="1" s="1"/>
  <c r="H4" i="1" s="1"/>
  <c r="L23" i="2" l="1"/>
  <c r="L22" i="2"/>
  <c r="L20" i="2"/>
  <c r="M26" i="2"/>
  <c r="H10" i="1"/>
  <c r="I10" i="1" s="1"/>
  <c r="I4" i="1"/>
  <c r="M20" i="2"/>
  <c r="P20" i="2" s="1"/>
  <c r="G11" i="1"/>
  <c r="I8" i="1"/>
  <c r="M23" i="2"/>
  <c r="N23" i="2" s="1"/>
  <c r="O23" i="2" s="1"/>
  <c r="M22" i="2"/>
  <c r="N22" i="2" s="1"/>
  <c r="O22" i="2" s="1"/>
  <c r="I6" i="1"/>
  <c r="M24" i="2"/>
  <c r="L19" i="2"/>
  <c r="W11" i="1"/>
  <c r="H7" i="1"/>
  <c r="I7" i="1" s="1"/>
  <c r="M25" i="2"/>
  <c r="L25" i="2"/>
  <c r="AV21" i="2"/>
  <c r="L26" i="2"/>
  <c r="H8" i="1"/>
  <c r="F11" i="1"/>
  <c r="H5" i="1"/>
  <c r="I5" i="1" s="1"/>
  <c r="L24" i="2"/>
  <c r="P23" i="2" l="1"/>
  <c r="V23" i="2" s="1"/>
  <c r="AQ23" i="2" s="1"/>
  <c r="Q23" i="2"/>
  <c r="N26" i="2"/>
  <c r="O26" i="2" s="1"/>
  <c r="P26" i="2" s="1"/>
  <c r="H11" i="1"/>
  <c r="I11" i="1"/>
  <c r="N25" i="2"/>
  <c r="O25" i="2" s="1"/>
  <c r="P25" i="2" s="1"/>
  <c r="M19" i="2"/>
  <c r="P19" i="2" s="1"/>
  <c r="V20" i="2"/>
  <c r="AQ20" i="2" s="1"/>
  <c r="Q20" i="2"/>
  <c r="P22" i="2"/>
  <c r="N24" i="2"/>
  <c r="O24" i="2" s="1"/>
  <c r="P24" i="2" s="1"/>
  <c r="V25" i="2" l="1"/>
  <c r="AQ25" i="2" s="1"/>
  <c r="Q25" i="2"/>
  <c r="V26" i="2"/>
  <c r="AQ26" i="2" s="1"/>
  <c r="Q26" i="2"/>
  <c r="P27" i="2"/>
  <c r="V19" i="2"/>
  <c r="Q19" i="2"/>
  <c r="V22" i="2"/>
  <c r="AQ22" i="2" s="1"/>
  <c r="Q22" i="2"/>
  <c r="Y20" i="2"/>
  <c r="X20" i="2"/>
  <c r="W20" i="2"/>
  <c r="Z20" i="2"/>
  <c r="R20" i="2"/>
  <c r="R23" i="2"/>
  <c r="Y23" i="2"/>
  <c r="Z23" i="2"/>
  <c r="X23" i="2"/>
  <c r="W23" i="2"/>
  <c r="Q24" i="2"/>
  <c r="V24" i="2"/>
  <c r="AQ24" i="2" s="1"/>
  <c r="Z19" i="2" l="1"/>
  <c r="Y19" i="2"/>
  <c r="X19" i="2"/>
  <c r="Q27" i="2"/>
  <c r="W19" i="2"/>
  <c r="R19" i="2"/>
  <c r="S23" i="2"/>
  <c r="AB23" i="2"/>
  <c r="AA23" i="2"/>
  <c r="AR23" i="2" s="1"/>
  <c r="X22" i="2"/>
  <c r="W22" i="2"/>
  <c r="R22" i="2"/>
  <c r="Z22" i="2"/>
  <c r="Y22" i="2"/>
  <c r="W26" i="2"/>
  <c r="R26" i="2"/>
  <c r="X26" i="2"/>
  <c r="Y26" i="2"/>
  <c r="Z26" i="2"/>
  <c r="AQ19" i="2"/>
  <c r="AQ27" i="2" s="1"/>
  <c r="V27" i="2"/>
  <c r="S20" i="2"/>
  <c r="AB20" i="2"/>
  <c r="AA20" i="2"/>
  <c r="AR20" i="2" s="1"/>
  <c r="Z25" i="2"/>
  <c r="Y25" i="2"/>
  <c r="X25" i="2"/>
  <c r="W25" i="2"/>
  <c r="R25" i="2"/>
  <c r="Z24" i="2"/>
  <c r="Y24" i="2"/>
  <c r="X24" i="2"/>
  <c r="W24" i="2"/>
  <c r="R24" i="2"/>
  <c r="S22" i="2" l="1"/>
  <c r="AB22" i="2"/>
  <c r="AA22" i="2"/>
  <c r="R27" i="2"/>
  <c r="AB19" i="2"/>
  <c r="S19" i="2"/>
  <c r="AA19" i="2"/>
  <c r="W27" i="2"/>
  <c r="X27" i="2"/>
  <c r="Y27" i="2"/>
  <c r="S26" i="2"/>
  <c r="AB26" i="2"/>
  <c r="AA26" i="2"/>
  <c r="AR26" i="2" s="1"/>
  <c r="AB24" i="2"/>
  <c r="AA24" i="2"/>
  <c r="S24" i="2"/>
  <c r="Z27" i="2"/>
  <c r="AE20" i="2"/>
  <c r="AG20" i="2"/>
  <c r="AF20" i="2"/>
  <c r="T20" i="2"/>
  <c r="AD20" i="2"/>
  <c r="AC20" i="2"/>
  <c r="S25" i="2"/>
  <c r="AB25" i="2"/>
  <c r="AA25" i="2"/>
  <c r="AR25" i="2" s="1"/>
  <c r="AF23" i="2"/>
  <c r="T23" i="2"/>
  <c r="AE23" i="2"/>
  <c r="AD23" i="2"/>
  <c r="AC23" i="2"/>
  <c r="AG23" i="2"/>
  <c r="AS23" i="2" l="1"/>
  <c r="AR24" i="2"/>
  <c r="AR22" i="2"/>
  <c r="AK20" i="2"/>
  <c r="AJ20" i="2"/>
  <c r="AI20" i="2"/>
  <c r="AH20" i="2"/>
  <c r="U20" i="2"/>
  <c r="AL20" i="2"/>
  <c r="AA27" i="2"/>
  <c r="S27" i="2"/>
  <c r="AF19" i="2"/>
  <c r="T19" i="2"/>
  <c r="AG19" i="2"/>
  <c r="AE19" i="2"/>
  <c r="AD19" i="2"/>
  <c r="AC19" i="2"/>
  <c r="AK23" i="2"/>
  <c r="AL23" i="2"/>
  <c r="AI23" i="2"/>
  <c r="AH23" i="2"/>
  <c r="U23" i="2"/>
  <c r="AJ23" i="2"/>
  <c r="AB27" i="2"/>
  <c r="AC24" i="2"/>
  <c r="AE24" i="2"/>
  <c r="AD24" i="2"/>
  <c r="T24" i="2"/>
  <c r="AF24" i="2"/>
  <c r="AG24" i="2"/>
  <c r="AR19" i="2"/>
  <c r="AG22" i="2"/>
  <c r="AF22" i="2"/>
  <c r="T22" i="2"/>
  <c r="AE22" i="2"/>
  <c r="AD22" i="2"/>
  <c r="AC22" i="2"/>
  <c r="AG26" i="2"/>
  <c r="AF26" i="2"/>
  <c r="T26" i="2"/>
  <c r="AE26" i="2"/>
  <c r="AD26" i="2"/>
  <c r="AC26" i="2"/>
  <c r="AG25" i="2"/>
  <c r="AF25" i="2"/>
  <c r="T25" i="2"/>
  <c r="AE25" i="2"/>
  <c r="AC25" i="2"/>
  <c r="AS25" i="2" s="1"/>
  <c r="AD25" i="2"/>
  <c r="AS20" i="2"/>
  <c r="AT23" i="2" l="1"/>
  <c r="AS22" i="2"/>
  <c r="AL24" i="2"/>
  <c r="AK24" i="2"/>
  <c r="AJ24" i="2"/>
  <c r="AI24" i="2"/>
  <c r="AH24" i="2"/>
  <c r="U24" i="2"/>
  <c r="AM20" i="2"/>
  <c r="AP20" i="2"/>
  <c r="AN20" i="2"/>
  <c r="AO20" i="2"/>
  <c r="AC27" i="2"/>
  <c r="AS19" i="2"/>
  <c r="AT20" i="2"/>
  <c r="AJ22" i="2"/>
  <c r="AI22" i="2"/>
  <c r="AH22" i="2"/>
  <c r="U22" i="2"/>
  <c r="AL22" i="2"/>
  <c r="AK22" i="2"/>
  <c r="AD27" i="2"/>
  <c r="AS24" i="2"/>
  <c r="AG27" i="2"/>
  <c r="AS26" i="2"/>
  <c r="AR27" i="2"/>
  <c r="T27" i="2"/>
  <c r="AL19" i="2"/>
  <c r="AK19" i="2"/>
  <c r="AJ19" i="2"/>
  <c r="AI19" i="2"/>
  <c r="AH19" i="2"/>
  <c r="U19" i="2"/>
  <c r="AE27" i="2"/>
  <c r="AF27" i="2"/>
  <c r="AL25" i="2"/>
  <c r="AK25" i="2"/>
  <c r="AJ25" i="2"/>
  <c r="AI25" i="2"/>
  <c r="AH25" i="2"/>
  <c r="U25" i="2"/>
  <c r="AI26" i="2"/>
  <c r="AH26" i="2"/>
  <c r="U26" i="2"/>
  <c r="AL26" i="2"/>
  <c r="AK26" i="2"/>
  <c r="AJ26" i="2"/>
  <c r="AP23" i="2"/>
  <c r="AO23" i="2"/>
  <c r="AN23" i="2"/>
  <c r="AM23" i="2"/>
  <c r="AI27" i="2" l="1"/>
  <c r="AU20" i="2"/>
  <c r="AV20" i="2" s="1"/>
  <c r="AT26" i="2"/>
  <c r="AO24" i="2"/>
  <c r="AN24" i="2"/>
  <c r="AM24" i="2"/>
  <c r="AP24" i="2"/>
  <c r="AP26" i="2"/>
  <c r="AO26" i="2"/>
  <c r="AN26" i="2"/>
  <c r="AM26" i="2"/>
  <c r="AT22" i="2"/>
  <c r="AU23" i="2"/>
  <c r="AV23" i="2" s="1"/>
  <c r="AT24" i="2"/>
  <c r="AO22" i="2"/>
  <c r="AP22" i="2"/>
  <c r="AM22" i="2"/>
  <c r="AN22" i="2"/>
  <c r="U27" i="2"/>
  <c r="AP19" i="2"/>
  <c r="AO19" i="2"/>
  <c r="AN19" i="2"/>
  <c r="AM19" i="2"/>
  <c r="AT19" i="2"/>
  <c r="AH27" i="2"/>
  <c r="AJ27" i="2"/>
  <c r="AP25" i="2"/>
  <c r="AO25" i="2"/>
  <c r="AN25" i="2"/>
  <c r="AM25" i="2"/>
  <c r="AK27" i="2"/>
  <c r="AS27" i="2"/>
  <c r="AT25" i="2"/>
  <c r="AL27" i="2"/>
  <c r="AU26" i="2" l="1"/>
  <c r="AV26" i="2" s="1"/>
  <c r="AO27" i="2"/>
  <c r="AN27" i="2"/>
  <c r="AP27" i="2"/>
  <c r="AT27" i="2"/>
  <c r="AV25" i="2"/>
  <c r="AU24" i="2"/>
  <c r="AV24" i="2" s="1"/>
  <c r="AU22" i="2"/>
  <c r="AV22" i="2" s="1"/>
  <c r="AU19" i="2"/>
  <c r="AV19" i="2" s="1"/>
  <c r="AM27" i="2"/>
  <c r="AU25" i="2"/>
  <c r="AU27" i="2" l="1"/>
  <c r="AV27" i="2"/>
  <c r="H37" i="1" l="1"/>
  <c r="H48" i="1"/>
  <c r="J37" i="1"/>
  <c r="K26" i="1"/>
  <c r="S37" i="1"/>
  <c r="H26" i="1" l="1"/>
  <c r="H49" i="1"/>
  <c r="S27" i="1"/>
  <c r="H38" i="1" l="1"/>
  <c r="S26" i="1"/>
  <c r="K48" i="1"/>
  <c r="L21" i="1"/>
  <c r="Y15" i="1" l="1"/>
  <c r="J38" i="1"/>
  <c r="Y21" i="1"/>
  <c r="T21" i="1"/>
  <c r="U21" i="1" s="1"/>
  <c r="V21" i="1" s="1"/>
  <c r="W21" i="1" s="1"/>
  <c r="X21" i="1" s="1"/>
  <c r="F32" i="1"/>
  <c r="K27" i="1"/>
  <c r="N17" i="1"/>
  <c r="P16" i="1" l="1"/>
  <c r="P21" i="1"/>
  <c r="I32" i="1"/>
  <c r="J32" i="1" s="1"/>
  <c r="L32" i="1" s="1"/>
  <c r="M32" i="1" s="1"/>
  <c r="N32" i="1" s="1"/>
  <c r="O32" i="1" s="1"/>
  <c r="P32" i="1" s="1"/>
  <c r="Q32" i="1" s="1"/>
  <c r="R32" i="1" s="1"/>
  <c r="S32" i="1"/>
  <c r="K32" i="1"/>
  <c r="H32" i="1"/>
  <c r="T32" i="1" s="1"/>
  <c r="F43" i="1"/>
  <c r="F17" i="1"/>
  <c r="G17" i="1" s="1"/>
  <c r="H27" i="1"/>
  <c r="S38" i="1"/>
  <c r="L19" i="1"/>
  <c r="N16" i="1"/>
  <c r="L16" i="1"/>
  <c r="L17" i="1"/>
  <c r="F21" i="1"/>
  <c r="G21" i="1" s="1"/>
  <c r="P17" i="1" l="1"/>
  <c r="J9" i="1"/>
  <c r="J4" i="1"/>
  <c r="T17" i="1"/>
  <c r="U17" i="1" s="1"/>
  <c r="V17" i="1" s="1"/>
  <c r="W17" i="1" s="1"/>
  <c r="X17" i="1" s="1"/>
  <c r="F28" i="1"/>
  <c r="Y17" i="1"/>
  <c r="F54" i="1"/>
  <c r="J43" i="1"/>
  <c r="I43" i="1"/>
  <c r="K43" i="1" s="1"/>
  <c r="L43" i="1" s="1"/>
  <c r="M43" i="1" s="1"/>
  <c r="N43" i="1" s="1"/>
  <c r="O43" i="1" s="1"/>
  <c r="P43" i="1" s="1"/>
  <c r="Q43" i="1" s="1"/>
  <c r="R43" i="1" s="1"/>
  <c r="S43" i="1" s="1"/>
  <c r="H43" i="1"/>
  <c r="T43" i="1" s="1"/>
  <c r="J6" i="1"/>
  <c r="J10" i="1"/>
  <c r="T16" i="1"/>
  <c r="U16" i="1" s="1"/>
  <c r="V16" i="1" s="1"/>
  <c r="W16" i="1" s="1"/>
  <c r="X16" i="1" s="1"/>
  <c r="F27" i="1"/>
  <c r="J7" i="1"/>
  <c r="J5" i="1"/>
  <c r="K49" i="1"/>
  <c r="F30" i="1"/>
  <c r="Y19" i="1"/>
  <c r="T19" i="1"/>
  <c r="U19" i="1" s="1"/>
  <c r="V19" i="1" s="1"/>
  <c r="W19" i="1" s="1"/>
  <c r="X19" i="1" s="1"/>
  <c r="F20" i="1"/>
  <c r="G20" i="1" s="1"/>
  <c r="F19" i="1"/>
  <c r="G19" i="1" s="1"/>
  <c r="P10" i="1" l="1"/>
  <c r="R10" i="1" s="1"/>
  <c r="L10" i="1"/>
  <c r="M10" i="1" s="1"/>
  <c r="N10" i="1" s="1"/>
  <c r="O10" i="1" s="1"/>
  <c r="L4" i="1"/>
  <c r="P4" i="1"/>
  <c r="V4" i="1"/>
  <c r="P9" i="1"/>
  <c r="R9" i="1" s="1"/>
  <c r="S9" i="1" s="1"/>
  <c r="U9" i="1" s="1"/>
  <c r="L9" i="1"/>
  <c r="V9" i="1"/>
  <c r="X9" i="1" s="1"/>
  <c r="P6" i="1"/>
  <c r="R6" i="1" s="1"/>
  <c r="S6" i="1" s="1"/>
  <c r="U6" i="1" s="1"/>
  <c r="V6" i="1"/>
  <c r="X6" i="1" s="1"/>
  <c r="Y6" i="1" s="1"/>
  <c r="AA6" i="1" s="1"/>
  <c r="D17" i="1" s="1"/>
  <c r="K17" i="1" s="1"/>
  <c r="O17" i="1" s="1"/>
  <c r="L6" i="1"/>
  <c r="F18" i="1"/>
  <c r="G18" i="1" s="1"/>
  <c r="P5" i="1"/>
  <c r="R5" i="1" s="1"/>
  <c r="S5" i="1" s="1"/>
  <c r="T5" i="1" s="1"/>
  <c r="U5" i="1" s="1"/>
  <c r="L5" i="1"/>
  <c r="J8" i="1"/>
  <c r="F16" i="1"/>
  <c r="G16" i="1" s="1"/>
  <c r="P7" i="1"/>
  <c r="R7" i="1" s="1"/>
  <c r="L7" i="1"/>
  <c r="I54" i="1"/>
  <c r="J54" i="1" s="1"/>
  <c r="H54" i="1"/>
  <c r="S30" i="1"/>
  <c r="K30" i="1"/>
  <c r="I30" i="1"/>
  <c r="J30" i="1" s="1"/>
  <c r="L30" i="1" s="1"/>
  <c r="M30" i="1" s="1"/>
  <c r="N30" i="1" s="1"/>
  <c r="O30" i="1" s="1"/>
  <c r="P30" i="1" s="1"/>
  <c r="Q30" i="1" s="1"/>
  <c r="R30" i="1" s="1"/>
  <c r="H30" i="1"/>
  <c r="T30" i="1" s="1"/>
  <c r="F41" i="1"/>
  <c r="N15" i="1"/>
  <c r="L15" i="1"/>
  <c r="F38" i="1"/>
  <c r="I27" i="1"/>
  <c r="S28" i="1"/>
  <c r="H28" i="1"/>
  <c r="I28" i="1"/>
  <c r="J28" i="1" s="1"/>
  <c r="L28" i="1" s="1"/>
  <c r="M28" i="1" s="1"/>
  <c r="N28" i="1" s="1"/>
  <c r="O28" i="1" s="1"/>
  <c r="P28" i="1" s="1"/>
  <c r="Q28" i="1" s="1"/>
  <c r="R28" i="1" s="1"/>
  <c r="K28" i="1"/>
  <c r="F39" i="1"/>
  <c r="P15" i="1"/>
  <c r="P8" i="1" l="1"/>
  <c r="R8" i="1" s="1"/>
  <c r="L8" i="1"/>
  <c r="V8" i="1"/>
  <c r="X8" i="1" s="1"/>
  <c r="M9" i="1"/>
  <c r="O9" i="1"/>
  <c r="T28" i="1"/>
  <c r="M5" i="1"/>
  <c r="N5" i="1" s="1"/>
  <c r="O5" i="1" s="1"/>
  <c r="J11" i="1"/>
  <c r="Y9" i="1"/>
  <c r="AA9" i="1" s="1"/>
  <c r="D20" i="1" s="1"/>
  <c r="K20" i="1" s="1"/>
  <c r="J27" i="1"/>
  <c r="L27" i="1" s="1"/>
  <c r="M27" i="1" s="1"/>
  <c r="N27" i="1" s="1"/>
  <c r="O27" i="1" s="1"/>
  <c r="P27" i="1" s="1"/>
  <c r="Q27" i="1" s="1"/>
  <c r="R27" i="1" s="1"/>
  <c r="T27" i="1"/>
  <c r="K54" i="1"/>
  <c r="L54" i="1"/>
  <c r="M54" i="1" s="1"/>
  <c r="N54" i="1" s="1"/>
  <c r="V5" i="1"/>
  <c r="X5" i="1" s="1"/>
  <c r="X4" i="1"/>
  <c r="V11" i="1"/>
  <c r="P19" i="1"/>
  <c r="I38" i="1"/>
  <c r="F49" i="1"/>
  <c r="I49" i="1" s="1"/>
  <c r="V7" i="1"/>
  <c r="X7" i="1" s="1"/>
  <c r="P11" i="1"/>
  <c r="R4" i="1"/>
  <c r="T15" i="1"/>
  <c r="F26" i="1"/>
  <c r="M7" i="1"/>
  <c r="N7" i="1"/>
  <c r="O7" i="1" s="1"/>
  <c r="M4" i="1"/>
  <c r="N4" i="1" s="1"/>
  <c r="O4" i="1" s="1"/>
  <c r="Y16" i="1"/>
  <c r="S7" i="1"/>
  <c r="T7" i="1" s="1"/>
  <c r="U7" i="1" s="1"/>
  <c r="L11" i="1"/>
  <c r="O6" i="1"/>
  <c r="M6" i="1"/>
  <c r="V10" i="1"/>
  <c r="X10" i="1" s="1"/>
  <c r="F50" i="1"/>
  <c r="J39" i="1"/>
  <c r="I39" i="1"/>
  <c r="K39" i="1" s="1"/>
  <c r="L39" i="1" s="1"/>
  <c r="M39" i="1" s="1"/>
  <c r="N39" i="1" s="1"/>
  <c r="O39" i="1" s="1"/>
  <c r="P39" i="1" s="1"/>
  <c r="Q39" i="1" s="1"/>
  <c r="R39" i="1" s="1"/>
  <c r="S39" i="1" s="1"/>
  <c r="H39" i="1"/>
  <c r="F15" i="1"/>
  <c r="Q17" i="1"/>
  <c r="R17" i="1" s="1"/>
  <c r="S17" i="1" s="1"/>
  <c r="S10" i="1"/>
  <c r="T10" i="1" s="1"/>
  <c r="U10" i="1" s="1"/>
  <c r="I41" i="1"/>
  <c r="K41" i="1" s="1"/>
  <c r="L41" i="1" s="1"/>
  <c r="M41" i="1" s="1"/>
  <c r="N41" i="1" s="1"/>
  <c r="O41" i="1" s="1"/>
  <c r="P41" i="1" s="1"/>
  <c r="Q41" i="1" s="1"/>
  <c r="R41" i="1" s="1"/>
  <c r="S41" i="1" s="1"/>
  <c r="F52" i="1"/>
  <c r="J41" i="1"/>
  <c r="H41" i="1"/>
  <c r="L18" i="1"/>
  <c r="P18" i="1"/>
  <c r="N20" i="1" l="1"/>
  <c r="O20" i="1"/>
  <c r="Q20" i="1" s="1"/>
  <c r="R20" i="1" s="1"/>
  <c r="S20" i="1" s="1"/>
  <c r="Y18" i="1"/>
  <c r="F29" i="1"/>
  <c r="T18" i="1"/>
  <c r="U18" i="1" s="1"/>
  <c r="V18" i="1" s="1"/>
  <c r="W18" i="1" s="1"/>
  <c r="X18" i="1" s="1"/>
  <c r="Y10" i="1"/>
  <c r="Z10" i="1"/>
  <c r="AA10" i="1"/>
  <c r="D21" i="1" s="1"/>
  <c r="K21" i="1" s="1"/>
  <c r="Z17" i="1"/>
  <c r="Y4" i="1"/>
  <c r="Z4" i="1" s="1"/>
  <c r="Z11" i="1" s="1"/>
  <c r="X11" i="1"/>
  <c r="N18" i="1"/>
  <c r="I26" i="1"/>
  <c r="F37" i="1"/>
  <c r="Y5" i="1"/>
  <c r="Z5" i="1"/>
  <c r="AA5" i="1" s="1"/>
  <c r="D16" i="1" s="1"/>
  <c r="K16" i="1" s="1"/>
  <c r="O16" i="1" s="1"/>
  <c r="K38" i="1"/>
  <c r="L38" i="1" s="1"/>
  <c r="M38" i="1" s="1"/>
  <c r="N38" i="1" s="1"/>
  <c r="O38" i="1" s="1"/>
  <c r="P38" i="1" s="1"/>
  <c r="Q38" i="1" s="1"/>
  <c r="R38" i="1" s="1"/>
  <c r="U15" i="1"/>
  <c r="P20" i="1"/>
  <c r="P22" i="1" s="1"/>
  <c r="G15" i="1"/>
  <c r="G22" i="1" s="1"/>
  <c r="B64" i="1" s="1"/>
  <c r="F22" i="1"/>
  <c r="L22" i="1"/>
  <c r="O54" i="1"/>
  <c r="S4" i="1"/>
  <c r="S11" i="1" s="1"/>
  <c r="R11" i="1"/>
  <c r="T39" i="1"/>
  <c r="Y8" i="1"/>
  <c r="Z8" i="1" s="1"/>
  <c r="AA8" i="1" s="1"/>
  <c r="D19" i="1" s="1"/>
  <c r="K19" i="1" s="1"/>
  <c r="T41" i="1"/>
  <c r="Y7" i="1"/>
  <c r="Z7" i="1" s="1"/>
  <c r="AA7" i="1" s="1"/>
  <c r="D18" i="1" s="1"/>
  <c r="K18" i="1" s="1"/>
  <c r="O18" i="1" s="1"/>
  <c r="Q18" i="1" s="1"/>
  <c r="R18" i="1" s="1"/>
  <c r="S18" i="1" s="1"/>
  <c r="M8" i="1"/>
  <c r="N8" i="1" s="1"/>
  <c r="N11" i="1" s="1"/>
  <c r="I52" i="1"/>
  <c r="J52" i="1" s="1"/>
  <c r="H52" i="1"/>
  <c r="H50" i="1"/>
  <c r="I50" i="1"/>
  <c r="J50" i="1" s="1"/>
  <c r="J49" i="1"/>
  <c r="L49" i="1" s="1"/>
  <c r="M49" i="1" s="1"/>
  <c r="N49" i="1" s="1"/>
  <c r="O49" i="1"/>
  <c r="S8" i="1"/>
  <c r="T8" i="1" s="1"/>
  <c r="U8" i="1"/>
  <c r="L20" i="1"/>
  <c r="O19" i="1" l="1"/>
  <c r="Q19" i="1" s="1"/>
  <c r="R19" i="1" s="1"/>
  <c r="S19" i="1" s="1"/>
  <c r="N19" i="1"/>
  <c r="Z19" i="1" s="1"/>
  <c r="J26" i="1"/>
  <c r="N21" i="1"/>
  <c r="Z21" i="1" s="1"/>
  <c r="O21" i="1"/>
  <c r="Q21" i="1" s="1"/>
  <c r="R21" i="1" s="1"/>
  <c r="S21" i="1" s="1"/>
  <c r="M11" i="1"/>
  <c r="L50" i="1"/>
  <c r="M50" i="1" s="1"/>
  <c r="N50" i="1" s="1"/>
  <c r="K50" i="1"/>
  <c r="K29" i="1"/>
  <c r="H29" i="1"/>
  <c r="F40" i="1"/>
  <c r="S29" i="1"/>
  <c r="I29" i="1"/>
  <c r="J29" i="1" s="1"/>
  <c r="L29" i="1" s="1"/>
  <c r="M29" i="1" s="1"/>
  <c r="N29" i="1" s="1"/>
  <c r="O29" i="1" s="1"/>
  <c r="P29" i="1" s="1"/>
  <c r="Q29" i="1" s="1"/>
  <c r="R29" i="1" s="1"/>
  <c r="Z18" i="1"/>
  <c r="N22" i="1"/>
  <c r="F48" i="1"/>
  <c r="I37" i="1"/>
  <c r="O52" i="1"/>
  <c r="V15" i="1"/>
  <c r="L52" i="1"/>
  <c r="M52" i="1" s="1"/>
  <c r="N52" i="1" s="1"/>
  <c r="K52" i="1"/>
  <c r="AA4" i="1"/>
  <c r="Q16" i="1"/>
  <c r="R16" i="1" s="1"/>
  <c r="S16" i="1" s="1"/>
  <c r="Y20" i="1"/>
  <c r="Y22" i="1" s="1"/>
  <c r="F31" i="1"/>
  <c r="T20" i="1"/>
  <c r="O8" i="1"/>
  <c r="O11" i="1" s="1"/>
  <c r="U4" i="1"/>
  <c r="U11" i="1" s="1"/>
  <c r="T38" i="1"/>
  <c r="Y11" i="1"/>
  <c r="T4" i="1"/>
  <c r="T11" i="1" s="1"/>
  <c r="K37" i="1" l="1"/>
  <c r="Z16" i="1"/>
  <c r="U20" i="1"/>
  <c r="T22" i="1"/>
  <c r="F42" i="1"/>
  <c r="S31" i="1"/>
  <c r="S33" i="1" s="1"/>
  <c r="K31" i="1"/>
  <c r="K33" i="1" s="1"/>
  <c r="I31" i="1"/>
  <c r="J31" i="1" s="1"/>
  <c r="L31" i="1" s="1"/>
  <c r="M31" i="1" s="1"/>
  <c r="N31" i="1" s="1"/>
  <c r="O31" i="1" s="1"/>
  <c r="P31" i="1" s="1"/>
  <c r="Q31" i="1" s="1"/>
  <c r="R31" i="1" s="1"/>
  <c r="H31" i="1"/>
  <c r="T31" i="1" s="1"/>
  <c r="F33" i="1"/>
  <c r="AA11" i="1"/>
  <c r="D15" i="1"/>
  <c r="O50" i="1"/>
  <c r="L26" i="1"/>
  <c r="I40" i="1"/>
  <c r="K40" i="1" s="1"/>
  <c r="L40" i="1" s="1"/>
  <c r="M40" i="1" s="1"/>
  <c r="N40" i="1" s="1"/>
  <c r="O40" i="1" s="1"/>
  <c r="P40" i="1" s="1"/>
  <c r="Q40" i="1" s="1"/>
  <c r="R40" i="1" s="1"/>
  <c r="S40" i="1" s="1"/>
  <c r="J40" i="1"/>
  <c r="H40" i="1"/>
  <c r="F51" i="1"/>
  <c r="I48" i="1"/>
  <c r="W15" i="1"/>
  <c r="T29" i="1"/>
  <c r="J33" i="1" l="1"/>
  <c r="H42" i="1"/>
  <c r="F53" i="1"/>
  <c r="J42" i="1"/>
  <c r="J44" i="1" s="1"/>
  <c r="I42" i="1"/>
  <c r="K42" i="1" s="1"/>
  <c r="L42" i="1" s="1"/>
  <c r="M42" i="1" s="1"/>
  <c r="N42" i="1" s="1"/>
  <c r="O42" i="1" s="1"/>
  <c r="P42" i="1" s="1"/>
  <c r="Q42" i="1" s="1"/>
  <c r="R42" i="1" s="1"/>
  <c r="S42" i="1" s="1"/>
  <c r="S44" i="1" s="1"/>
  <c r="F44" i="1"/>
  <c r="H51" i="1"/>
  <c r="I51" i="1"/>
  <c r="J51" i="1" s="1"/>
  <c r="V20" i="1"/>
  <c r="U22" i="1"/>
  <c r="T40" i="1"/>
  <c r="H44" i="1"/>
  <c r="I33" i="1"/>
  <c r="H33" i="1"/>
  <c r="X15" i="1"/>
  <c r="M26" i="1"/>
  <c r="L33" i="1"/>
  <c r="D22" i="1"/>
  <c r="K15" i="1"/>
  <c r="F55" i="1"/>
  <c r="L37" i="1"/>
  <c r="J48" i="1"/>
  <c r="I44" i="1"/>
  <c r="W20" i="1" l="1"/>
  <c r="V22" i="1"/>
  <c r="L44" i="1"/>
  <c r="M37" i="1"/>
  <c r="K51" i="1"/>
  <c r="L51" i="1"/>
  <c r="M51" i="1" s="1"/>
  <c r="N51" i="1" s="1"/>
  <c r="H55" i="1"/>
  <c r="M33" i="1"/>
  <c r="N26" i="1"/>
  <c r="K22" i="1"/>
  <c r="O15" i="1"/>
  <c r="I53" i="1"/>
  <c r="J53" i="1" s="1"/>
  <c r="H53" i="1"/>
  <c r="J55" i="1"/>
  <c r="L48" i="1"/>
  <c r="I55" i="1"/>
  <c r="T42" i="1"/>
  <c r="K44" i="1"/>
  <c r="N33" i="1" l="1"/>
  <c r="O26" i="1"/>
  <c r="M48" i="1"/>
  <c r="O51" i="1"/>
  <c r="M44" i="1"/>
  <c r="N37" i="1"/>
  <c r="K53" i="1"/>
  <c r="L53" i="1"/>
  <c r="M53" i="1" s="1"/>
  <c r="N53" i="1" s="1"/>
  <c r="O22" i="1"/>
  <c r="Q15" i="1"/>
  <c r="X20" i="1"/>
  <c r="W22" i="1"/>
  <c r="O53" i="1" l="1"/>
  <c r="K55" i="1"/>
  <c r="N44" i="1"/>
  <c r="O37" i="1"/>
  <c r="L55" i="1"/>
  <c r="M55" i="1"/>
  <c r="N48" i="1"/>
  <c r="P26" i="1"/>
  <c r="O33" i="1"/>
  <c r="X22" i="1"/>
  <c r="Z20" i="1"/>
  <c r="Q22" i="1"/>
  <c r="R15" i="1"/>
  <c r="Q26" i="1" l="1"/>
  <c r="P33" i="1"/>
  <c r="O44" i="1"/>
  <c r="P37" i="1"/>
  <c r="N55" i="1"/>
  <c r="O48" i="1"/>
  <c r="O55" i="1" s="1"/>
  <c r="B68" i="1" s="1"/>
  <c r="R22" i="1"/>
  <c r="S15" i="1"/>
  <c r="S22" i="1" s="1"/>
  <c r="Z15" i="1"/>
  <c r="Z22" i="1" s="1"/>
  <c r="B65" i="1" s="1"/>
  <c r="Q37" i="1" l="1"/>
  <c r="P44" i="1"/>
  <c r="R26" i="1"/>
  <c r="Q33" i="1"/>
  <c r="R33" i="1" l="1"/>
  <c r="T26" i="1"/>
  <c r="T33" i="1" s="1"/>
  <c r="B66" i="1" s="1"/>
  <c r="R37" i="1"/>
  <c r="Q44" i="1"/>
  <c r="R44" i="1" l="1"/>
  <c r="T37" i="1"/>
  <c r="T44" i="1" s="1"/>
  <c r="V43" i="1" l="1"/>
  <c r="B67" i="1"/>
  <c r="B69" i="1" s="1"/>
</calcChain>
</file>

<file path=xl/sharedStrings.xml><?xml version="1.0" encoding="utf-8"?>
<sst xmlns="http://schemas.openxmlformats.org/spreadsheetml/2006/main" count="392" uniqueCount="204">
  <si>
    <t>ESTUDIO DE MERCADO SERVICIO DE VIGILANCIA PRIVADA DIRECCION SECCIONAL DE ADMINISTRACION JUDICIAL CARTAGENA NOVIEMBRE DE 2026 A OCTUBRE DE 2027</t>
  </si>
  <si>
    <t xml:space="preserve">Seguridad Privada A1S Group </t>
  </si>
  <si>
    <t>SEGURIDAD TREBOL LTDA</t>
  </si>
  <si>
    <t>STARCOOP</t>
  </si>
  <si>
    <t>PROMEDIO</t>
  </si>
  <si>
    <t>TIPO DE SERVICIOS</t>
  </si>
  <si>
    <t>UBICACION DEL SERVICIO</t>
  </si>
  <si>
    <t>TIPO SERVICIO</t>
  </si>
  <si>
    <t>VALOR SERVICIO MES VIGENCIA 2026 SEGUN CIRCULAR EXTERNA 20251300000115CS SUPERVIGILANCIA</t>
  </si>
  <si>
    <t>VALOR SEGURO DE VIDA COLECTIVO
QUE AMPARA AL PERSONAL OPERATIVO POR TIPO DE SERVICIO</t>
  </si>
  <si>
    <t>VALOR SERVICIO  + SEGURO DE VIDA COLECTIVO
QUE AMPARA AL PERSONAL OPERATIVO ANTES DE AYS E IVA</t>
  </si>
  <si>
    <t>Valor A Y S Unitario</t>
  </si>
  <si>
    <t>IVA</t>
  </si>
  <si>
    <t>VALOR UNITARIO MENSUAL POR SERVICIO VIGENCIA 2026</t>
  </si>
  <si>
    <t>VALOR UNITARIO MENSUAL POR SERVICIO VIGENCIA 2025</t>
  </si>
  <si>
    <t>A</t>
  </si>
  <si>
    <t>CARTAGENA Y MUNICIPIOS DE BOLIVAR</t>
  </si>
  <si>
    <t>Servicio de vigilancia física con medio humano, sin arma, sin canino, con jornada de 12 horas (7:00 a.m. a  7:00 p.m.) de lunes a viernes laborales.</t>
  </si>
  <si>
    <t>B</t>
  </si>
  <si>
    <t>Servicio de vigilancia física con medio humano, sin arma, sin canino, con jornada de 12 horas (7:00 a.m. a  7:00 p.m.) de lunes a viernes laborales. Y jornada de 6 horas (7:00 am a 1:00 pm) los sábados</t>
  </si>
  <si>
    <t>C</t>
  </si>
  <si>
    <t>SAN ANDRES ISLAS</t>
  </si>
  <si>
    <t>N.A.</t>
  </si>
  <si>
    <t>D</t>
  </si>
  <si>
    <t>Servicio de vigilancia física con medio humano, con arma, sin canino, con jornada labora mes /24 horas</t>
  </si>
  <si>
    <t xml:space="preserve">E </t>
  </si>
  <si>
    <t>Servicio de vigilancia física con medio humano, Sin arma, sin canino, con jornada labora mes /24 horas</t>
  </si>
  <si>
    <t>F</t>
  </si>
  <si>
    <t>G</t>
  </si>
  <si>
    <t>Servicio de vigilancia física con medio humano, sin arma, sin canino, con jornada de 15 horas (7:00 a.m. a  10:00 p.m.) de lunes a viernes laborales. Y jornada de 6 horas (7:00 am a 1:00 pm) los sábados</t>
  </si>
  <si>
    <t>TOTALES</t>
  </si>
  <si>
    <t>VALOR  VIGENCIA 2026</t>
  </si>
  <si>
    <t>VALOR SERVICIO DE VIGILANCIA VIGENCIA 2027</t>
  </si>
  <si>
    <t>VALOR UNITARIO SERVICIO MENSUAL AÑO 2026</t>
  </si>
  <si>
    <t>NUMERO DE SERVICIOS A CONTRATAR</t>
  </si>
  <si>
    <t>VALOR MES DE DICIEMBRE DE 2026</t>
  </si>
  <si>
    <t>VALOR TOTAL VIGENCIA 2026</t>
  </si>
  <si>
    <t>TARIFA MINIMA DEL 1 NOVIEMBRE DE 2026  AL 30 DE JUNIO DE 2027</t>
  </si>
  <si>
    <t>TARIFA MINIMA APARTIR DEL 01 DE JULIO DE 2027 AL 31 DE DICIEMBRE DE 2027</t>
  </si>
  <si>
    <t>% INCREMENTO VIGENCIA 2027</t>
  </si>
  <si>
    <t>VALOR UNITARIO SERVICIO MENSUAL AÑO 2027(ENERO A JUNIO DE 2027</t>
  </si>
  <si>
    <t>VALOR UNITARIO SERVICIO MENSUAL AÑO 2027(JULIO A DICIEMBRE DE 2027</t>
  </si>
  <si>
    <t xml:space="preserve">VALOR ENERO </t>
  </si>
  <si>
    <t xml:space="preserve">FEBRERO </t>
  </si>
  <si>
    <t>MARZO</t>
  </si>
  <si>
    <t>ABRIL</t>
  </si>
  <si>
    <t>MAYO</t>
  </si>
  <si>
    <t>JUNIO</t>
  </si>
  <si>
    <t>JULIO</t>
  </si>
  <si>
    <t>AGOSTO</t>
  </si>
  <si>
    <t>SEPTIEMBRE</t>
  </si>
  <si>
    <t>OCTUBRE</t>
  </si>
  <si>
    <t>NOVIEMBRE</t>
  </si>
  <si>
    <t>DICIEMBRE</t>
  </si>
  <si>
    <t>VALOR TOTAL VIGENCIA 2027</t>
  </si>
  <si>
    <t>10,21 SMMLV</t>
  </si>
  <si>
    <t>10,38 SMMLV</t>
  </si>
  <si>
    <t>VALOR  VIGENCIA 2028</t>
  </si>
  <si>
    <t>VALOR TOTAL VIGENCIA 2028</t>
  </si>
  <si>
    <t>TARIFA MINIMA APARTIR DEL 01 DE ENERO DE 2028 AL 31 DE DICIEMBRE DE 2028</t>
  </si>
  <si>
    <t>% INCREMENTO VIGENCIA 2028</t>
  </si>
  <si>
    <t>VALOR UNITARIO SERVICIO MENSUAL AÑO 2028</t>
  </si>
  <si>
    <t xml:space="preserve"> ENERO </t>
  </si>
  <si>
    <t>VALOR  VIGENCIA 2029</t>
  </si>
  <si>
    <t>VALOR TOTAL VIGENCIA 2029</t>
  </si>
  <si>
    <t>TARIFA MINIMA APARTIR DEL 01 DE ENERO DE 2029 AL 31 DE DICIEMBRE DE 2029</t>
  </si>
  <si>
    <t>% INCREMENTO VIGENCIA 2029</t>
  </si>
  <si>
    <t>VALOR UNITARIO SERVICIO MENSUAL AÑO 2029</t>
  </si>
  <si>
    <t>VALOR  VIGENCIA 2030</t>
  </si>
  <si>
    <t>VALOR TOTAL VIGENCIA 2030</t>
  </si>
  <si>
    <t>% INCREMENTO VIGENCIA 2030</t>
  </si>
  <si>
    <t>VALOR UNITARIO SERVICIO MENSUAL AÑO 2030</t>
  </si>
  <si>
    <t>TKOTAL VIGENCIAS 2026-2030</t>
  </si>
  <si>
    <t>VALOR POR VIGENCIA</t>
  </si>
  <si>
    <t>NUMERO DE MESES</t>
  </si>
  <si>
    <t>VIGENCIA 2026</t>
  </si>
  <si>
    <t>VIGENCIA 2027</t>
  </si>
  <si>
    <t>VIGENCIA 2028</t>
  </si>
  <si>
    <t>VIGENCIA 2029</t>
  </si>
  <si>
    <t>VIGENCIA 2030</t>
  </si>
  <si>
    <t>ANEXO Nª6 OFERTA ECONOMICA</t>
  </si>
  <si>
    <t>Consejo Superior de la Judicatura
Dirección Ejecutiva Seccional de Administración Judicial  
Cartagena-Bolivar</t>
  </si>
  <si>
    <t>Variables</t>
  </si>
  <si>
    <t>No. Meses</t>
  </si>
  <si>
    <t>Periodo a contratar</t>
  </si>
  <si>
    <t>DEL 01 DE DICIEMBRE DE 2026 AL 31 DE JULIO DE 2030</t>
  </si>
  <si>
    <t>Meses del año 2026</t>
  </si>
  <si>
    <t>Meses del año 2027</t>
  </si>
  <si>
    <t>Celdas que deben ser diligenciadas por el proponente</t>
  </si>
  <si>
    <t>Meses del año 2028</t>
  </si>
  <si>
    <t>Meses del año 2029</t>
  </si>
  <si>
    <t>Meses del año 2030</t>
  </si>
  <si>
    <t xml:space="preserve">Porcentaje Valor IVA Unitario mensual </t>
  </si>
  <si>
    <t>Incremento Proyectado para el año 2027,2028,2029 Y 2030 (4,8%)</t>
  </si>
  <si>
    <t>Incremento proyectado por el Ministerio de Hacienda.</t>
  </si>
  <si>
    <t>VALOR MENSUAL Año 2026(DEL 01 DE DICIEMBRE DE 2026 AL 31 DE DICIEMBRE DE 2026)</t>
  </si>
  <si>
    <t>VALOR MENSUAL Año 2027 A 2030</t>
  </si>
  <si>
    <t xml:space="preserve">VIGENCIA 2026
</t>
  </si>
  <si>
    <t xml:space="preserve">VALOR TOTAL VIGENCIAS 2026-2030
</t>
  </si>
  <si>
    <t xml:space="preserve">Valor total del Vigencias 2026-2030
</t>
  </si>
  <si>
    <t>Ítem</t>
  </si>
  <si>
    <t>Tipo de
Servicio</t>
  </si>
  <si>
    <t>TIPO DE SERVICIO</t>
  </si>
  <si>
    <t>No. Servicios 2026</t>
  </si>
  <si>
    <t>No. Servicios 2027</t>
  </si>
  <si>
    <t>No. Servicios 2028</t>
  </si>
  <si>
    <t>No. Servicios 2029</t>
  </si>
  <si>
    <t>No. Servicios 2030</t>
  </si>
  <si>
    <t>% AYS</t>
  </si>
  <si>
    <t>Valor Unitario Mensual tarifa año 2026(Tarifa actual Diciembre de 2026)</t>
  </si>
  <si>
    <t>VALOR POLIZA DE SEGURO COLECTIVO DE VIDA MENSUAL</t>
  </si>
  <si>
    <t>VALOR UNITARIO TARIFA MAS POLIZA DE SEGURO DE VIDA COLECTIVO MENSUAL</t>
  </si>
  <si>
    <t>VALOR UNITARIO MENSUAL ADMINISTRACION Y SUPERVISION(AYS)</t>
  </si>
  <si>
    <t>Valor AIU Unitario Mensual</t>
  </si>
  <si>
    <t>Valor IVA Unitario Mensual</t>
  </si>
  <si>
    <t>Valor Total Unitario Mensual año 2026(DICIEMBRE DE 2026)</t>
  </si>
  <si>
    <t>VALOR TARIFA MENSUAL AÑO 2027( ENERO DE 2027 A JUNIO DE 2027 ) CON INCREMENTO PROYECTADO</t>
  </si>
  <si>
    <t>Valor Total Unitario Mensual año 2027(DE JULIO DE 2027 A DICIEMBRE DE 2027) (incremento Proyectado)</t>
  </si>
  <si>
    <t>Valor Total Unitario Mensual año 2028(DE ENERO DE 2028 A DICIEMBRE DE 2028) (incremento Proyectado)</t>
  </si>
  <si>
    <t>Valor Total Unitario Mensual año 2029(DE ENERO DE 2029 A DICIEMBRE DE 2029) (incremento Proyectado)</t>
  </si>
  <si>
    <t>Valor Total Unitario Mensual año 2030(DE ENERO DE 2030 A JULIO DE 2030) (incremento Proyectado)</t>
  </si>
  <si>
    <t xml:space="preserve">Valor mes de Diciembre 2026
</t>
  </si>
  <si>
    <t>VALOR MES DE ENERO DE 2027</t>
  </si>
  <si>
    <t>VALOR MES DE FEBRERO DE 2027</t>
  </si>
  <si>
    <t>VALOR MES DE MARZO DE 2027</t>
  </si>
  <si>
    <t>VALOR TOTAL DE LOS MESES DE ABRIL DE 2027 A JUNIO DE 2027</t>
  </si>
  <si>
    <t>VALOR TOTAL DE LOS MESES DE JULIO DE 2027 A NOVIEMBRE DE 2027</t>
  </si>
  <si>
    <t>VALOR MES DE DICIEMBRE DE 2027</t>
  </si>
  <si>
    <t>VALOR MES DE ENERO DE 2028</t>
  </si>
  <si>
    <t>VALOR TOTAL DE LOS MESES DE FEBRERO DE 2028 A MARZO DE 2028</t>
  </si>
  <si>
    <t>VALOR ABRIL DE 2028</t>
  </si>
  <si>
    <t>VALOR TOTAL DE LOS MESES DE MAYO DE 2028 A NOVIEMBRE DE 2028</t>
  </si>
  <si>
    <t>VALOR DICIEMBRE DE 2028</t>
  </si>
  <si>
    <t>VALOR MES DE ENERO DE 2029</t>
  </si>
  <si>
    <t>VALOR MES DE FEBRERO DE 2029</t>
  </si>
  <si>
    <t>VALOR MARZO DE 2029</t>
  </si>
  <si>
    <t>VALOR TOTAL DE LOS MESES DE ABRIL DE 2029 A NOVIEMBRE DE 2029</t>
  </si>
  <si>
    <t>VALOR DICIEMBRE DE 2029</t>
  </si>
  <si>
    <t>VALOR MES DE ENERO DE 2030</t>
  </si>
  <si>
    <t>VALOR TOTAL DE LOS MESES DE FEBRERO DE 2030 A MARZO DE 2030</t>
  </si>
  <si>
    <t>VALOR ABRIL DE 2030</t>
  </si>
  <si>
    <t>VALOR TOTAL DE LOS MESES DE MAYO DE 2030 A JULIO DE 2030</t>
  </si>
  <si>
    <t xml:space="preserve">Valor total  Vigencia 2026
</t>
  </si>
  <si>
    <t xml:space="preserve">Valor total  Vigencia 2027
</t>
  </si>
  <si>
    <t xml:space="preserve">Valor total  Vigencia 2028
</t>
  </si>
  <si>
    <t>Valor total  Vigencia 2029</t>
  </si>
  <si>
    <t>Valor total  Vigencia 2030</t>
  </si>
  <si>
    <t>Servicios del Archipielago San andres islas (Excluidos de I.V.A.)</t>
  </si>
  <si>
    <t>N.A</t>
  </si>
  <si>
    <t>Servicios de Cartagena y Municipios de Bolivar</t>
  </si>
  <si>
    <t>E</t>
  </si>
  <si>
    <r>
      <t xml:space="preserve">Servicio de vigilancia física con medio humano, </t>
    </r>
    <r>
      <rPr>
        <b/>
        <sz val="7"/>
        <color rgb="FF000000"/>
        <rFont val="Arial"/>
        <family val="2"/>
      </rPr>
      <t>Sin</t>
    </r>
    <r>
      <rPr>
        <sz val="7"/>
        <color rgb="FF000000"/>
        <rFont val="Arial"/>
        <family val="2"/>
      </rPr>
      <t xml:space="preserve"> arma, sin canino, con jornada labora mes /24 horas</t>
    </r>
  </si>
  <si>
    <t>Total</t>
  </si>
  <si>
    <t>Nota 1:</t>
  </si>
  <si>
    <t>Los Servicios de Vigilancia a contratar en el archipielago de San andres islas estan excluidos del Impuesto a las ventas según lo establecido en el ART.22 Ley 47 de 1993</t>
  </si>
  <si>
    <t xml:space="preserve">Nota 2: </t>
  </si>
  <si>
    <t>del 20 al 31 de diciembre de 2026 , se suspende un (01) Servicio de vigilancia física con medio humano, sin arma, sin canino, con jornada de 12 horas (7:00 a.m. a  7:00 p.m.) de lunes a viernes laborales.</t>
  </si>
  <si>
    <t>Nota 3:</t>
  </si>
  <si>
    <t>del 20 al 31 de diciembre de 2026 , se suspende cuatro (04) Servicio de vigilancia física con medio humano, sin arma, sin canino, con jornada de 12 horas (7:00 a.m. a  7:00 p.m.) de lunes a viernes laborales. Y jornada de 6 horas (7:00 am a 1:00 pm) los sábados</t>
  </si>
  <si>
    <t>Nota 4:</t>
  </si>
  <si>
    <t>del 01 al 12 de enero de 2027, se suspende un (01) Servicio de vigilancia física con medio humano, sin arma, sin canino, con jornada de 12 horas (7:00 a.m. a  7:00 p.m.) de lunes a viernes laborales.</t>
  </si>
  <si>
    <t>Nota 5:</t>
  </si>
  <si>
    <t>del 01 al 12 de enero de 2027 , se suspende cuatro (04) Servicio de vigilancia física con medio humano, sin arma, sin canino, con jornada de 12 horas (7:00 a.m. a  7:00 p.m.) de lunes a viernes laborales. Y jornada de 6 horas (7:00 am a 1:00 pm) los sábados</t>
  </si>
  <si>
    <t>Nota 6:</t>
  </si>
  <si>
    <t>del 22 de Marzo de 2027 al 28 de Marzo de 2027, se suspende dos (02) Servicio de vigilancia física con medio humano, sin arma, sin canino, con jornada de 12 horas (7:00 a.m. a  7:00 p.m.) de lunes a viernes laborales.</t>
  </si>
  <si>
    <t>Nota 7:</t>
  </si>
  <si>
    <t>del 22 de Marzo de 2027 al 28 de Marzo de 2027 , se suspende cinco (05) Servicio de vigilancia física con medio humano, sin arma, sin canino, con jornada de 12 horas (7:00 a.m. a  7:00 p.m.) de lunes a viernes laborales. Y jornada de 6 horas (7:00 am a 1:00 pm) los sábados</t>
  </si>
  <si>
    <t>Nota 8:</t>
  </si>
  <si>
    <t>del 20 al 31 de diciembre de 2027 , se suspende un (01) Servicio de vigilancia física con medio humano, sin arma, sin canino, con jornada de 12 horas (7:00 a.m. a  7:00 p.m.) de lunes a viernes laborales.</t>
  </si>
  <si>
    <t>Nota 9:</t>
  </si>
  <si>
    <t>del 20 al 31 de diciembre de 2027 , se suspende cuatro (04) Servicio de vigilancia física con medio humano, sin arma, sin canino, con jornada de 12 horas (7:00 a.m. a  7:00 p.m.) de lunes a viernes laborales. Y jornada de 6 horas (7:00 am a 1:00 pm) los sábados</t>
  </si>
  <si>
    <t>Nota 10:</t>
  </si>
  <si>
    <t>del 01 al 10 de enero de 2028, se suspende un (01) Servicio de vigilancia física con medio humano, sin arma, sin canino, con jornada de 12 horas (7:00 a.m. a  7:00 p.m.) de lunes a viernes laborales.</t>
  </si>
  <si>
    <t>Nota 11:</t>
  </si>
  <si>
    <t>del 01 al 10 de enero de 2028 , se suspende cuatro (04) Servicio de vigilancia física con medio humano, sin arma, sin canino, con jornada de 12 horas (7:00 a.m. a  7:00 p.m.) de lunes a viernes laborales. Y jornada de 6 horas (7:00 am a 1:00 pm) los sábados</t>
  </si>
  <si>
    <t>Nota 12:</t>
  </si>
  <si>
    <t>del 10 de Abril de 2028 al 16 de abril de 2027, se suspende dos (02) Servicio de vigilancia física con medio humano, sin arma, sin canino, con jornada de 12 horas (7:00 a.m. a  7:00 p.m.) de lunes a viernes laborales.</t>
  </si>
  <si>
    <t>Nota 13:</t>
  </si>
  <si>
    <t>del 10 de Abril de 2028 al 16 de Abril de 2028 , se suspende cinco (05) Servicio de vigilancia física con medio humano, sin arma, sin canino, con jornada de 12 horas (7:00 a.m. a  7:00 p.m.) de lunes a viernes laborales. Y jornada de 6 horas (7:00 am a 1:00 pm) los sábados</t>
  </si>
  <si>
    <t>Nota 14:</t>
  </si>
  <si>
    <t>del 20 al 31 de diciembre de 2028 , se suspende un (01) Servicio de vigilancia física con medio humano, sin arma, sin canino, con jornada de 12 horas (7:00 a.m. a  7:00 p.m.) de lunes a viernes laborales.</t>
  </si>
  <si>
    <t>Nota 15:</t>
  </si>
  <si>
    <t>del 20 al 31 de diciembre de 2028 , se suspende cuatro (04) Servicio de vigilancia física con medio humano, sin arma, sin canino, con jornada de 12 horas (7:00 a.m. a  7:00 p.m.) de lunes a viernes laborales. Y jornada de 6 horas (7:00 am a 1:00 pm) los sábados</t>
  </si>
  <si>
    <t>Nota 16:</t>
  </si>
  <si>
    <t>del 01 al 10 de enero de 2029, se suspende un (01) Servicio de vigilancia física con medio humano, sin arma, sin canino, con jornada de 12 horas (7:00 a.m. a  7:00 p.m.) de lunes a viernes laborales.</t>
  </si>
  <si>
    <t>Nota 17:</t>
  </si>
  <si>
    <t>del 01 al 10 de enero de 2029 , se suspende cuatro (04) Servicio de vigilancia física con medio humano, sin arma, sin canino, con jornada de 12 horas (7:00 a.m. a  7:00 p.m.) de lunes a viernes laborales. Y jornada de 6 horas (7:00 am a 1:00 pm) los sábados</t>
  </si>
  <si>
    <t>Nota 18:</t>
  </si>
  <si>
    <t>del 26 de Marzo de 2029 al 01 de abril de 2029, se suspende dos (02) Servicio de vigilancia física con medio humano, sin arma, sin canino, con jornada de 12 horas (7:00 a.m. a  7:00 p.m.) de lunes a viernes laborales.</t>
  </si>
  <si>
    <t>Nota 19:</t>
  </si>
  <si>
    <t>del 26 de Marzo de 2029 al 01 de Abril de 2029 , se suspende cinco (05) Servicio de vigilancia física con medio humano, sin arma, sin canino, con jornada de 12 horas (7:00 a.m. a  7:00 p.m.) de lunes a viernes laborales. Y jornada de 6 horas (7:00 am a 1:00 pm) los sábados</t>
  </si>
  <si>
    <t>Nota 20:</t>
  </si>
  <si>
    <t>del 20 al 31 de diciembre de 2029 , se suspende un (01) Servicio de vigilancia física con medio humano, sin arma, sin canino, con jornada de 12 horas (7:00 a.m. a  7:00 p.m.) de lunes a viernes laborales.</t>
  </si>
  <si>
    <t>Nota 21:</t>
  </si>
  <si>
    <t>del 20 al 31 de diciembre de 2029 , se suspende cuatro (04) Servicio de vigilancia física con medio humano, sin arma, sin canino, con jornada de 12 horas (7:00 a.m. a  7:00 p.m.) de lunes a viernes laborales. Y jornada de 6 horas (7:00 am a 1:00 pm) los sábados</t>
  </si>
  <si>
    <t>Nota 22:</t>
  </si>
  <si>
    <t>del 01 al 10 de enero de 2030, se suspende un (01) Servicio de vigilancia física con medio humano, sin arma, sin canino, con jornada de 12 horas (7:00 a.m. a  7:00 p.m.) de lunes a viernes laborales.</t>
  </si>
  <si>
    <t>Nota 23:</t>
  </si>
  <si>
    <t>del 01 al 10 de enero de 2030 , se suspende cuatro (04) Servicio de vigilancia física con medio humano, sin arma, sin canino, con jornada de 12 horas (7:00 a.m. a  7:00 p.m.) de lunes a viernes laborales. Y jornada de 6 horas (7:00 am a 1:00 pm) los sábados</t>
  </si>
  <si>
    <t>Nota 24:</t>
  </si>
  <si>
    <t>del 15 de Abril de 2030 al 21 de abril de 2030, se suspende dos (02) Servicio de vigilancia física con medio humano, sin arma, sin canino, con jornada de 12 horas (7:00 a.m. a  7:00 p.m.) de lunes a viernes laborales.</t>
  </si>
  <si>
    <t>Nota 25:</t>
  </si>
  <si>
    <t>del 15 de Abril de 2030 al 21 de abril de 2030 , se suspende cinco (05) Servicio de vigilancia física con medio humano, sin arma, sin canino, con jornada de 12 horas (7:00 a.m. a  7:00 p.m.) de lunes a viernes laborales. Y jornada de 6 horas (7:00 am a 1:00 pm) los sábados</t>
  </si>
  <si>
    <t>TARIFA MINIMA APARTIR DEL 01 DE ENERO DE 2030 AL 31 DE JULIO DE 2030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</si>
</sst>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3" formatCode="_-* #,##0.00_-;\-* #,##0.00_-;_-* &quot;-&quot;??_-;_-@_-"/>
    <numFmt numFmtId="164" formatCode="_-&quot;$&quot;\ * #,##0.00_-;\-&quot;$&quot;\ * #,##0.00_-;_-&quot;$&quot;\ * &quot;-&quot;??_-;_-@_-"/>
    <numFmt numFmtId="165" formatCode="_-* #,##0\ &quot;$&quot;_-;\-* #,##0\ &quot;$&quot;_-;_-* &quot;-&quot;??\ &quot;$&quot;_-;_-@_-"/>
    <numFmt numFmtId="166" formatCode="_-&quot;$&quot;* #,##0.00_-;\-&quot;$&quot;* #,##0.00_-;_-&quot;$&quot;* &quot;-&quot;??_-;_-@_-"/>
    <numFmt numFmtId="167" formatCode="#,##0_ ;\-#,##0\ "/>
    <numFmt numFmtId="168" formatCode="_-* #,##0_-;\-* #,##0_-;_-* &quot;-&quot;??_-;_-@_-"/>
    <numFmt numFmtId="169" formatCode="0.0%"/>
    <numFmt numFmtId="170" formatCode="_(&quot;$&quot;\ * #,##0_);_(&quot;$&quot;\ * \(#,##0\);_(&quot;$&quot;\ * &quot;-&quot;??_);_(@_)"/>
    <numFmt numFmtId="171" formatCode="_-* #,##0.0000000000_-;\-* #,##0.0000000000_-;_-* &quot;-&quot;??_-;_-@_-"/>
    <numFmt numFmtId="172" formatCode="_ &quot;$&quot;\ * #,##0_ ;_ &quot;$&quot;\ * \-#,##0_ ;_ &quot;$&quot;\ * &quot;-&quot;??_ ;_ @_ "/>
    <numFmt numFmtId="173" formatCode="0.0000000000000000"/>
    <numFmt numFmtId="174" formatCode="_-* #,##0.00000000000000000_-;\-* #,##0.00000000000000000_-;_-* &quot;-&quot;??_-;_-@_-"/>
    <numFmt numFmtId="175" formatCode="_-* #,##0.0000000000000000_-;\-* #,##0.0000000000000000_-;_-* &quot;-&quot;??_-;_-@_-"/>
    <numFmt numFmtId="176" formatCode="_-* #,##0.00000_-;\-* #,##0.00000_-;_-* &quot;-&quot;??_-;_-@_-"/>
    <numFmt numFmtId="177" formatCode="_-* #,##0.0000000000000_-;\-* #,##0.0000000000000_-;_-* &quot;-&quot;??_-;_-@_-"/>
    <numFmt numFmtId="178" formatCode="_-* #,##0.000000_-;\-* #,##0.000000_-;_-* &quot;-&quot;??_-;_-@_-"/>
    <numFmt numFmtId="179" formatCode="0.00000000000"/>
    <numFmt numFmtId="180" formatCode="_-* #,##0.00000_-;\-* #,##0.00000_-;_-* &quot;-&quot;?????_-;_-@_-"/>
  </numFmts>
  <fonts count="25" x14ac:knownFonts="1">
    <font>
      <sz val="11"/>
      <color theme="1"/>
      <name val="Aptos Narrow"/>
      <family val="2"/>
      <scheme val="minor"/>
    </font>
    <font>
      <sz val="11"/>
      <color theme="1"/>
      <name val="Aptos Narrow"/>
      <family val="2"/>
      <scheme val="minor"/>
    </font>
    <font>
      <b/>
      <sz val="11"/>
      <color theme="1"/>
      <name val="Aptos Narrow"/>
      <family val="2"/>
      <scheme val="minor"/>
    </font>
    <font>
      <b/>
      <sz val="18"/>
      <color theme="1"/>
      <name val="Aptos Narrow"/>
      <family val="2"/>
      <scheme val="minor"/>
    </font>
    <font>
      <b/>
      <sz val="7"/>
      <color theme="1"/>
      <name val="Aptos Narrow"/>
      <family val="2"/>
      <scheme val="minor"/>
    </font>
    <font>
      <sz val="8"/>
      <color rgb="FF000000"/>
      <name val="Arial"/>
      <family val="2"/>
    </font>
    <font>
      <sz val="6"/>
      <color rgb="FF000000"/>
      <name val="Arial"/>
      <family val="2"/>
    </font>
    <font>
      <b/>
      <sz val="8"/>
      <color rgb="FF000000"/>
      <name val="Arial"/>
      <family val="2"/>
    </font>
    <font>
      <b/>
      <sz val="16"/>
      <color theme="1"/>
      <name val="Aptos Narrow"/>
      <family val="2"/>
      <scheme val="minor"/>
    </font>
    <font>
      <b/>
      <sz val="8"/>
      <color theme="1"/>
      <name val="Aptos Narrow"/>
      <family val="2"/>
      <scheme val="minor"/>
    </font>
    <font>
      <sz val="8"/>
      <color theme="1"/>
      <name val="Aptos Narrow"/>
      <family val="2"/>
      <scheme val="minor"/>
    </font>
    <font>
      <b/>
      <sz val="12"/>
      <color theme="1"/>
      <name val="Aptos Narrow"/>
      <family val="2"/>
      <scheme val="minor"/>
    </font>
    <font>
      <sz val="8"/>
      <name val="Arial"/>
      <family val="2"/>
    </font>
    <font>
      <b/>
      <sz val="22"/>
      <name val="Arial"/>
      <family val="2"/>
    </font>
    <font>
      <b/>
      <i/>
      <sz val="10"/>
      <name val="Times New Roman"/>
      <family val="1"/>
    </font>
    <font>
      <b/>
      <sz val="10"/>
      <name val="Arial"/>
      <family val="2"/>
    </font>
    <font>
      <b/>
      <sz val="8"/>
      <name val="Arial"/>
      <family val="2"/>
    </font>
    <font>
      <b/>
      <sz val="12"/>
      <name val="Arial"/>
      <family val="2"/>
    </font>
    <font>
      <sz val="7"/>
      <color rgb="FF000000"/>
      <name val="Arial"/>
      <family val="2"/>
    </font>
    <font>
      <b/>
      <sz val="8"/>
      <color indexed="8"/>
      <name val="Arial"/>
      <family val="2"/>
    </font>
    <font>
      <sz val="8"/>
      <color indexed="8"/>
      <name val="Arial"/>
      <family val="2"/>
    </font>
    <font>
      <sz val="10"/>
      <name val="Arial"/>
      <family val="2"/>
    </font>
    <font>
      <sz val="8"/>
      <color theme="1"/>
      <name val="Arial"/>
      <family val="2"/>
    </font>
    <font>
      <b/>
      <sz val="7"/>
      <color rgb="FF000000"/>
      <name val="Arial"/>
      <family val="2"/>
    </font>
    <font>
      <sz val="7"/>
      <name val="Arial"/>
      <family val="2"/>
    </font>
  </fonts>
  <fills count="3">
    <fill>
      <patternFill patternType="none"/>
    </fill>
    <fill>
      <patternFill patternType="gray125"/>
    </fill>
    <fill>
      <patternFill patternType="solid">
        <fgColor rgb="FFFFFF00"/>
        <bgColor indexed="64"/>
      </patternFill>
    </fill>
  </fills>
  <borders count="1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6">
    <xf numFmtId="0" fontId="0" fillId="0" borderId="0"/>
    <xf numFmtId="43" fontId="1" fillId="0" borderId="0" applyFont="0" applyFill="0" applyBorder="0" applyAlignment="0" applyProtection="0"/>
    <xf numFmtId="9" fontId="1" fillId="0" borderId="0" applyFont="0" applyFill="0" applyBorder="0" applyAlignment="0" applyProtection="0"/>
    <xf numFmtId="0" fontId="1" fillId="0" borderId="0"/>
    <xf numFmtId="166" fontId="1" fillId="0" borderId="0" applyFont="0" applyFill="0" applyBorder="0" applyAlignment="0" applyProtection="0"/>
    <xf numFmtId="0" fontId="21" fillId="0" borderId="0"/>
  </cellStyleXfs>
  <cellXfs count="155">
    <xf numFmtId="0" fontId="0" fillId="0" borderId="0" xfId="0"/>
    <xf numFmtId="0" fontId="3" fillId="0" borderId="4" xfId="0" applyFont="1" applyBorder="1" applyAlignment="1">
      <alignment horizontal="center" wrapText="1"/>
    </xf>
    <xf numFmtId="0" fontId="4" fillId="0" borderId="4" xfId="0" applyFont="1" applyBorder="1" applyAlignment="1">
      <alignment horizontal="center" vertical="center" wrapText="1"/>
    </xf>
    <xf numFmtId="0" fontId="5" fillId="0" borderId="4" xfId="3" applyFont="1" applyBorder="1" applyAlignment="1">
      <alignment horizontal="center" vertical="center" wrapText="1"/>
    </xf>
    <xf numFmtId="0" fontId="6" fillId="0" borderId="4" xfId="3" applyFont="1" applyBorder="1" applyAlignment="1">
      <alignment vertical="center" wrapText="1"/>
    </xf>
    <xf numFmtId="167" fontId="0" fillId="0" borderId="4" xfId="4" applyNumberFormat="1" applyFont="1" applyBorder="1" applyAlignment="1">
      <alignment horizontal="center" vertical="center" wrapText="1"/>
    </xf>
    <xf numFmtId="167" fontId="0" fillId="0" borderId="4" xfId="4" applyNumberFormat="1" applyFont="1" applyFill="1" applyBorder="1" applyAlignment="1">
      <alignment horizontal="center" vertical="center" wrapText="1"/>
    </xf>
    <xf numFmtId="167" fontId="2" fillId="0" borderId="4" xfId="4" applyNumberFormat="1" applyFont="1" applyBorder="1"/>
    <xf numFmtId="0" fontId="2" fillId="0" borderId="0" xfId="0" applyFont="1"/>
    <xf numFmtId="0" fontId="4" fillId="0" borderId="8" xfId="0" applyFont="1" applyBorder="1" applyAlignment="1">
      <alignment horizontal="center" vertical="center" wrapText="1"/>
    </xf>
    <xf numFmtId="0" fontId="9" fillId="0" borderId="8" xfId="0" applyFont="1" applyBorder="1" applyAlignment="1">
      <alignment horizontal="center" vertical="center" wrapText="1"/>
    </xf>
    <xf numFmtId="0" fontId="9" fillId="0" borderId="4" xfId="0" applyFont="1" applyBorder="1" applyAlignment="1">
      <alignment horizontal="center" vertical="center" wrapText="1"/>
    </xf>
    <xf numFmtId="168" fontId="0" fillId="0" borderId="4" xfId="1" applyNumberFormat="1" applyFont="1" applyBorder="1"/>
    <xf numFmtId="167" fontId="0" fillId="0" borderId="4" xfId="4" applyNumberFormat="1" applyFont="1" applyFill="1" applyBorder="1" applyAlignment="1">
      <alignment horizontal="center"/>
    </xf>
    <xf numFmtId="168" fontId="0" fillId="0" borderId="11" xfId="1" applyNumberFormat="1" applyFont="1" applyFill="1" applyBorder="1"/>
    <xf numFmtId="0" fontId="10" fillId="0" borderId="4" xfId="0" applyFont="1" applyBorder="1"/>
    <xf numFmtId="10" fontId="0" fillId="0" borderId="4" xfId="2" applyNumberFormat="1" applyFont="1" applyFill="1" applyBorder="1"/>
    <xf numFmtId="167" fontId="11" fillId="0" borderId="4" xfId="4" applyNumberFormat="1" applyFont="1" applyFill="1" applyBorder="1"/>
    <xf numFmtId="0" fontId="0" fillId="0" borderId="4" xfId="0" applyBorder="1"/>
    <xf numFmtId="168" fontId="11" fillId="0" borderId="4" xfId="4" applyNumberFormat="1" applyFont="1" applyFill="1" applyBorder="1"/>
    <xf numFmtId="168" fontId="0" fillId="0" borderId="0" xfId="0" applyNumberFormat="1"/>
    <xf numFmtId="10" fontId="0" fillId="0" borderId="0" xfId="2" applyNumberFormat="1" applyFont="1"/>
    <xf numFmtId="168" fontId="0" fillId="0" borderId="4" xfId="1" applyNumberFormat="1" applyFont="1" applyFill="1" applyBorder="1"/>
    <xf numFmtId="43" fontId="0" fillId="0" borderId="0" xfId="1" applyFont="1" applyFill="1" applyBorder="1"/>
    <xf numFmtId="0" fontId="8" fillId="0" borderId="4" xfId="0" applyFont="1" applyBorder="1" applyAlignment="1">
      <alignment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168" fontId="0" fillId="0" borderId="4" xfId="0" applyNumberFormat="1" applyBorder="1"/>
    <xf numFmtId="167" fontId="0" fillId="0" borderId="4" xfId="0" applyNumberFormat="1" applyBorder="1"/>
    <xf numFmtId="0" fontId="2" fillId="0" borderId="4" xfId="0" applyFont="1" applyBorder="1"/>
    <xf numFmtId="168" fontId="2" fillId="0" borderId="4" xfId="1" applyNumberFormat="1" applyFont="1" applyBorder="1"/>
    <xf numFmtId="9" fontId="0" fillId="0" borderId="0" xfId="2" applyFont="1"/>
    <xf numFmtId="0" fontId="12" fillId="0" borderId="0" xfId="0" applyFont="1"/>
    <xf numFmtId="0" fontId="12" fillId="0" borderId="0" xfId="0" applyFont="1" applyProtection="1">
      <protection locked="0"/>
    </xf>
    <xf numFmtId="0" fontId="14" fillId="0" borderId="0" xfId="0" applyFont="1" applyAlignment="1">
      <alignment wrapText="1"/>
    </xf>
    <xf numFmtId="0" fontId="16" fillId="0" borderId="4" xfId="0" applyFont="1" applyBorder="1" applyAlignment="1">
      <alignment horizontal="center" vertical="center"/>
    </xf>
    <xf numFmtId="0" fontId="16" fillId="0" borderId="0" xfId="0" applyFont="1" applyAlignment="1">
      <alignment horizontal="center" vertical="center"/>
    </xf>
    <xf numFmtId="0" fontId="12" fillId="0" borderId="4" xfId="0" applyFont="1" applyBorder="1" applyAlignment="1">
      <alignment horizontal="center" vertical="center" wrapText="1"/>
    </xf>
    <xf numFmtId="1" fontId="12" fillId="0" borderId="4" xfId="0" applyNumberFormat="1" applyFont="1" applyBorder="1" applyAlignment="1">
      <alignment horizontal="center"/>
    </xf>
    <xf numFmtId="0" fontId="12" fillId="0" borderId="0" xfId="0" applyFont="1" applyAlignment="1">
      <alignment horizontal="center"/>
    </xf>
    <xf numFmtId="2" fontId="12" fillId="0" borderId="4" xfId="0" applyNumberFormat="1" applyFont="1" applyBorder="1" applyAlignment="1">
      <alignment horizontal="center"/>
    </xf>
    <xf numFmtId="9" fontId="12" fillId="0" borderId="4" xfId="0" applyNumberFormat="1" applyFont="1" applyBorder="1" applyAlignment="1">
      <alignment horizontal="center"/>
    </xf>
    <xf numFmtId="9" fontId="12" fillId="0" borderId="0" xfId="0" applyNumberFormat="1" applyFont="1" applyAlignment="1">
      <alignment horizontal="center"/>
    </xf>
    <xf numFmtId="10" fontId="12" fillId="0" borderId="14" xfId="0" applyNumberFormat="1" applyFont="1" applyBorder="1" applyAlignment="1" applyProtection="1">
      <alignment horizontal="center"/>
      <protection hidden="1"/>
    </xf>
    <xf numFmtId="169" fontId="12" fillId="0" borderId="0" xfId="0" applyNumberFormat="1" applyFont="1" applyAlignment="1" applyProtection="1">
      <alignment horizontal="center"/>
      <protection hidden="1"/>
    </xf>
    <xf numFmtId="0" fontId="16" fillId="0" borderId="7"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8" xfId="0" applyFont="1" applyBorder="1" applyAlignment="1" applyProtection="1">
      <alignment horizontal="center" vertical="center" wrapText="1"/>
      <protection locked="0"/>
    </xf>
    <xf numFmtId="0" fontId="16" fillId="0" borderId="8" xfId="0" applyFont="1" applyBorder="1" applyAlignment="1">
      <alignment horizontal="center" vertical="center" wrapText="1"/>
    </xf>
    <xf numFmtId="0" fontId="16" fillId="0" borderId="15"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0" xfId="0" applyFont="1" applyProtection="1">
      <protection locked="0"/>
    </xf>
    <xf numFmtId="0" fontId="12" fillId="0" borderId="4" xfId="0" applyFont="1" applyBorder="1" applyAlignment="1">
      <alignment vertical="center" wrapText="1"/>
    </xf>
    <xf numFmtId="43" fontId="12" fillId="0" borderId="4" xfId="1" applyFont="1" applyFill="1" applyBorder="1" applyAlignment="1">
      <alignment vertical="center" wrapText="1"/>
    </xf>
    <xf numFmtId="0" fontId="12" fillId="0" borderId="8" xfId="0" applyFont="1" applyBorder="1" applyAlignment="1">
      <alignment vertical="center" wrapText="1"/>
    </xf>
    <xf numFmtId="0" fontId="12" fillId="0" borderId="4" xfId="0" applyFont="1" applyBorder="1" applyAlignment="1">
      <alignment horizontal="center"/>
    </xf>
    <xf numFmtId="0" fontId="12" fillId="0" borderId="4" xfId="0" applyFont="1" applyBorder="1" applyAlignment="1">
      <alignment horizontal="center" wrapText="1"/>
    </xf>
    <xf numFmtId="0" fontId="18" fillId="0" borderId="4" xfId="3" applyFont="1" applyBorder="1" applyAlignment="1">
      <alignment vertical="center" wrapText="1"/>
    </xf>
    <xf numFmtId="9" fontId="12" fillId="0" borderId="4" xfId="2" applyFont="1" applyFill="1" applyBorder="1" applyAlignment="1" applyProtection="1">
      <alignment horizontal="center" wrapText="1"/>
    </xf>
    <xf numFmtId="168" fontId="12" fillId="2" borderId="4" xfId="1" applyNumberFormat="1" applyFont="1" applyFill="1" applyBorder="1" applyAlignment="1" applyProtection="1">
      <alignment vertical="center" wrapText="1"/>
      <protection locked="0"/>
    </xf>
    <xf numFmtId="168" fontId="12" fillId="0" borderId="4" xfId="1" applyNumberFormat="1" applyFont="1" applyFill="1" applyBorder="1" applyAlignment="1">
      <alignment vertical="center" wrapText="1"/>
    </xf>
    <xf numFmtId="168" fontId="20" fillId="0" borderId="4" xfId="1" applyNumberFormat="1" applyFont="1" applyFill="1" applyBorder="1" applyAlignment="1">
      <alignment wrapText="1"/>
    </xf>
    <xf numFmtId="0" fontId="12" fillId="0" borderId="4" xfId="5" applyFont="1" applyBorder="1" applyAlignment="1">
      <alignment horizontal="center" vertical="center" wrapText="1"/>
    </xf>
    <xf numFmtId="168" fontId="22" fillId="2" borderId="4" xfId="1" applyNumberFormat="1" applyFont="1" applyFill="1" applyBorder="1" applyAlignment="1" applyProtection="1">
      <alignment horizontal="center" vertical="center" wrapText="1"/>
      <protection locked="0"/>
    </xf>
    <xf numFmtId="0" fontId="12" fillId="0" borderId="4" xfId="0" applyFont="1" applyBorder="1"/>
    <xf numFmtId="0" fontId="16" fillId="0" borderId="4" xfId="0" applyFont="1" applyBorder="1"/>
    <xf numFmtId="43" fontId="12" fillId="0" borderId="4" xfId="1" applyFont="1" applyFill="1" applyBorder="1" applyProtection="1">
      <protection locked="0"/>
    </xf>
    <xf numFmtId="170" fontId="12" fillId="0" borderId="4" xfId="0" applyNumberFormat="1" applyFont="1" applyBorder="1" applyProtection="1">
      <protection locked="0"/>
    </xf>
    <xf numFmtId="168" fontId="16" fillId="0" borderId="8" xfId="1" applyNumberFormat="1" applyFont="1" applyFill="1" applyBorder="1" applyAlignment="1">
      <alignment vertical="center"/>
    </xf>
    <xf numFmtId="43" fontId="12" fillId="0" borderId="0" xfId="1" applyFont="1" applyFill="1" applyProtection="1">
      <protection locked="0"/>
    </xf>
    <xf numFmtId="164" fontId="12" fillId="0" borderId="0" xfId="0" applyNumberFormat="1" applyFont="1"/>
    <xf numFmtId="168" fontId="12" fillId="0" borderId="0" xfId="1" applyNumberFormat="1" applyFont="1" applyFill="1"/>
    <xf numFmtId="168" fontId="12" fillId="0" borderId="0" xfId="1" applyNumberFormat="1" applyFont="1" applyFill="1" applyProtection="1">
      <protection locked="0"/>
    </xf>
    <xf numFmtId="171" fontId="12" fillId="0" borderId="0" xfId="1" applyNumberFormat="1" applyFont="1" applyFill="1" applyProtection="1">
      <protection locked="0"/>
    </xf>
    <xf numFmtId="172" fontId="12" fillId="0" borderId="0" xfId="0" applyNumberFormat="1" applyFont="1" applyProtection="1">
      <protection locked="0"/>
    </xf>
    <xf numFmtId="173" fontId="12" fillId="0" borderId="0" xfId="0" applyNumberFormat="1" applyFont="1" applyProtection="1">
      <protection locked="0"/>
    </xf>
    <xf numFmtId="174" fontId="12" fillId="0" borderId="0" xfId="0" applyNumberFormat="1" applyFont="1" applyProtection="1">
      <protection locked="0"/>
    </xf>
    <xf numFmtId="168" fontId="12" fillId="0" borderId="0" xfId="0" applyNumberFormat="1" applyFont="1" applyProtection="1">
      <protection locked="0"/>
    </xf>
    <xf numFmtId="168" fontId="12" fillId="0" borderId="0" xfId="1" applyNumberFormat="1" applyFont="1" applyProtection="1">
      <protection locked="0"/>
    </xf>
    <xf numFmtId="10" fontId="12" fillId="0" borderId="0" xfId="2" applyNumberFormat="1" applyFont="1" applyFill="1" applyProtection="1">
      <protection locked="0"/>
    </xf>
    <xf numFmtId="175" fontId="12" fillId="0" borderId="0" xfId="0" applyNumberFormat="1" applyFont="1" applyProtection="1">
      <protection locked="0"/>
    </xf>
    <xf numFmtId="168" fontId="12" fillId="0" borderId="0" xfId="2" applyNumberFormat="1" applyFont="1" applyFill="1" applyProtection="1">
      <protection locked="0"/>
    </xf>
    <xf numFmtId="9" fontId="12" fillId="0" borderId="0" xfId="2" applyFont="1" applyFill="1" applyProtection="1">
      <protection locked="0"/>
    </xf>
    <xf numFmtId="43" fontId="12" fillId="0" borderId="0" xfId="0" applyNumberFormat="1" applyFont="1" applyProtection="1">
      <protection locked="0"/>
    </xf>
    <xf numFmtId="176" fontId="12" fillId="0" borderId="0" xfId="0" applyNumberFormat="1" applyFont="1" applyProtection="1">
      <protection locked="0"/>
    </xf>
    <xf numFmtId="177" fontId="12" fillId="0" borderId="0" xfId="0" applyNumberFormat="1" applyFont="1" applyProtection="1">
      <protection locked="0"/>
    </xf>
    <xf numFmtId="0" fontId="24" fillId="0" borderId="0" xfId="0" applyFont="1" applyProtection="1">
      <protection locked="0"/>
    </xf>
    <xf numFmtId="178" fontId="12" fillId="0" borderId="0" xfId="0" applyNumberFormat="1" applyFont="1" applyProtection="1">
      <protection locked="0"/>
    </xf>
    <xf numFmtId="179" fontId="12" fillId="0" borderId="0" xfId="0" applyNumberFormat="1" applyFont="1" applyProtection="1">
      <protection locked="0"/>
    </xf>
    <xf numFmtId="180" fontId="12" fillId="0" borderId="0" xfId="0" applyNumberFormat="1" applyFont="1" applyProtection="1">
      <protection locked="0"/>
    </xf>
    <xf numFmtId="1" fontId="12" fillId="0" borderId="0" xfId="0" applyNumberFormat="1" applyFont="1" applyProtection="1">
      <protection locked="0"/>
    </xf>
    <xf numFmtId="9" fontId="4" fillId="0" borderId="4" xfId="2" applyFont="1" applyFill="1" applyBorder="1" applyAlignment="1">
      <alignment horizontal="center" vertical="center" wrapText="1"/>
    </xf>
    <xf numFmtId="165" fontId="4" fillId="0" borderId="4" xfId="0" applyNumberFormat="1" applyFont="1" applyBorder="1" applyAlignment="1">
      <alignment horizontal="center" vertical="center" wrapText="1"/>
    </xf>
    <xf numFmtId="167" fontId="0" fillId="0" borderId="4" xfId="4" applyNumberFormat="1" applyFont="1" applyFill="1" applyBorder="1" applyAlignment="1">
      <alignment horizontal="right" vertical="center" wrapText="1"/>
    </xf>
    <xf numFmtId="167" fontId="2" fillId="0" borderId="4" xfId="4" applyNumberFormat="1" applyFont="1" applyFill="1" applyBorder="1"/>
    <xf numFmtId="0" fontId="9" fillId="0" borderId="9" xfId="0" applyFont="1" applyBorder="1" applyAlignment="1">
      <alignment horizontal="center" vertical="center" wrapText="1"/>
    </xf>
    <xf numFmtId="167" fontId="0" fillId="0" borderId="11" xfId="4" applyNumberFormat="1" applyFont="1" applyFill="1" applyBorder="1"/>
    <xf numFmtId="168" fontId="2" fillId="0" borderId="11" xfId="1" applyNumberFormat="1" applyFont="1" applyFill="1" applyBorder="1"/>
    <xf numFmtId="168" fontId="0" fillId="0" borderId="0" xfId="1" applyNumberFormat="1" applyFont="1" applyFill="1"/>
    <xf numFmtId="167" fontId="0" fillId="0" borderId="4" xfId="4" applyNumberFormat="1" applyFont="1" applyFill="1" applyBorder="1"/>
    <xf numFmtId="168" fontId="2" fillId="0" borderId="4" xfId="1" applyNumberFormat="1" applyFont="1" applyFill="1" applyBorder="1"/>
    <xf numFmtId="0" fontId="8" fillId="0" borderId="0" xfId="0" applyFont="1" applyAlignment="1">
      <alignment vertical="center" wrapText="1"/>
    </xf>
    <xf numFmtId="168" fontId="0" fillId="0" borderId="4" xfId="1" applyNumberFormat="1" applyFont="1" applyFill="1" applyBorder="1" applyAlignment="1">
      <alignment horizontal="center" vertical="center" wrapText="1"/>
    </xf>
    <xf numFmtId="43" fontId="0" fillId="0" borderId="4" xfId="1" applyFont="1" applyFill="1" applyBorder="1" applyAlignment="1">
      <alignment horizontal="center" vertical="center" wrapText="1"/>
    </xf>
    <xf numFmtId="43" fontId="2" fillId="0" borderId="4" xfId="1" applyFont="1" applyFill="1" applyBorder="1"/>
    <xf numFmtId="0" fontId="9" fillId="0" borderId="10" xfId="0" applyFont="1" applyBorder="1" applyAlignment="1">
      <alignment horizontal="center" vertical="center" wrapText="1"/>
    </xf>
    <xf numFmtId="168" fontId="0" fillId="0" borderId="12" xfId="1" applyNumberFormat="1" applyFont="1" applyFill="1" applyBorder="1"/>
    <xf numFmtId="167" fontId="11" fillId="0" borderId="13" xfId="4" applyNumberFormat="1" applyFont="1" applyFill="1" applyBorder="1"/>
    <xf numFmtId="10" fontId="0" fillId="0" borderId="0" xfId="2" applyNumberFormat="1" applyFont="1" applyFill="1"/>
    <xf numFmtId="167" fontId="0" fillId="0" borderId="0" xfId="0" applyNumberFormat="1"/>
    <xf numFmtId="0" fontId="19" fillId="0" borderId="11" xfId="0" applyFont="1" applyBorder="1" applyAlignment="1">
      <alignment horizontal="center" wrapText="1"/>
    </xf>
    <xf numFmtId="0" fontId="19" fillId="0" borderId="16" xfId="0" applyFont="1" applyBorder="1" applyAlignment="1">
      <alignment horizontal="center" wrapText="1"/>
    </xf>
    <xf numFmtId="0" fontId="19" fillId="0" borderId="13" xfId="0" applyFont="1" applyBorder="1" applyAlignment="1">
      <alignment horizontal="center" wrapText="1"/>
    </xf>
    <xf numFmtId="0" fontId="16" fillId="0" borderId="5" xfId="0" applyFont="1" applyBorder="1" applyAlignment="1">
      <alignment horizontal="center" vertical="center"/>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5" xfId="0" applyFont="1" applyBorder="1" applyAlignment="1">
      <alignment horizontal="center" vertical="center" wrapText="1"/>
    </xf>
    <xf numFmtId="0" fontId="16" fillId="0" borderId="17"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13" xfId="0" applyFont="1" applyBorder="1" applyAlignment="1">
      <alignment horizontal="center" vertical="center" wrapText="1"/>
    </xf>
    <xf numFmtId="0" fontId="12" fillId="0" borderId="4" xfId="0" applyFont="1" applyBorder="1" applyAlignment="1">
      <alignment horizontal="left"/>
    </xf>
    <xf numFmtId="0" fontId="0" fillId="0" borderId="4" xfId="0" applyBorder="1"/>
    <xf numFmtId="0" fontId="12" fillId="0" borderId="11" xfId="0" applyFont="1" applyBorder="1" applyAlignment="1">
      <alignment horizontal="left"/>
    </xf>
    <xf numFmtId="0" fontId="12" fillId="0" borderId="16" xfId="0" applyFont="1" applyBorder="1" applyAlignment="1">
      <alignment horizontal="left"/>
    </xf>
    <xf numFmtId="0" fontId="12" fillId="0" borderId="13" xfId="0" applyFont="1" applyBorder="1" applyAlignment="1">
      <alignment horizontal="left"/>
    </xf>
    <xf numFmtId="0" fontId="16" fillId="0" borderId="5" xfId="0" applyFont="1" applyBorder="1" applyAlignment="1">
      <alignment horizontal="center"/>
    </xf>
    <xf numFmtId="0" fontId="16" fillId="0" borderId="6" xfId="0" applyFont="1" applyBorder="1" applyAlignment="1">
      <alignment horizontal="center"/>
    </xf>
    <xf numFmtId="0" fontId="16" fillId="0" borderId="7" xfId="0" applyFont="1" applyBorder="1" applyAlignment="1">
      <alignment horizontal="center"/>
    </xf>
    <xf numFmtId="0" fontId="16" fillId="0" borderId="5" xfId="0" applyFont="1" applyBorder="1" applyAlignment="1" applyProtection="1">
      <alignment horizontal="center"/>
      <protection locked="0"/>
    </xf>
    <xf numFmtId="0" fontId="16" fillId="0" borderId="6" xfId="0" applyFont="1" applyBorder="1" applyAlignment="1" applyProtection="1">
      <alignment horizontal="center"/>
      <protection locked="0"/>
    </xf>
    <xf numFmtId="0" fontId="16" fillId="0" borderId="7" xfId="0" applyFont="1" applyBorder="1" applyAlignment="1" applyProtection="1">
      <alignment horizontal="center"/>
      <protection locked="0"/>
    </xf>
    <xf numFmtId="0" fontId="13" fillId="0" borderId="0" xfId="0" applyFont="1" applyAlignment="1">
      <alignment horizontal="center"/>
    </xf>
    <xf numFmtId="0" fontId="15" fillId="0" borderId="0" xfId="0" applyFont="1" applyAlignment="1">
      <alignment horizontal="center" vertical="center" wrapText="1"/>
    </xf>
    <xf numFmtId="0" fontId="16" fillId="0" borderId="4" xfId="0" applyFont="1" applyBorder="1" applyAlignment="1">
      <alignment horizontal="center" vertical="center"/>
    </xf>
    <xf numFmtId="0" fontId="0" fillId="0" borderId="4" xfId="0" applyBorder="1" applyAlignment="1">
      <alignment vertical="center"/>
    </xf>
    <xf numFmtId="0" fontId="16" fillId="0" borderId="4" xfId="0" applyFont="1" applyBorder="1" applyAlignment="1">
      <alignment horizontal="left" wrapText="1"/>
    </xf>
    <xf numFmtId="0" fontId="2" fillId="0" borderId="4" xfId="0" applyFont="1" applyBorder="1" applyAlignment="1">
      <alignment wrapText="1"/>
    </xf>
    <xf numFmtId="0" fontId="11" fillId="2" borderId="14" xfId="0" applyFont="1" applyFill="1" applyBorder="1" applyAlignment="1">
      <alignment horizontal="center"/>
    </xf>
    <xf numFmtId="0" fontId="11" fillId="2" borderId="15" xfId="0" applyFont="1" applyFill="1" applyBorder="1" applyAlignment="1">
      <alignment horizontal="center"/>
    </xf>
    <xf numFmtId="0" fontId="11" fillId="2" borderId="8" xfId="0" applyFont="1" applyFill="1" applyBorder="1" applyAlignment="1">
      <alignment horizontal="center"/>
    </xf>
    <xf numFmtId="0" fontId="17" fillId="0" borderId="4" xfId="0" applyFont="1" applyBorder="1" applyAlignment="1">
      <alignment horizontal="left" vertical="center" wrapText="1"/>
    </xf>
    <xf numFmtId="0" fontId="11" fillId="0" borderId="4" xfId="0" applyFont="1" applyBorder="1"/>
    <xf numFmtId="0" fontId="8" fillId="0" borderId="4" xfId="0" applyFont="1" applyBorder="1" applyAlignment="1">
      <alignment horizontal="center" vertical="center" wrapText="1"/>
    </xf>
    <xf numFmtId="0" fontId="9" fillId="0" borderId="4" xfId="0" applyFont="1" applyBorder="1" applyAlignment="1">
      <alignment horizontal="center" vertical="center" wrapText="1"/>
    </xf>
    <xf numFmtId="0" fontId="7" fillId="0" borderId="4" xfId="3"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7" fillId="0" borderId="11" xfId="3" applyFont="1" applyBorder="1" applyAlignment="1">
      <alignment horizontal="center" vertical="center" wrapText="1"/>
    </xf>
    <xf numFmtId="0" fontId="3" fillId="0" borderId="1" xfId="0" applyFont="1" applyBorder="1" applyAlignment="1">
      <alignment horizontal="center" wrapText="1"/>
    </xf>
    <xf numFmtId="0" fontId="3" fillId="0" borderId="2" xfId="0" applyFont="1" applyBorder="1" applyAlignment="1">
      <alignment horizontal="center" wrapText="1"/>
    </xf>
    <xf numFmtId="0" fontId="3" fillId="0" borderId="3" xfId="0" applyFont="1" applyBorder="1" applyAlignment="1">
      <alignment horizontal="center" wrapText="1"/>
    </xf>
    <xf numFmtId="0" fontId="3" fillId="0" borderId="4" xfId="0" applyFont="1" applyBorder="1" applyAlignment="1">
      <alignment horizontal="center" wrapText="1"/>
    </xf>
  </cellXfs>
  <cellStyles count="6">
    <cellStyle name="Millares" xfId="1" builtinId="3"/>
    <cellStyle name="Moneda 3" xfId="4" xr:uid="{18E192AE-53CF-4E3C-A821-DE3D03D4AE15}"/>
    <cellStyle name="Normal" xfId="0" builtinId="0"/>
    <cellStyle name="Normal 11 2" xfId="3" xr:uid="{207DCC83-FE67-40B6-9955-91AE0B735881}"/>
    <cellStyle name="Normal 3 2" xfId="5" xr:uid="{26ADDCDB-BCEB-4A0A-8D75-6C499AFF81BA}"/>
    <cellStyle name="Porcentaje" xfId="2" builtinId="5"/>
  </cellStyles>
  <dxfs count="1">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calcChain" Target="calcChain.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114300</xdr:rowOff>
    </xdr:from>
    <xdr:ext cx="2228850" cy="495300"/>
    <xdr:pic>
      <xdr:nvPicPr>
        <xdr:cNvPr id="2" name="Imagen 2" descr="Logo CSJ RGB_01">
          <a:extLst>
            <a:ext uri="{FF2B5EF4-FFF2-40B4-BE49-F238E27FC236}">
              <a16:creationId xmlns:a16="http://schemas.microsoft.com/office/drawing/2014/main" id="{77C4B985-F20C-4E30-85CB-11C5AD07E9B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4300"/>
          <a:ext cx="222885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ocs.supersalud.gov.co/Users/ana.cipagauta/Desktop/ana/CATALOGO%20Ago%202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afiliaciones\Users\Users\Usuario\Desktop\PLANTILLA%20CARGA%20MASIVA%20INGRESO%20TRABAJADOR%200807201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Users/Yulieth/AppData/Local/Temp/Rar$DIa6844.49260/ASEOS%20COLOMBIANOS%20ASEOCOLBA.xlsb" TargetMode="External"/><Relationship Id="rId1" Type="http://schemas.openxmlformats.org/officeDocument/2006/relationships/externalLinkPath" Target="/Users/Yulieth/AppData/Local/Temp/Rar$DIa6844.49260/ASEOS%20COLOMBIANOS%20ASEOCOLBA.xlsb"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RAMA%20JUDICIAL%202019\SERVICIO%20DE%20VIGILANCIA\ESTUDIO%20DE%20MERCADO%202019-2021%20SERVICIO%20DE%20VIGILANCIA.xls"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gtorresv_cendoj_ramajudicial_gov_co/Documents/RAMA%20JUDICIAL%202026/LICITACION%20SERVICIO%20DE%20VIGILANCIA/2026-2027/09102026/ESTUDIO%20DE%20MERCADO%20SERVICIO%20DE%20VIGILANCIA%20%202026-2030.xlsx" TargetMode="External"/><Relationship Id="rId2" Type="http://schemas.openxmlformats.org/officeDocument/2006/relationships/externalLinkPath" Target="https://etbcsj-my.sharepoint.com/personal/gtorresv_cendoj_ramajudicial_gov_co/Documents/RAMA%20JUDICIAL%202026/LICITACION%20SERVICIO%20DE%20VIGILANCIA/2026-2027/09102026/ESTUDIO%20DE%20MERCADO%20SERVICIO%20DE%20VIGILANCIA%20%202026-2030.xlsx" TargetMode="External"/><Relationship Id="rId1" Type="http://schemas.openxmlformats.org/officeDocument/2006/relationships/externalLinkPath" Target="/personal/gtorresv_cendoj_ramajudicial_gov_co/Documents/RAMA%20JUDICIAL%202026/LICITACION%20SERVICIO%20DE%20VIGILANCIA/2026-2027/09102026/ESTUDIO%20DE%20MERCADO%20SERVICIO%20DE%20VIGILANCIA%20%202026-203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ROVIG"/>
      <sheetName val="Hoja1"/>
      <sheetName val="Vigentes"/>
      <sheetName val="Eliminados"/>
      <sheetName val="Hoja2"/>
      <sheetName val="Hoja3"/>
      <sheetName val="041"/>
      <sheetName val="Hoja4"/>
      <sheetName val="054"/>
      <sheetName val="543_548"/>
      <sheetName val="Hoja6"/>
      <sheetName val="544-547"/>
      <sheetName val="Hoja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TILLA"/>
      <sheetName val="ACTIVIDADES ECONOMICAS"/>
      <sheetName val="EPS"/>
      <sheetName val="AFP"/>
      <sheetName val="TIPO Y SUBTIPO COTIZANTE"/>
      <sheetName val="MUNICIPIOS-DEPARTAMENTOS"/>
      <sheetName val="OTROS"/>
      <sheetName val="Hoja1"/>
    </sheetNames>
    <sheetDataSet>
      <sheetData sheetId="0" refreshError="1"/>
      <sheetData sheetId="1" refreshError="1"/>
      <sheetData sheetId="2">
        <row r="2">
          <cell r="E2" t="str">
            <v>153-A.I.C- ASOCIACIÓN INDÍGENA DEL CAUCA</v>
          </cell>
        </row>
        <row r="3">
          <cell r="E3" t="str">
            <v>001-ALIANSALUD ENTIDAD PROMOTORA DE SALUD S.A.</v>
          </cell>
        </row>
        <row r="4">
          <cell r="E4" t="str">
            <v>144-AMBUQ - ASOC. MUTUAL BARRIOS UNIDOS QUIBDÓ E.S.S.</v>
          </cell>
        </row>
        <row r="5">
          <cell r="E5" t="str">
            <v>154-ANAS WAYUU - ENTIDAD PROMOTORA DE SALUD</v>
          </cell>
        </row>
        <row r="6">
          <cell r="E6" t="str">
            <v>143-ASMET SALUD - ASOCIACIÓN MUTUAL LA ESPERANZA</v>
          </cell>
        </row>
        <row r="7">
          <cell r="E7" t="str">
            <v>150-ASOCIACIÓN MUTUAL SER EMPRESA SOLIDARIA SALUD ESS</v>
          </cell>
        </row>
        <row r="8">
          <cell r="E8" t="str">
            <v>027-BARRANQUILLA SANA  E P S</v>
          </cell>
        </row>
        <row r="9">
          <cell r="E9" t="str">
            <v>003-CAFESALUD EPS</v>
          </cell>
        </row>
        <row r="10">
          <cell r="E10" t="str">
            <v>135-CAJA DE COMPENSACIÓN FAMILIAR CAFAM EPS</v>
          </cell>
        </row>
        <row r="11">
          <cell r="E11" t="str">
            <v>142-CAJACOPI ATLANTICO - CCF</v>
          </cell>
        </row>
        <row r="12">
          <cell r="E12" t="str">
            <v>024-CAJANAL  E P S</v>
          </cell>
        </row>
        <row r="13">
          <cell r="E13" t="str">
            <v>028-CALISALUD  E P S</v>
          </cell>
        </row>
        <row r="14">
          <cell r="E14" t="str">
            <v>159-CAPITAL SALUD EPSS S.A.S..</v>
          </cell>
        </row>
        <row r="15">
          <cell r="E15" t="str">
            <v>020-CAPRECOM - CAJA DE PREVISIÓN SOCIAL DE COMUNIC EPS</v>
          </cell>
        </row>
        <row r="16">
          <cell r="E16" t="str">
            <v>025-CAPRESOCA EPS</v>
          </cell>
        </row>
        <row r="17">
          <cell r="E17" t="str">
            <v>011-COLSEGUROS  E P S</v>
          </cell>
        </row>
        <row r="18">
          <cell r="E18" t="str">
            <v>146-COLSUBSIDIO EPS - CAJA CBIANA DE SUBSIDIO FAMILIAR</v>
          </cell>
        </row>
        <row r="19">
          <cell r="E19" t="str">
            <v>133-COMFABOY EPS-CCF DE BOYACÁ</v>
          </cell>
        </row>
        <row r="20">
          <cell r="E20" t="str">
            <v>147-COMFACHOCO-CCF DEL CHOCÓ</v>
          </cell>
        </row>
        <row r="21">
          <cell r="E21" t="str">
            <v>134-COMFACOR EPS-CCF DE CÓRDOBA</v>
          </cell>
        </row>
        <row r="22">
          <cell r="E22" t="str">
            <v>141-COMFACUNDI - CCF DE CUNDINAMARCA</v>
          </cell>
        </row>
        <row r="23">
          <cell r="E23" t="str">
            <v>163-COMFAMILIAR CARTAGENA</v>
          </cell>
        </row>
        <row r="24">
          <cell r="E24" t="str">
            <v>136-COMFAMILIAR DE LA GUAJIRA EPS-CCF</v>
          </cell>
        </row>
        <row r="25">
          <cell r="E25" t="str">
            <v>137-COMFAMILIAR HUILA EPS-CCF</v>
          </cell>
        </row>
        <row r="26">
          <cell r="E26" t="str">
            <v>139-COMFAMILIAR NARIÑO EPS-CCF</v>
          </cell>
        </row>
        <row r="27">
          <cell r="E27" t="str">
            <v>140-COMFASUCRE EPS-CCF DE SUCRE</v>
          </cell>
        </row>
        <row r="28">
          <cell r="E28" t="str">
            <v>009-COMFENALCO ANTIOQUIA  E P S</v>
          </cell>
        </row>
        <row r="29">
          <cell r="E29" t="str">
            <v>032-COMFENALCO QUINDIO</v>
          </cell>
        </row>
        <row r="30">
          <cell r="E30" t="str">
            <v>012-COMFENALCO VALLE EPS</v>
          </cell>
        </row>
        <row r="31">
          <cell r="E31" t="str">
            <v>149-COMPARTA - COOPERATIVA DE SALUD COMUNITARIA</v>
          </cell>
        </row>
        <row r="32">
          <cell r="E32" t="str">
            <v>008-COMPENSAR ENTIDAD PROMOTORA DE SALUD</v>
          </cell>
        </row>
        <row r="33">
          <cell r="E33" t="str">
            <v>999-CONSORCIO FISALUD(FOSYGA)</v>
          </cell>
        </row>
        <row r="34">
          <cell r="E34" t="str">
            <v>022-CONVIDA  - ENTIDAD ADM DE RÉGIMEN SUBSIDIADO</v>
          </cell>
        </row>
        <row r="35">
          <cell r="E35" t="str">
            <v>016-COOMEVA EPS. S.A.</v>
          </cell>
        </row>
        <row r="36">
          <cell r="E36" t="str">
            <v>138-COOSALUD E.S.S. COOP.SALUD Y DLLO INT.  CARTAGENA</v>
          </cell>
        </row>
        <row r="37">
          <cell r="E37" t="str">
            <v>023-CRUZ BLANCA ENTIDAD PROMOTORA DE SALUD S.A.</v>
          </cell>
        </row>
        <row r="38">
          <cell r="E38" t="str">
            <v>151-DUSAKAWI- ASOCIACIÓN  CABILDOS INDÍGENAS DEL CESAR</v>
          </cell>
        </row>
        <row r="39">
          <cell r="E39" t="str">
            <v>030-E P S  CONDOR  S A</v>
          </cell>
        </row>
        <row r="40">
          <cell r="E40" t="str">
            <v>029-E P S  DE CALDAS  S A</v>
          </cell>
        </row>
        <row r="41">
          <cell r="E41" t="str">
            <v>145-ECOOPSOS -ENTIDAD COOPERATIVA SOLIDARIA DE SALUD</v>
          </cell>
        </row>
        <row r="42">
          <cell r="E42" t="str">
            <v>131-EMDISALUD ESS - EMPRESA MUTUAL DLLO INT. SALUD</v>
          </cell>
        </row>
        <row r="43">
          <cell r="E43" t="str">
            <v>148-EMSSANAR E.S.S. EMPRESA SOLIDARIA DE SALUD NARINO</v>
          </cell>
        </row>
        <row r="44">
          <cell r="E44" t="str">
            <v>155-ENTIDAD PROMOTORA DE SALUD MALLAMAS EPSI</v>
          </cell>
        </row>
        <row r="45">
          <cell r="E45" t="str">
            <v xml:space="preserve"> C02-EPS ALIANZA MEDELLIN ANTIOQUIA E.P.S. SAS </v>
          </cell>
        </row>
        <row r="46">
          <cell r="E46" t="str">
            <v>041-EPS COLPATRIA</v>
          </cell>
        </row>
        <row r="47">
          <cell r="E47" t="str">
            <v>017-EPS FAMISANAR LTDA</v>
          </cell>
        </row>
        <row r="48">
          <cell r="E48" t="str">
            <v>040-EPS PROGRAMA DE SALUD U DE A</v>
          </cell>
        </row>
        <row r="49">
          <cell r="E49" t="str">
            <v>127-FONDO DE PASIVO SOCIAL FERROCARRILES NACIONALES DE</v>
          </cell>
        </row>
        <row r="50">
          <cell r="E50" t="str">
            <v>039-GOLDEN GROUP S.A. ENTIDAD PROMOTORA DE SALUD</v>
          </cell>
        </row>
        <row r="51">
          <cell r="E51" t="str">
            <v>014-HUMANA VIVIR S A  E P S</v>
          </cell>
        </row>
        <row r="52">
          <cell r="E52" t="str">
            <v>006-ISS  E P S</v>
          </cell>
        </row>
        <row r="53">
          <cell r="E53" t="str">
            <v>152-MANEXKA - ASOC. CABILDOS INDÍG.  RESGUARDO ZENÚ</v>
          </cell>
        </row>
        <row r="54">
          <cell r="E54" t="str">
            <v>045-MEDIMAS EPS S.A.S</v>
          </cell>
        </row>
        <row r="55">
          <cell r="E55" t="str">
            <v>044-MEDIMAS EPS S.A.S</v>
          </cell>
        </row>
        <row r="56">
          <cell r="E56" t="str">
            <v>038-MULTIMÉDICAS EPS</v>
          </cell>
        </row>
        <row r="57">
          <cell r="E57" t="str">
            <v>088-MUNICIPIO DE MEDELLIN</v>
          </cell>
        </row>
        <row r="58">
          <cell r="E58" t="str">
            <v>000-NINGUNA EPS</v>
          </cell>
        </row>
        <row r="59">
          <cell r="E59" t="str">
            <v>037-NUEVA EPS S.A.</v>
          </cell>
        </row>
        <row r="60">
          <cell r="E60" t="str">
            <v>156-PIJAOSALUD EPSI - ENTIDAD PROMOTORA DE SALUD</v>
          </cell>
        </row>
        <row r="61">
          <cell r="E61" t="str">
            <v>035-RED SALUD</v>
          </cell>
        </row>
        <row r="62">
          <cell r="E62" t="str">
            <v>019-RISARALDA  E P S</v>
          </cell>
        </row>
        <row r="63">
          <cell r="E63" t="str">
            <v>034-SALUD COLOMBIA - REGIMEN CONTRIBUTIVO</v>
          </cell>
        </row>
        <row r="64">
          <cell r="E64" t="str">
            <v>015-SALUD COLPATRIA  E P S</v>
          </cell>
        </row>
        <row r="65">
          <cell r="E65" t="str">
            <v>002-SALUD TOTAL S.A. ENTIDAD PROMOTORA DE SALUD</v>
          </cell>
        </row>
        <row r="66">
          <cell r="E66" t="str">
            <v>033-SALUD VIDA S.A. ENTIDAD PROMOTORA DE SALUD</v>
          </cell>
        </row>
        <row r="67">
          <cell r="E67" t="str">
            <v>013-SALUDCOOP EPS</v>
          </cell>
        </row>
        <row r="68">
          <cell r="E68" t="str">
            <v>161-SANIDAD FUERZAS MILITARES</v>
          </cell>
        </row>
        <row r="69">
          <cell r="E69" t="str">
            <v>005-SANITAS  EPS - ENTIDAD PROMOTORA DE SALUD SANITAS</v>
          </cell>
        </row>
        <row r="70">
          <cell r="E70" t="str">
            <v>130-SAVIA SALUD EPS  (COMFAMA)</v>
          </cell>
        </row>
        <row r="71">
          <cell r="E71" t="str">
            <v>031-SELVASALUD S A   E P S</v>
          </cell>
        </row>
        <row r="72">
          <cell r="E72" t="str">
            <v>624-SERVICIO MEDICO Y ODONTOLOGICO EAAB-ESP</v>
          </cell>
        </row>
        <row r="73">
          <cell r="E73" t="str">
            <v>105-SISTEMA UNIVERSITARIO DE SALUD</v>
          </cell>
        </row>
        <row r="74">
          <cell r="E74" t="str">
            <v>026-SOLSALUD  E P S</v>
          </cell>
        </row>
        <row r="75">
          <cell r="E75" t="str">
            <v>018-SOS EPS (OCCIDENTAL DE SALUD S.A)</v>
          </cell>
        </row>
        <row r="76">
          <cell r="E76" t="str">
            <v>036-SSS EMPRESAS PUBLICAS DE MED SERVICIOS MEDICOS</v>
          </cell>
        </row>
        <row r="77">
          <cell r="E77" t="str">
            <v>010-SURA EPS</v>
          </cell>
        </row>
        <row r="78">
          <cell r="E78" t="str">
            <v>007-UNIMEC  E P S</v>
          </cell>
        </row>
        <row r="79">
          <cell r="E79" t="str">
            <v>121-UNISALUD</v>
          </cell>
        </row>
      </sheetData>
      <sheetData sheetId="3">
        <row r="2">
          <cell r="D2" t="str">
            <v>010-COLFONDOS</v>
          </cell>
        </row>
        <row r="3">
          <cell r="D3" t="str">
            <v>004-COLMENA</v>
          </cell>
        </row>
        <row r="4">
          <cell r="D4" t="str">
            <v>001-COLPATRIA</v>
          </cell>
        </row>
        <row r="5">
          <cell r="D5" t="str">
            <v>031-COLPENSIONES</v>
          </cell>
        </row>
        <row r="6">
          <cell r="D6" t="str">
            <v>005-HORIZONTES</v>
          </cell>
        </row>
        <row r="7">
          <cell r="D7" t="str">
            <v>008-ING FONDO DE PENSIONES</v>
          </cell>
        </row>
        <row r="8">
          <cell r="D8" t="str">
            <v>011-INVERTIR</v>
          </cell>
        </row>
        <row r="9">
          <cell r="D9" t="str">
            <v>023-ISS</v>
          </cell>
        </row>
        <row r="10">
          <cell r="D10" t="str">
            <v xml:space="preserve">000-NINGUNA </v>
          </cell>
        </row>
        <row r="11">
          <cell r="D11" t="str">
            <v>009-OLD MUTUAL - SKANDIA</v>
          </cell>
        </row>
        <row r="12">
          <cell r="D12" t="str">
            <v>019-PENSIONAR</v>
          </cell>
        </row>
        <row r="13">
          <cell r="D13" t="str">
            <v>003-PORVENIR</v>
          </cell>
        </row>
        <row r="14">
          <cell r="D14" t="str">
            <v>002-PROTECCION</v>
          </cell>
        </row>
        <row r="15">
          <cell r="D15" t="str">
            <v>027-SSS CAPRECOM</v>
          </cell>
        </row>
        <row r="16">
          <cell r="D16" t="str">
            <v>026-SSS FONDO DE PREVISION SOCIAL DEL CONGRESO</v>
          </cell>
        </row>
        <row r="17">
          <cell r="D17" t="str">
            <v>028-SSS PENSIONES DE ANTIOQUIA</v>
          </cell>
        </row>
      </sheetData>
      <sheetData sheetId="4" refreshError="1"/>
      <sheetData sheetId="5" refreshError="1"/>
      <sheetData sheetId="6">
        <row r="6">
          <cell r="E6" t="str">
            <v>M-MASCULINO</v>
          </cell>
        </row>
        <row r="7">
          <cell r="E7" t="str">
            <v>F-FEMENINO</v>
          </cell>
        </row>
      </sheetData>
      <sheetData sheetId="7"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olicitud de Cotización General"/>
      <sheetName val="Detalle Bienes de Aseo y Caf"/>
      <sheetName val="Detalle Especificaciones"/>
      <sheetName val="Resumen - CSV"/>
      <sheetName val="Cotizacion Bienes de Aseo y Ca"/>
      <sheetName val="Cotizacion"/>
      <sheetName val="ConsolidadoServicios"/>
      <sheetName val="solCotizacionCSV_es"/>
      <sheetName val="Listas"/>
      <sheetName val="ClasifiPersonal"/>
      <sheetName val="TablaDinamica"/>
      <sheetName val="temp"/>
      <sheetName val="Prec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ow r="2">
          <cell r="E2" t="str">
            <v>Sí</v>
          </cell>
        </row>
        <row r="3">
          <cell r="E3" t="str">
            <v>No</v>
          </cell>
        </row>
      </sheetData>
      <sheetData sheetId="9" refreshError="1"/>
      <sheetData sheetId="10" refreshError="1"/>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SUMEN VIGILANCIAOK (2)"/>
      <sheetName val="Prueba oferta redondeado modelo"/>
      <sheetName val="ppto oficial"/>
      <sheetName val="ESTUDIO"/>
      <sheetName val="Nª SERVICIOS"/>
      <sheetName val="DETALLE"/>
      <sheetName val="RESUMEN VIGILANCIAOK"/>
      <sheetName val="SEVICOL"/>
      <sheetName val="COVISUR"/>
      <sheetName val="AMCOVIT"/>
      <sheetName val="Hoja3"/>
    </sheetNames>
    <sheetDataSet>
      <sheetData sheetId="0" refreshError="1"/>
      <sheetData sheetId="1" refreshError="1"/>
      <sheetData sheetId="2" refreshError="1"/>
      <sheetData sheetId="3" refreshError="1"/>
      <sheetData sheetId="4" refreshError="1">
        <row r="5">
          <cell r="A5" t="str">
            <v>A</v>
          </cell>
        </row>
        <row r="6">
          <cell r="A6" t="str">
            <v>B</v>
          </cell>
        </row>
        <row r="14">
          <cell r="E14">
            <v>3</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DETALLE VR MES 2027(ENE-JUNIO)"/>
      <sheetName val="DETALLE VR MES 2026"/>
      <sheetName val="MARZO 2027"/>
      <sheetName val="ESTUDIO DE MERCADO"/>
      <sheetName val="ABRIL 2028 "/>
      <sheetName val="ANEXO 6 (MODELO 1)"/>
      <sheetName val="DICIEMBRE 2026"/>
      <sheetName val="DICIEMBRE 2027"/>
      <sheetName val="ENERO 2029"/>
      <sheetName val="DICIEMBRE 2028"/>
      <sheetName val="ENERO 2028"/>
      <sheetName val="ENERO 2027"/>
      <sheetName val="ABRIL 2030"/>
      <sheetName val="ENERO DE 2030"/>
      <sheetName val="DICIEMBRE 2029"/>
      <sheetName val="MARZO 2029"/>
      <sheetName val="MES DE 2028"/>
      <sheetName val="MES DE 2029-"/>
      <sheetName val="MES DE 2030"/>
      <sheetName val="ANEXO 6"/>
      <sheetName val="DETALLE VR MES 2027(JULIO-DIC)"/>
      <sheetName val="PROYECCION VIG.FUT"/>
    </sheetNames>
    <sheetDataSet>
      <sheetData sheetId="0"/>
      <sheetData sheetId="1"/>
      <sheetData sheetId="2">
        <row r="2">
          <cell r="G2">
            <v>5436091</v>
          </cell>
        </row>
        <row r="3">
          <cell r="G3">
            <v>5436091</v>
          </cell>
        </row>
        <row r="4">
          <cell r="G4">
            <v>6040426</v>
          </cell>
        </row>
        <row r="5">
          <cell r="G5">
            <v>5889004</v>
          </cell>
        </row>
        <row r="6">
          <cell r="G6">
            <v>5889004</v>
          </cell>
        </row>
        <row r="7">
          <cell r="G7">
            <v>5889004</v>
          </cell>
        </row>
        <row r="8">
          <cell r="G8">
            <v>5889004</v>
          </cell>
        </row>
        <row r="9">
          <cell r="G9">
            <v>5889004</v>
          </cell>
        </row>
        <row r="10">
          <cell r="G10">
            <v>5889004</v>
          </cell>
        </row>
        <row r="11">
          <cell r="G11">
            <v>21004856</v>
          </cell>
        </row>
        <row r="12">
          <cell r="G12">
            <v>6644308</v>
          </cell>
        </row>
        <row r="13">
          <cell r="G13">
            <v>8609198</v>
          </cell>
        </row>
        <row r="14">
          <cell r="G14">
            <v>20622950</v>
          </cell>
        </row>
        <row r="15">
          <cell r="G15">
            <v>21004856</v>
          </cell>
        </row>
        <row r="16">
          <cell r="G16">
            <v>6644308</v>
          </cell>
        </row>
        <row r="17">
          <cell r="G17">
            <v>21004856</v>
          </cell>
        </row>
        <row r="18">
          <cell r="G18">
            <v>21004856</v>
          </cell>
        </row>
        <row r="19">
          <cell r="G19">
            <v>6520420</v>
          </cell>
        </row>
        <row r="20">
          <cell r="G20">
            <v>20613205</v>
          </cell>
        </row>
      </sheetData>
      <sheetData sheetId="3"/>
      <sheetData sheetId="4">
        <row r="2">
          <cell r="G2">
            <v>4826837</v>
          </cell>
        </row>
        <row r="3">
          <cell r="G3">
            <v>4826837</v>
          </cell>
        </row>
        <row r="4">
          <cell r="G4">
            <v>6435731</v>
          </cell>
        </row>
        <row r="5">
          <cell r="G5">
            <v>5470227</v>
          </cell>
        </row>
        <row r="6">
          <cell r="G6">
            <v>5470227</v>
          </cell>
        </row>
        <row r="7">
          <cell r="G7">
            <v>5470227</v>
          </cell>
        </row>
        <row r="8">
          <cell r="G8">
            <v>5470227</v>
          </cell>
        </row>
        <row r="9">
          <cell r="G9">
            <v>5470227</v>
          </cell>
        </row>
        <row r="10">
          <cell r="G10">
            <v>5470227</v>
          </cell>
        </row>
        <row r="12">
          <cell r="G12">
            <v>7079136</v>
          </cell>
        </row>
        <row r="16">
          <cell r="G16">
            <v>7079136</v>
          </cell>
        </row>
      </sheetData>
      <sheetData sheetId="5"/>
      <sheetData sheetId="6">
        <row r="2">
          <cell r="G2">
            <v>3746413</v>
          </cell>
        </row>
        <row r="3">
          <cell r="G3">
            <v>5763765</v>
          </cell>
        </row>
        <row r="4">
          <cell r="G4">
            <v>5763765</v>
          </cell>
        </row>
        <row r="5">
          <cell r="G5">
            <v>4178574</v>
          </cell>
        </row>
        <row r="6">
          <cell r="G6">
            <v>6339989</v>
          </cell>
        </row>
        <row r="7">
          <cell r="G7">
            <v>4178574</v>
          </cell>
        </row>
        <row r="8">
          <cell r="G8">
            <v>4178574</v>
          </cell>
        </row>
        <row r="9">
          <cell r="G9">
            <v>4178574</v>
          </cell>
        </row>
        <row r="10">
          <cell r="G10">
            <v>6339989</v>
          </cell>
        </row>
        <row r="11">
          <cell r="G11">
            <v>20042801</v>
          </cell>
        </row>
        <row r="12">
          <cell r="G12">
            <v>6339989</v>
          </cell>
        </row>
        <row r="13">
          <cell r="G13">
            <v>8214884</v>
          </cell>
        </row>
        <row r="14">
          <cell r="G14">
            <v>19678387</v>
          </cell>
        </row>
        <row r="15">
          <cell r="G15">
            <v>20042801</v>
          </cell>
        </row>
        <row r="16">
          <cell r="G16">
            <v>6339989</v>
          </cell>
        </row>
        <row r="17">
          <cell r="G17">
            <v>20042801</v>
          </cell>
        </row>
        <row r="18">
          <cell r="G18">
            <v>20042801</v>
          </cell>
        </row>
        <row r="19">
          <cell r="G19">
            <v>6221775</v>
          </cell>
        </row>
        <row r="20">
          <cell r="G20">
            <v>19669089</v>
          </cell>
        </row>
      </sheetData>
      <sheetData sheetId="7">
        <row r="2">
          <cell r="G2">
            <v>3684652</v>
          </cell>
        </row>
        <row r="3">
          <cell r="G3">
            <v>6140965</v>
          </cell>
        </row>
        <row r="4">
          <cell r="G4">
            <v>6140965</v>
          </cell>
        </row>
        <row r="5">
          <cell r="G5">
            <v>4145097</v>
          </cell>
        </row>
        <row r="6">
          <cell r="G6">
            <v>6754901</v>
          </cell>
        </row>
        <row r="7">
          <cell r="G7">
            <v>4145097</v>
          </cell>
        </row>
        <row r="8">
          <cell r="G8">
            <v>4145097</v>
          </cell>
        </row>
        <row r="9">
          <cell r="G9">
            <v>4145097</v>
          </cell>
        </row>
        <row r="10">
          <cell r="G10">
            <v>6754901</v>
          </cell>
        </row>
        <row r="12">
          <cell r="G12">
            <v>6754901</v>
          </cell>
        </row>
        <row r="16">
          <cell r="G16">
            <v>6754901</v>
          </cell>
        </row>
      </sheetData>
      <sheetData sheetId="8">
        <row r="2">
          <cell r="G2">
            <v>5058284</v>
          </cell>
        </row>
        <row r="3">
          <cell r="G3">
            <v>6744646</v>
          </cell>
        </row>
        <row r="4">
          <cell r="G4">
            <v>6744646</v>
          </cell>
        </row>
        <row r="5">
          <cell r="G5">
            <v>5563995</v>
          </cell>
        </row>
        <row r="6">
          <cell r="G6">
            <v>7418935</v>
          </cell>
        </row>
        <row r="7">
          <cell r="G7">
            <v>5563995</v>
          </cell>
        </row>
        <row r="8">
          <cell r="G8">
            <v>5563995</v>
          </cell>
        </row>
        <row r="9">
          <cell r="G9">
            <v>5563995</v>
          </cell>
        </row>
        <row r="10">
          <cell r="G10">
            <v>7418935</v>
          </cell>
        </row>
        <row r="12">
          <cell r="G12">
            <v>7418935</v>
          </cell>
        </row>
        <row r="16">
          <cell r="G16">
            <v>7418935</v>
          </cell>
        </row>
      </sheetData>
      <sheetData sheetId="9">
        <row r="2">
          <cell r="G2">
            <v>3861515</v>
          </cell>
        </row>
        <row r="3">
          <cell r="G3">
            <v>6435731</v>
          </cell>
        </row>
        <row r="4">
          <cell r="G4">
            <v>6435731</v>
          </cell>
        </row>
        <row r="5">
          <cell r="G5">
            <v>4344062</v>
          </cell>
        </row>
        <row r="6">
          <cell r="G6">
            <v>7079136</v>
          </cell>
        </row>
        <row r="7">
          <cell r="G7">
            <v>4344062</v>
          </cell>
        </row>
        <row r="8">
          <cell r="G8">
            <v>4344062</v>
          </cell>
        </row>
        <row r="9">
          <cell r="G9">
            <v>4344062</v>
          </cell>
        </row>
        <row r="10">
          <cell r="G10">
            <v>7079136</v>
          </cell>
        </row>
        <row r="12">
          <cell r="G12">
            <v>7079136</v>
          </cell>
        </row>
        <row r="16">
          <cell r="G16">
            <v>7079136</v>
          </cell>
        </row>
      </sheetData>
      <sheetData sheetId="10">
        <row r="2">
          <cell r="G2">
            <v>4826607</v>
          </cell>
        </row>
        <row r="3">
          <cell r="G3">
            <v>6435731</v>
          </cell>
        </row>
        <row r="4">
          <cell r="G4">
            <v>6435731</v>
          </cell>
        </row>
        <row r="5">
          <cell r="G5">
            <v>5309077</v>
          </cell>
        </row>
        <row r="6">
          <cell r="G6">
            <v>7079136</v>
          </cell>
        </row>
        <row r="7">
          <cell r="G7">
            <v>5309077</v>
          </cell>
        </row>
        <row r="8">
          <cell r="G8">
            <v>5309077</v>
          </cell>
        </row>
        <row r="9">
          <cell r="G9">
            <v>5309077</v>
          </cell>
        </row>
        <row r="10">
          <cell r="G10">
            <v>7079136</v>
          </cell>
        </row>
        <row r="12">
          <cell r="G12">
            <v>7079136</v>
          </cell>
        </row>
        <row r="16">
          <cell r="G16">
            <v>7079136</v>
          </cell>
        </row>
      </sheetData>
      <sheetData sheetId="11">
        <row r="2">
          <cell r="G2">
            <v>4228152</v>
          </cell>
        </row>
        <row r="3">
          <cell r="G3">
            <v>6040426</v>
          </cell>
        </row>
        <row r="4">
          <cell r="G4">
            <v>6040426</v>
          </cell>
        </row>
        <row r="5">
          <cell r="G5">
            <v>4681057</v>
          </cell>
        </row>
        <row r="6">
          <cell r="G6">
            <v>6644308</v>
          </cell>
        </row>
        <row r="7">
          <cell r="G7">
            <v>4681057</v>
          </cell>
        </row>
        <row r="8">
          <cell r="G8">
            <v>4681057</v>
          </cell>
        </row>
        <row r="9">
          <cell r="G9">
            <v>4681057</v>
          </cell>
        </row>
        <row r="10">
          <cell r="G10">
            <v>6644308</v>
          </cell>
        </row>
        <row r="11">
          <cell r="G11">
            <v>21004856</v>
          </cell>
        </row>
        <row r="12">
          <cell r="G12">
            <v>6644308</v>
          </cell>
        </row>
        <row r="15">
          <cell r="G15">
            <v>21004856</v>
          </cell>
        </row>
        <row r="16">
          <cell r="G16">
            <v>6644308</v>
          </cell>
        </row>
        <row r="17">
          <cell r="G17">
            <v>21004856</v>
          </cell>
        </row>
        <row r="18">
          <cell r="G18">
            <v>21004856</v>
          </cell>
        </row>
        <row r="19">
          <cell r="G19">
            <v>6520420</v>
          </cell>
        </row>
      </sheetData>
      <sheetData sheetId="12">
        <row r="2">
          <cell r="G2">
            <v>6007921</v>
          </cell>
        </row>
        <row r="3">
          <cell r="G3">
            <v>6007921</v>
          </cell>
        </row>
        <row r="4">
          <cell r="G4">
            <v>7068389</v>
          </cell>
        </row>
        <row r="5">
          <cell r="G5">
            <v>6537912</v>
          </cell>
        </row>
        <row r="6">
          <cell r="G6">
            <v>6537912</v>
          </cell>
        </row>
        <row r="7">
          <cell r="G7">
            <v>6537912</v>
          </cell>
        </row>
        <row r="8">
          <cell r="G8">
            <v>6537912</v>
          </cell>
        </row>
        <row r="9">
          <cell r="G9">
            <v>6537912</v>
          </cell>
        </row>
        <row r="10">
          <cell r="G10">
            <v>6537912</v>
          </cell>
        </row>
        <row r="12">
          <cell r="G12">
            <v>7775043</v>
          </cell>
        </row>
        <row r="16">
          <cell r="G16">
            <v>7775043</v>
          </cell>
        </row>
      </sheetData>
      <sheetData sheetId="13">
        <row r="2">
          <cell r="G2">
            <v>5301082</v>
          </cell>
        </row>
        <row r="3">
          <cell r="G3">
            <v>7068389</v>
          </cell>
        </row>
        <row r="4">
          <cell r="G4">
            <v>7068389</v>
          </cell>
        </row>
        <row r="5">
          <cell r="G5">
            <v>5831067</v>
          </cell>
        </row>
        <row r="6">
          <cell r="G6">
            <v>7775043</v>
          </cell>
        </row>
        <row r="7">
          <cell r="G7">
            <v>5831067</v>
          </cell>
        </row>
        <row r="8">
          <cell r="G8">
            <v>5831067</v>
          </cell>
        </row>
        <row r="9">
          <cell r="G9">
            <v>5831067</v>
          </cell>
        </row>
        <row r="10">
          <cell r="G10">
            <v>7775043</v>
          </cell>
        </row>
        <row r="12">
          <cell r="G12">
            <v>7775043</v>
          </cell>
        </row>
        <row r="16">
          <cell r="G16">
            <v>7775043</v>
          </cell>
        </row>
      </sheetData>
      <sheetData sheetId="14">
        <row r="2">
          <cell r="G2">
            <v>4383980</v>
          </cell>
        </row>
        <row r="3">
          <cell r="G3">
            <v>6744646</v>
          </cell>
        </row>
        <row r="4">
          <cell r="G4">
            <v>6744646</v>
          </cell>
        </row>
        <row r="5">
          <cell r="G5">
            <v>4889689</v>
          </cell>
        </row>
        <row r="6">
          <cell r="G6">
            <v>7418935</v>
          </cell>
        </row>
        <row r="7">
          <cell r="G7">
            <v>4889689</v>
          </cell>
        </row>
        <row r="8">
          <cell r="G8">
            <v>4889689</v>
          </cell>
        </row>
        <row r="9">
          <cell r="G9">
            <v>4889689</v>
          </cell>
        </row>
        <row r="10">
          <cell r="G10">
            <v>7418935</v>
          </cell>
        </row>
        <row r="12">
          <cell r="G12">
            <v>7418935</v>
          </cell>
        </row>
        <row r="16">
          <cell r="G16">
            <v>7418935</v>
          </cell>
        </row>
      </sheetData>
      <sheetData sheetId="15">
        <row r="2">
          <cell r="G2">
            <v>5395797</v>
          </cell>
        </row>
        <row r="3">
          <cell r="G3">
            <v>5395797</v>
          </cell>
        </row>
        <row r="4">
          <cell r="G4">
            <v>6744646</v>
          </cell>
        </row>
        <row r="5">
          <cell r="G5">
            <v>6070075</v>
          </cell>
        </row>
        <row r="6">
          <cell r="G6">
            <v>6070075</v>
          </cell>
        </row>
        <row r="7">
          <cell r="G7">
            <v>6070075</v>
          </cell>
        </row>
        <row r="8">
          <cell r="G8">
            <v>6070075</v>
          </cell>
        </row>
        <row r="9">
          <cell r="G9">
            <v>6070075</v>
          </cell>
        </row>
        <row r="10">
          <cell r="G10">
            <v>6070075</v>
          </cell>
        </row>
        <row r="12">
          <cell r="G12">
            <v>7418935</v>
          </cell>
        </row>
        <row r="16">
          <cell r="G16">
            <v>7418935</v>
          </cell>
        </row>
      </sheetData>
      <sheetData sheetId="16"/>
      <sheetData sheetId="17"/>
      <sheetData sheetId="18"/>
      <sheetData sheetId="19"/>
      <sheetData sheetId="20">
        <row r="2">
          <cell r="G2">
            <v>6140965</v>
          </cell>
        </row>
        <row r="5">
          <cell r="G5">
            <v>6754901</v>
          </cell>
        </row>
        <row r="13">
          <cell r="G13">
            <v>8752504</v>
          </cell>
        </row>
        <row r="14">
          <cell r="G14">
            <v>20966247</v>
          </cell>
        </row>
        <row r="18">
          <cell r="G18">
            <v>21354511</v>
          </cell>
        </row>
        <row r="19">
          <cell r="G19">
            <v>6628951</v>
          </cell>
        </row>
        <row r="20">
          <cell r="G20">
            <v>20956340</v>
          </cell>
        </row>
      </sheetData>
      <sheetData sheetId="21">
        <row r="5">
          <cell r="B5">
            <v>17876740.050000001</v>
          </cell>
        </row>
        <row r="6">
          <cell r="B6">
            <v>17876740.050000001</v>
          </cell>
        </row>
        <row r="7">
          <cell r="B7">
            <v>17876740.050000001</v>
          </cell>
        </row>
        <row r="8">
          <cell r="B8">
            <v>5235409.5937200002</v>
          </cell>
        </row>
        <row r="9">
          <cell r="B9">
            <v>5758950.5530920001</v>
          </cell>
        </row>
        <row r="10">
          <cell r="B10">
            <v>5758950.5530920001</v>
          </cell>
        </row>
        <row r="11">
          <cell r="B11">
            <v>7462441.364038364</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8A971-C7A3-4B7F-B6DD-EFDE34E0758B}">
  <dimension ref="A1:AA73"/>
  <sheetViews>
    <sheetView tabSelected="1" workbookViewId="0">
      <pane xSplit="3" ySplit="2" topLeftCell="D13" activePane="bottomRight" state="frozen"/>
      <selection activeCell="F71" sqref="F71"/>
      <selection pane="topRight" activeCell="F71" sqref="F71"/>
      <selection pane="bottomLeft" activeCell="F71" sqref="F71"/>
      <selection pane="bottomRight" activeCell="E67" sqref="E67"/>
    </sheetView>
  </sheetViews>
  <sheetFormatPr baseColWidth="10" defaultRowHeight="15" x14ac:dyDescent="0.25"/>
  <cols>
    <col min="1" max="1" width="30.7109375" bestFit="1" customWidth="1"/>
    <col min="2" max="2" width="17.85546875" bestFit="1" customWidth="1"/>
    <col min="3" max="4" width="20.28515625" customWidth="1"/>
    <col min="5" max="5" width="21.28515625" customWidth="1"/>
    <col min="6" max="6" width="19.28515625" bestFit="1" customWidth="1"/>
    <col min="7" max="7" width="13.5703125" customWidth="1"/>
    <col min="8" max="8" width="15.140625" customWidth="1"/>
    <col min="9" max="9" width="12.5703125" bestFit="1" customWidth="1"/>
    <col min="10" max="10" width="15.42578125" bestFit="1" customWidth="1"/>
    <col min="11" max="11" width="15.28515625" bestFit="1" customWidth="1"/>
    <col min="12" max="12" width="16.28515625" bestFit="1" customWidth="1"/>
    <col min="13" max="13" width="14.140625" customWidth="1"/>
    <col min="14" max="14" width="14.7109375" customWidth="1"/>
    <col min="15" max="15" width="16.85546875" customWidth="1"/>
    <col min="16" max="16" width="12.5703125" customWidth="1"/>
    <col min="17" max="17" width="15.28515625" customWidth="1"/>
    <col min="18" max="18" width="16.28515625" customWidth="1"/>
    <col min="19" max="19" width="16.85546875" customWidth="1"/>
    <col min="20" max="20" width="16.7109375" customWidth="1"/>
    <col min="21" max="21" width="16.5703125" customWidth="1"/>
    <col min="22" max="23" width="16.85546875" bestFit="1" customWidth="1"/>
    <col min="24" max="24" width="14.85546875" customWidth="1"/>
    <col min="25" max="26" width="14.28515625" bestFit="1" customWidth="1"/>
    <col min="27" max="27" width="14.5703125" bestFit="1" customWidth="1"/>
  </cols>
  <sheetData>
    <row r="1" spans="1:27" ht="23.25" customHeight="1" x14ac:dyDescent="0.4">
      <c r="A1" s="151" t="s">
        <v>0</v>
      </c>
      <c r="B1" s="152"/>
      <c r="C1" s="152"/>
      <c r="D1" s="152"/>
      <c r="E1" s="152"/>
      <c r="F1" s="152"/>
      <c r="G1" s="152"/>
      <c r="H1" s="152"/>
      <c r="I1" s="152"/>
      <c r="J1" s="152"/>
      <c r="K1" s="152"/>
      <c r="L1" s="152"/>
      <c r="M1" s="152"/>
      <c r="N1" s="152"/>
      <c r="O1" s="152"/>
      <c r="P1" s="152"/>
      <c r="Q1" s="152"/>
      <c r="R1" s="152"/>
      <c r="S1" s="152"/>
      <c r="T1" s="152"/>
      <c r="U1" s="152"/>
      <c r="V1" s="152"/>
      <c r="W1" s="152"/>
      <c r="X1" s="152"/>
      <c r="Y1" s="152"/>
      <c r="Z1" s="152"/>
      <c r="AA1" s="153"/>
    </row>
    <row r="2" spans="1:27" ht="24" x14ac:dyDescent="0.4">
      <c r="A2" s="1"/>
      <c r="B2" s="1"/>
      <c r="C2" s="1"/>
      <c r="D2" s="154" t="s">
        <v>1</v>
      </c>
      <c r="E2" s="154"/>
      <c r="F2" s="154"/>
      <c r="G2" s="154"/>
      <c r="H2" s="154"/>
      <c r="I2" s="154"/>
      <c r="J2" s="154" t="s">
        <v>2</v>
      </c>
      <c r="K2" s="154"/>
      <c r="L2" s="154"/>
      <c r="M2" s="154"/>
      <c r="N2" s="154"/>
      <c r="O2" s="154"/>
      <c r="P2" s="154" t="s">
        <v>3</v>
      </c>
      <c r="Q2" s="154"/>
      <c r="R2" s="154"/>
      <c r="S2" s="154"/>
      <c r="T2" s="154"/>
      <c r="U2" s="154"/>
      <c r="V2" s="154" t="s">
        <v>4</v>
      </c>
      <c r="W2" s="154"/>
      <c r="X2" s="154"/>
      <c r="Y2" s="154"/>
      <c r="Z2" s="154"/>
      <c r="AA2" s="154"/>
    </row>
    <row r="3" spans="1:27" ht="69" customHeight="1" x14ac:dyDescent="0.25">
      <c r="A3" s="2" t="s">
        <v>5</v>
      </c>
      <c r="B3" s="2" t="s">
        <v>6</v>
      </c>
      <c r="C3" s="2" t="s">
        <v>7</v>
      </c>
      <c r="D3" s="2" t="s">
        <v>8</v>
      </c>
      <c r="E3" s="2" t="s">
        <v>9</v>
      </c>
      <c r="F3" s="2" t="s">
        <v>10</v>
      </c>
      <c r="G3" s="91" t="s">
        <v>11</v>
      </c>
      <c r="H3" s="2" t="s">
        <v>12</v>
      </c>
      <c r="I3" s="92" t="s">
        <v>13</v>
      </c>
      <c r="J3" s="2" t="s">
        <v>8</v>
      </c>
      <c r="K3" s="2" t="s">
        <v>9</v>
      </c>
      <c r="L3" s="2" t="s">
        <v>10</v>
      </c>
      <c r="M3" s="91" t="s">
        <v>11</v>
      </c>
      <c r="N3" s="2" t="s">
        <v>12</v>
      </c>
      <c r="O3" s="92" t="s">
        <v>13</v>
      </c>
      <c r="P3" s="2" t="s">
        <v>8</v>
      </c>
      <c r="Q3" s="2" t="s">
        <v>9</v>
      </c>
      <c r="R3" s="2" t="s">
        <v>10</v>
      </c>
      <c r="S3" s="91" t="s">
        <v>11</v>
      </c>
      <c r="T3" s="2" t="s">
        <v>12</v>
      </c>
      <c r="U3" s="92" t="s">
        <v>14</v>
      </c>
      <c r="V3" s="2" t="s">
        <v>8</v>
      </c>
      <c r="W3" s="2" t="s">
        <v>9</v>
      </c>
      <c r="X3" s="2" t="s">
        <v>10</v>
      </c>
      <c r="Y3" s="91" t="s">
        <v>11</v>
      </c>
      <c r="Z3" s="2" t="s">
        <v>12</v>
      </c>
      <c r="AA3" s="92" t="s">
        <v>13</v>
      </c>
    </row>
    <row r="4" spans="1:27" ht="41.25" x14ac:dyDescent="0.25">
      <c r="A4" s="3" t="s">
        <v>15</v>
      </c>
      <c r="B4" s="4" t="s">
        <v>16</v>
      </c>
      <c r="C4" s="4" t="s">
        <v>17</v>
      </c>
      <c r="D4" s="5">
        <v>5235409.5937200012</v>
      </c>
      <c r="E4" s="5">
        <v>2500</v>
      </c>
      <c r="F4" s="6">
        <f>+D4+E4</f>
        <v>5237909.5937200012</v>
      </c>
      <c r="G4" s="93">
        <f>+F4*8%</f>
        <v>419032.76749760011</v>
      </c>
      <c r="H4" s="6">
        <f>(F4+G4)*0.1*0.19</f>
        <v>107481.90486313442</v>
      </c>
      <c r="I4" s="6">
        <f>+F4+G4+H4</f>
        <v>5764424.2660807353</v>
      </c>
      <c r="J4" s="6">
        <f>+'[5]PROYECCION VIG.FUT'!B8</f>
        <v>5235409.5937200002</v>
      </c>
      <c r="K4" s="6">
        <v>1666</v>
      </c>
      <c r="L4" s="6">
        <f>+J4+K4</f>
        <v>5237075.5937200002</v>
      </c>
      <c r="M4" s="93">
        <f>+L4*8%</f>
        <v>418966.04749760003</v>
      </c>
      <c r="N4" s="6">
        <f>(L4+M4)*0.1*0.19</f>
        <v>107464.79118313441</v>
      </c>
      <c r="O4" s="6">
        <f>+L4+M4+N4</f>
        <v>5763506.4324007351</v>
      </c>
      <c r="P4" s="6">
        <f>+J4</f>
        <v>5235409.5937200002</v>
      </c>
      <c r="Q4" s="6">
        <v>1538</v>
      </c>
      <c r="R4" s="6">
        <f>+P4+Q4</f>
        <v>5236947.5937200002</v>
      </c>
      <c r="S4" s="93">
        <f>+R4*8%</f>
        <v>418955.80749760004</v>
      </c>
      <c r="T4" s="6">
        <f>(R4+S4)*0.1*0.19</f>
        <v>107462.16462313441</v>
      </c>
      <c r="U4" s="6">
        <f>+R4+S4+T4</f>
        <v>5763365.5658407351</v>
      </c>
      <c r="V4" s="6">
        <f>(D4+J4+P4)/3</f>
        <v>5235409.5937200002</v>
      </c>
      <c r="W4" s="102">
        <f>(E4+K4+Q4)/3</f>
        <v>1901.3333333333333</v>
      </c>
      <c r="X4" s="6">
        <f>+V4+W4</f>
        <v>5237310.9270533333</v>
      </c>
      <c r="Y4" s="93">
        <f>+X4*8%</f>
        <v>418984.87416426669</v>
      </c>
      <c r="Z4" s="6">
        <f>(X4+Y4)*0.1*0.19</f>
        <v>107469.62022313441</v>
      </c>
      <c r="AA4" s="103">
        <f>ROUND((X4+Y4+Z4),0)</f>
        <v>5763765</v>
      </c>
    </row>
    <row r="5" spans="1:27" ht="49.5" x14ac:dyDescent="0.25">
      <c r="A5" s="3" t="s">
        <v>18</v>
      </c>
      <c r="B5" s="4" t="s">
        <v>16</v>
      </c>
      <c r="C5" s="4" t="s">
        <v>19</v>
      </c>
      <c r="D5" s="5">
        <v>5758950.553092001</v>
      </c>
      <c r="E5" s="5">
        <v>2500</v>
      </c>
      <c r="F5" s="6">
        <f t="shared" ref="F5:F9" si="0">+D5+E5</f>
        <v>5761450.553092001</v>
      </c>
      <c r="G5" s="93">
        <f t="shared" ref="G5:G6" si="1">+F5*8%</f>
        <v>460916.04424736009</v>
      </c>
      <c r="H5" s="6">
        <f t="shared" ref="H5:H10" si="2">(F5+G5)*0.1*0.19</f>
        <v>118224.96534944786</v>
      </c>
      <c r="I5" s="6">
        <f t="shared" ref="I5:I10" si="3">+F5+G5+H5</f>
        <v>6340591.5626888089</v>
      </c>
      <c r="J5" s="6">
        <f>+'[5]PROYECCION VIG.FUT'!B9</f>
        <v>5758950.5530920001</v>
      </c>
      <c r="K5" s="6">
        <v>1666</v>
      </c>
      <c r="L5" s="6">
        <f t="shared" ref="L5:L10" si="4">+J5+K5</f>
        <v>5760616.5530920001</v>
      </c>
      <c r="M5" s="93">
        <f t="shared" ref="M5:M6" si="5">+L5*8%</f>
        <v>460849.32424736</v>
      </c>
      <c r="N5" s="6">
        <f t="shared" ref="N5:N8" si="6">(L5+M5)*0.1*0.19</f>
        <v>118207.85166944785</v>
      </c>
      <c r="O5" s="6">
        <f t="shared" ref="O5:O8" si="7">+L5+M5+N5</f>
        <v>6339673.7290088078</v>
      </c>
      <c r="P5" s="6">
        <f>+J5</f>
        <v>5758950.5530920001</v>
      </c>
      <c r="Q5" s="6">
        <v>1691</v>
      </c>
      <c r="R5" s="6">
        <f t="shared" ref="R5:R10" si="8">+P5+Q5</f>
        <v>5760641.5530920001</v>
      </c>
      <c r="S5" s="93">
        <f t="shared" ref="S5:S6" si="9">+R5*8%</f>
        <v>460851.32424736</v>
      </c>
      <c r="T5" s="6">
        <f t="shared" ref="T5:T8" si="10">(R5+S5)*0.1*0.19</f>
        <v>118208.36466944787</v>
      </c>
      <c r="U5" s="6">
        <f t="shared" ref="U5:U8" si="11">+R5+S5+T5</f>
        <v>6339701.2420088081</v>
      </c>
      <c r="V5" s="6">
        <f t="shared" ref="V5:W10" si="12">(D5+J5+P5)/3</f>
        <v>5758950.5530920001</v>
      </c>
      <c r="W5" s="102">
        <f t="shared" si="12"/>
        <v>1952.3333333333333</v>
      </c>
      <c r="X5" s="6">
        <f t="shared" ref="X5:X10" si="13">+V5+W5</f>
        <v>5760902.8864253331</v>
      </c>
      <c r="Y5" s="93">
        <f>+X5*8%</f>
        <v>460872.23091402667</v>
      </c>
      <c r="Z5" s="6">
        <f t="shared" ref="Z5" si="14">(X5+Y5)*0.1*0.19</f>
        <v>118213.72722944785</v>
      </c>
      <c r="AA5" s="103">
        <f t="shared" ref="AA5:AA10" si="15">ROUND((X5+Y5+Z5),0)</f>
        <v>6339989</v>
      </c>
    </row>
    <row r="6" spans="1:27" ht="49.5" x14ac:dyDescent="0.25">
      <c r="A6" s="3" t="s">
        <v>20</v>
      </c>
      <c r="B6" s="4" t="s">
        <v>21</v>
      </c>
      <c r="C6" s="4" t="s">
        <v>19</v>
      </c>
      <c r="D6" s="5">
        <v>5758950.553092001</v>
      </c>
      <c r="E6" s="5">
        <v>2500</v>
      </c>
      <c r="F6" s="6">
        <f t="shared" si="0"/>
        <v>5761450.553092001</v>
      </c>
      <c r="G6" s="93">
        <f t="shared" si="1"/>
        <v>460916.04424736009</v>
      </c>
      <c r="H6" s="6" t="s">
        <v>22</v>
      </c>
      <c r="I6" s="6">
        <f>+F6+G6</f>
        <v>6222366.597339361</v>
      </c>
      <c r="J6" s="6">
        <f>+'[5]PROYECCION VIG.FUT'!B10</f>
        <v>5758950.5530920001</v>
      </c>
      <c r="K6" s="6">
        <v>1666</v>
      </c>
      <c r="L6" s="6">
        <f t="shared" si="4"/>
        <v>5760616.5530920001</v>
      </c>
      <c r="M6" s="93">
        <f t="shared" si="5"/>
        <v>460849.32424736</v>
      </c>
      <c r="N6" s="6" t="s">
        <v>22</v>
      </c>
      <c r="O6" s="6">
        <f>+L6+M6</f>
        <v>6221465.8773393603</v>
      </c>
      <c r="P6" s="6">
        <f t="shared" ref="P6:P10" si="16">+J6</f>
        <v>5758950.5530920001</v>
      </c>
      <c r="Q6" s="6">
        <v>1691</v>
      </c>
      <c r="R6" s="6">
        <f t="shared" si="8"/>
        <v>5760641.5530920001</v>
      </c>
      <c r="S6" s="93">
        <f t="shared" si="9"/>
        <v>460851.32424736</v>
      </c>
      <c r="T6" s="6" t="s">
        <v>22</v>
      </c>
      <c r="U6" s="6">
        <f>+R6+S6</f>
        <v>6221492.8773393603</v>
      </c>
      <c r="V6" s="6">
        <f>(D6+J6+P6)/3</f>
        <v>5758950.5530920001</v>
      </c>
      <c r="W6" s="102">
        <f t="shared" si="12"/>
        <v>1952.3333333333333</v>
      </c>
      <c r="X6" s="6">
        <f t="shared" si="13"/>
        <v>5760902.8864253331</v>
      </c>
      <c r="Y6" s="93">
        <f>+X6*8%</f>
        <v>460872.23091402667</v>
      </c>
      <c r="Z6" s="6" t="s">
        <v>22</v>
      </c>
      <c r="AA6" s="103">
        <f>ROUND((X6+Y6),0)</f>
        <v>6221775</v>
      </c>
    </row>
    <row r="7" spans="1:27" ht="24.75" x14ac:dyDescent="0.25">
      <c r="A7" s="3" t="s">
        <v>23</v>
      </c>
      <c r="B7" s="4" t="s">
        <v>16</v>
      </c>
      <c r="C7" s="4" t="s">
        <v>24</v>
      </c>
      <c r="D7" s="5">
        <v>17876740.050000001</v>
      </c>
      <c r="E7" s="5">
        <v>5000</v>
      </c>
      <c r="F7" s="6">
        <f t="shared" si="0"/>
        <v>17881740.050000001</v>
      </c>
      <c r="G7" s="93">
        <f>+F7*10%</f>
        <v>1788174.0050000001</v>
      </c>
      <c r="H7" s="6">
        <f t="shared" si="2"/>
        <v>373728.36704500002</v>
      </c>
      <c r="I7" s="6">
        <f t="shared" si="3"/>
        <v>20043642.422045</v>
      </c>
      <c r="J7" s="6">
        <f>+'[5]PROYECCION VIG.FUT'!B5</f>
        <v>17876740.050000001</v>
      </c>
      <c r="K7" s="6">
        <v>2499</v>
      </c>
      <c r="L7" s="6">
        <f t="shared" si="4"/>
        <v>17879239.050000001</v>
      </c>
      <c r="M7" s="93">
        <f>+L7*10%</f>
        <v>1787923.9050000003</v>
      </c>
      <c r="N7" s="6">
        <f t="shared" si="6"/>
        <v>373676.09614500008</v>
      </c>
      <c r="O7" s="6">
        <f t="shared" si="7"/>
        <v>20040839.051145002</v>
      </c>
      <c r="P7" s="6">
        <f t="shared" si="16"/>
        <v>17876740.050000001</v>
      </c>
      <c r="Q7" s="6">
        <v>5250</v>
      </c>
      <c r="R7" s="6">
        <f t="shared" si="8"/>
        <v>17881990.050000001</v>
      </c>
      <c r="S7" s="93">
        <f>+R7*10%</f>
        <v>1788199.0050000001</v>
      </c>
      <c r="T7" s="6">
        <f t="shared" si="10"/>
        <v>373733.592045</v>
      </c>
      <c r="U7" s="6">
        <f t="shared" si="11"/>
        <v>20043922.647045001</v>
      </c>
      <c r="V7" s="6">
        <f t="shared" si="12"/>
        <v>17876740.050000001</v>
      </c>
      <c r="W7" s="102">
        <f t="shared" si="12"/>
        <v>4249.666666666667</v>
      </c>
      <c r="X7" s="6">
        <f t="shared" si="13"/>
        <v>17880989.716666669</v>
      </c>
      <c r="Y7" s="93">
        <f>+X7*10%</f>
        <v>1788098.9716666669</v>
      </c>
      <c r="Z7" s="6">
        <f>(X7+Y7)*0.1*0.19</f>
        <v>373712.68507833342</v>
      </c>
      <c r="AA7" s="103">
        <f t="shared" si="15"/>
        <v>20042801</v>
      </c>
    </row>
    <row r="8" spans="1:27" ht="24.75" x14ac:dyDescent="0.25">
      <c r="A8" s="3" t="s">
        <v>25</v>
      </c>
      <c r="B8" s="4" t="s">
        <v>16</v>
      </c>
      <c r="C8" s="4" t="s">
        <v>26</v>
      </c>
      <c r="D8" s="5">
        <v>17876740.050000001</v>
      </c>
      <c r="E8" s="5">
        <v>5000</v>
      </c>
      <c r="F8" s="6">
        <f t="shared" si="0"/>
        <v>17881740.050000001</v>
      </c>
      <c r="G8" s="93">
        <f>+F8*8%</f>
        <v>1430539.2040000001</v>
      </c>
      <c r="H8" s="6">
        <f t="shared" si="2"/>
        <v>366933.305826</v>
      </c>
      <c r="I8" s="6">
        <f t="shared" si="3"/>
        <v>19679212.559826002</v>
      </c>
      <c r="J8" s="6">
        <f>+'[5]PROYECCION VIG.FUT'!B7</f>
        <v>17876740.050000001</v>
      </c>
      <c r="K8" s="6">
        <v>2499</v>
      </c>
      <c r="L8" s="6">
        <f t="shared" si="4"/>
        <v>17879239.050000001</v>
      </c>
      <c r="M8" s="93">
        <f>+L8*8%</f>
        <v>1430339.1240000001</v>
      </c>
      <c r="N8" s="6">
        <f t="shared" si="6"/>
        <v>366881.98530600005</v>
      </c>
      <c r="O8" s="6">
        <f t="shared" si="7"/>
        <v>19676460.159306001</v>
      </c>
      <c r="P8" s="6">
        <f t="shared" si="16"/>
        <v>17876740.050000001</v>
      </c>
      <c r="Q8" s="6">
        <v>5250</v>
      </c>
      <c r="R8" s="6">
        <f t="shared" si="8"/>
        <v>17881990.050000001</v>
      </c>
      <c r="S8" s="93">
        <f>+R8*8%</f>
        <v>1430559.2040000001</v>
      </c>
      <c r="T8" s="6">
        <f t="shared" si="10"/>
        <v>366938.435826</v>
      </c>
      <c r="U8" s="6">
        <f t="shared" si="11"/>
        <v>19679487.689826</v>
      </c>
      <c r="V8" s="6">
        <f t="shared" si="12"/>
        <v>17876740.050000001</v>
      </c>
      <c r="W8" s="102">
        <f t="shared" si="12"/>
        <v>4249.666666666667</v>
      </c>
      <c r="X8" s="6">
        <f t="shared" si="13"/>
        <v>17880989.716666669</v>
      </c>
      <c r="Y8" s="93">
        <f>+X8*8%</f>
        <v>1430479.1773333335</v>
      </c>
      <c r="Z8" s="6">
        <f>(X8+Y8)*0.1*0.19</f>
        <v>366917.90898600005</v>
      </c>
      <c r="AA8" s="103">
        <f>ROUND((X8+Y8+Z8),0)</f>
        <v>19678387</v>
      </c>
    </row>
    <row r="9" spans="1:27" ht="24.75" x14ac:dyDescent="0.25">
      <c r="A9" s="3" t="s">
        <v>27</v>
      </c>
      <c r="B9" s="4" t="s">
        <v>21</v>
      </c>
      <c r="C9" s="4" t="s">
        <v>24</v>
      </c>
      <c r="D9" s="5">
        <v>17876740.050000001</v>
      </c>
      <c r="E9" s="5">
        <v>5000</v>
      </c>
      <c r="F9" s="6">
        <f t="shared" si="0"/>
        <v>17881740.050000001</v>
      </c>
      <c r="G9" s="93">
        <f>+F9*10%</f>
        <v>1788174.0050000001</v>
      </c>
      <c r="H9" s="6" t="s">
        <v>22</v>
      </c>
      <c r="I9" s="6">
        <f>+F9+G9</f>
        <v>19669914.055</v>
      </c>
      <c r="J9" s="6">
        <f>+'[5]PROYECCION VIG.FUT'!B6</f>
        <v>17876740.050000001</v>
      </c>
      <c r="K9" s="6">
        <v>2499</v>
      </c>
      <c r="L9" s="6">
        <f t="shared" si="4"/>
        <v>17879239.050000001</v>
      </c>
      <c r="M9" s="93">
        <f>+L9*10%</f>
        <v>1787923.9050000003</v>
      </c>
      <c r="N9" s="6" t="s">
        <v>22</v>
      </c>
      <c r="O9" s="6">
        <f>+L9+M9</f>
        <v>19667162.955000002</v>
      </c>
      <c r="P9" s="6">
        <f t="shared" si="16"/>
        <v>17876740.050000001</v>
      </c>
      <c r="Q9" s="6">
        <v>5250</v>
      </c>
      <c r="R9" s="6">
        <f t="shared" si="8"/>
        <v>17881990.050000001</v>
      </c>
      <c r="S9" s="93">
        <f>+R9*10%</f>
        <v>1788199.0050000001</v>
      </c>
      <c r="T9" s="6" t="s">
        <v>22</v>
      </c>
      <c r="U9" s="6">
        <f>+R9+S9</f>
        <v>19670189.055</v>
      </c>
      <c r="V9" s="6">
        <f t="shared" si="12"/>
        <v>17876740.050000001</v>
      </c>
      <c r="W9" s="102">
        <f t="shared" si="12"/>
        <v>4249.666666666667</v>
      </c>
      <c r="X9" s="6">
        <f>+V9+W9</f>
        <v>17880989.716666669</v>
      </c>
      <c r="Y9" s="93">
        <f>+X9*10%</f>
        <v>1788098.9716666669</v>
      </c>
      <c r="Z9" s="6" t="s">
        <v>22</v>
      </c>
      <c r="AA9" s="103">
        <f>ROUND((X9+Y9),0)</f>
        <v>19669089</v>
      </c>
    </row>
    <row r="10" spans="1:27" ht="49.5" x14ac:dyDescent="0.25">
      <c r="A10" s="3" t="s">
        <v>28</v>
      </c>
      <c r="B10" s="4" t="s">
        <v>16</v>
      </c>
      <c r="C10" s="4" t="s">
        <v>29</v>
      </c>
      <c r="D10" s="5">
        <v>7462441.364038364</v>
      </c>
      <c r="E10" s="5">
        <v>2500</v>
      </c>
      <c r="F10" s="6">
        <f>+D10+E10</f>
        <v>7464941.364038364</v>
      </c>
      <c r="G10" s="93">
        <f t="shared" ref="G10" si="17">+F10*8%</f>
        <v>597195.30912306916</v>
      </c>
      <c r="H10" s="6">
        <f t="shared" si="2"/>
        <v>153180.59679006724</v>
      </c>
      <c r="I10" s="6">
        <f t="shared" si="3"/>
        <v>8215317.2699515</v>
      </c>
      <c r="J10" s="6">
        <f>+'[5]PROYECCION VIG.FUT'!B11</f>
        <v>7462441.364038364</v>
      </c>
      <c r="K10" s="6">
        <v>1666</v>
      </c>
      <c r="L10" s="6">
        <f t="shared" si="4"/>
        <v>7464107.364038364</v>
      </c>
      <c r="M10" s="93">
        <f t="shared" ref="M10" si="18">+L10*8%</f>
        <v>597128.58912306919</v>
      </c>
      <c r="N10" s="6">
        <f t="shared" ref="N10" si="19">(L10+M10)*0.1*0.19</f>
        <v>153163.48311006723</v>
      </c>
      <c r="O10" s="6">
        <f t="shared" ref="O10" si="20">+L10+M10+N10</f>
        <v>8214399.4362715008</v>
      </c>
      <c r="P10" s="6">
        <f t="shared" si="16"/>
        <v>7462441.364038364</v>
      </c>
      <c r="Q10" s="6">
        <v>2153</v>
      </c>
      <c r="R10" s="6">
        <f t="shared" si="8"/>
        <v>7464594.364038364</v>
      </c>
      <c r="S10" s="93">
        <f t="shared" ref="S10" si="21">+R10*8%</f>
        <v>597167.54912306916</v>
      </c>
      <c r="T10" s="6">
        <f t="shared" ref="T10" si="22">(R10+S10)*0.1*0.19</f>
        <v>153173.47635006724</v>
      </c>
      <c r="U10" s="6">
        <f t="shared" ref="U10" si="23">+R10+S10+T10</f>
        <v>8214935.3895115005</v>
      </c>
      <c r="V10" s="6">
        <f t="shared" si="12"/>
        <v>7462441.364038364</v>
      </c>
      <c r="W10" s="102">
        <f t="shared" si="12"/>
        <v>2106.3333333333335</v>
      </c>
      <c r="X10" s="6">
        <f t="shared" si="13"/>
        <v>7464547.6973716971</v>
      </c>
      <c r="Y10" s="93">
        <f>+X10*8%</f>
        <v>597163.81578973576</v>
      </c>
      <c r="Z10" s="6">
        <f t="shared" ref="Z10" si="24">(X10+Y10)*0.1*0.19</f>
        <v>153172.51875006725</v>
      </c>
      <c r="AA10" s="103">
        <f t="shared" si="15"/>
        <v>8214884</v>
      </c>
    </row>
    <row r="11" spans="1:27" s="8" customFormat="1" x14ac:dyDescent="0.25">
      <c r="A11" s="146" t="s">
        <v>30</v>
      </c>
      <c r="B11" s="146"/>
      <c r="C11" s="146"/>
      <c r="D11" s="7">
        <f t="shared" ref="D11:AA11" si="25">SUM(D4:D10)</f>
        <v>77845972.213942364</v>
      </c>
      <c r="E11" s="7">
        <f t="shared" si="25"/>
        <v>25000</v>
      </c>
      <c r="F11" s="94">
        <f t="shared" si="25"/>
        <v>77870972.213942364</v>
      </c>
      <c r="G11" s="94">
        <f t="shared" si="25"/>
        <v>6944947.3791153897</v>
      </c>
      <c r="H11" s="94">
        <f t="shared" si="25"/>
        <v>1119549.1398736495</v>
      </c>
      <c r="I11" s="94">
        <f t="shared" si="25"/>
        <v>85935468.732931405</v>
      </c>
      <c r="J11" s="94">
        <f t="shared" si="25"/>
        <v>77845972.213942364</v>
      </c>
      <c r="K11" s="94">
        <f t="shared" si="25"/>
        <v>14161</v>
      </c>
      <c r="L11" s="94">
        <f t="shared" si="25"/>
        <v>77860133.213942364</v>
      </c>
      <c r="M11" s="94">
        <f t="shared" si="25"/>
        <v>6943980.2191153895</v>
      </c>
      <c r="N11" s="94">
        <f t="shared" si="25"/>
        <v>1119394.2074136497</v>
      </c>
      <c r="O11" s="94">
        <f t="shared" si="25"/>
        <v>85923507.640471414</v>
      </c>
      <c r="P11" s="94">
        <f t="shared" si="25"/>
        <v>77845972.213942364</v>
      </c>
      <c r="Q11" s="94">
        <f t="shared" si="25"/>
        <v>22823</v>
      </c>
      <c r="R11" s="94">
        <f t="shared" si="25"/>
        <v>77868795.213942364</v>
      </c>
      <c r="S11" s="94">
        <f t="shared" si="25"/>
        <v>6944783.2191153895</v>
      </c>
      <c r="T11" s="94">
        <f t="shared" si="25"/>
        <v>1119516.0335136494</v>
      </c>
      <c r="U11" s="94">
        <f t="shared" si="25"/>
        <v>85933094.466571391</v>
      </c>
      <c r="V11" s="94">
        <f t="shared" si="25"/>
        <v>77845972.213942364</v>
      </c>
      <c r="W11" s="94">
        <f t="shared" si="25"/>
        <v>20661.333333333336</v>
      </c>
      <c r="X11" s="94">
        <f t="shared" si="25"/>
        <v>77866633.547275692</v>
      </c>
      <c r="Y11" s="94">
        <f t="shared" si="25"/>
        <v>6944570.2724487232</v>
      </c>
      <c r="Z11" s="94">
        <f t="shared" si="25"/>
        <v>1119486.4602669831</v>
      </c>
      <c r="AA11" s="104">
        <f t="shared" si="25"/>
        <v>85930690</v>
      </c>
    </row>
    <row r="12" spans="1:27" ht="15.75" thickBot="1" x14ac:dyDescent="0.3"/>
    <row r="13" spans="1:27" ht="54" customHeight="1" thickBot="1" x14ac:dyDescent="0.3">
      <c r="A13" s="147" t="s">
        <v>31</v>
      </c>
      <c r="B13" s="148"/>
      <c r="C13" s="148"/>
      <c r="D13" s="148"/>
      <c r="E13" s="148"/>
      <c r="F13" s="148"/>
      <c r="G13" s="148"/>
      <c r="H13" s="148"/>
      <c r="I13" s="147" t="s">
        <v>32</v>
      </c>
      <c r="J13" s="148"/>
      <c r="K13" s="148"/>
      <c r="L13" s="148"/>
      <c r="M13" s="148"/>
      <c r="N13" s="148"/>
      <c r="O13" s="148"/>
      <c r="P13" s="148"/>
      <c r="Q13" s="148"/>
      <c r="R13" s="148"/>
      <c r="S13" s="148"/>
      <c r="T13" s="148"/>
      <c r="U13" s="148"/>
      <c r="V13" s="148"/>
      <c r="W13" s="148"/>
      <c r="X13" s="148"/>
      <c r="Y13" s="148"/>
      <c r="Z13" s="149"/>
    </row>
    <row r="14" spans="1:27" ht="79.5" customHeight="1" x14ac:dyDescent="0.25">
      <c r="A14" s="9" t="s">
        <v>5</v>
      </c>
      <c r="B14" s="9" t="s">
        <v>6</v>
      </c>
      <c r="C14" s="9" t="s">
        <v>7</v>
      </c>
      <c r="D14" s="10" t="s">
        <v>33</v>
      </c>
      <c r="E14" s="10" t="s">
        <v>34</v>
      </c>
      <c r="F14" s="95" t="s">
        <v>35</v>
      </c>
      <c r="G14" s="95" t="s">
        <v>36</v>
      </c>
      <c r="H14" s="11" t="s">
        <v>37</v>
      </c>
      <c r="I14" s="10" t="s">
        <v>38</v>
      </c>
      <c r="J14" s="10" t="s">
        <v>39</v>
      </c>
      <c r="K14" s="10" t="s">
        <v>40</v>
      </c>
      <c r="L14" s="10" t="s">
        <v>41</v>
      </c>
      <c r="M14" s="10" t="s">
        <v>34</v>
      </c>
      <c r="N14" s="10" t="s">
        <v>42</v>
      </c>
      <c r="O14" s="10" t="s">
        <v>43</v>
      </c>
      <c r="P14" s="10" t="s">
        <v>44</v>
      </c>
      <c r="Q14" s="10" t="s">
        <v>45</v>
      </c>
      <c r="R14" s="10" t="s">
        <v>46</v>
      </c>
      <c r="S14" s="10" t="s">
        <v>47</v>
      </c>
      <c r="T14" s="10" t="s">
        <v>48</v>
      </c>
      <c r="U14" s="10" t="s">
        <v>49</v>
      </c>
      <c r="V14" s="10" t="s">
        <v>50</v>
      </c>
      <c r="W14" s="10" t="s">
        <v>51</v>
      </c>
      <c r="X14" s="10" t="s">
        <v>52</v>
      </c>
      <c r="Y14" s="10" t="s">
        <v>53</v>
      </c>
      <c r="Z14" s="105" t="s">
        <v>54</v>
      </c>
    </row>
    <row r="15" spans="1:27" ht="41.25" x14ac:dyDescent="0.25">
      <c r="A15" s="3" t="str">
        <f>+A4</f>
        <v>A</v>
      </c>
      <c r="B15" s="4" t="s">
        <v>16</v>
      </c>
      <c r="C15" s="4" t="s">
        <v>17</v>
      </c>
      <c r="D15" s="12">
        <f>+AA4</f>
        <v>5763765</v>
      </c>
      <c r="E15" s="13">
        <v>3</v>
      </c>
      <c r="F15" s="96">
        <f>+'[5]DICIEMBRE 2026'!G2+'[5]DICIEMBRE 2026'!G3+'[5]DICIEMBRE 2026'!G4</f>
        <v>15273943</v>
      </c>
      <c r="G15" s="14">
        <f>F15</f>
        <v>15273943</v>
      </c>
      <c r="H15" s="15" t="s">
        <v>55</v>
      </c>
      <c r="I15" s="15" t="s">
        <v>56</v>
      </c>
      <c r="J15" s="16">
        <v>4.8000000000000001E-2</v>
      </c>
      <c r="K15" s="22">
        <f t="shared" ref="K15:K21" si="26">ROUND((D15*1.048),0)</f>
        <v>6040426</v>
      </c>
      <c r="L15" s="22">
        <f>+'[5]DETALLE VR MES 2027(JULIO-DIC)'!G2</f>
        <v>6140965</v>
      </c>
      <c r="M15" s="13">
        <v>3</v>
      </c>
      <c r="N15" s="22">
        <f>+'[5]ENERO 2027'!G2+'[5]ENERO 2027'!G3+'[5]ENERO 2027'!G4</f>
        <v>16309004</v>
      </c>
      <c r="O15" s="22">
        <f>+K15*M15</f>
        <v>18121278</v>
      </c>
      <c r="P15" s="22">
        <f>+'[5]MARZO 2027'!G2+'[5]MARZO 2027'!G3+'[5]MARZO 2027'!G4</f>
        <v>16912608</v>
      </c>
      <c r="Q15" s="22">
        <f>+O15</f>
        <v>18121278</v>
      </c>
      <c r="R15" s="22">
        <f>+Q15</f>
        <v>18121278</v>
      </c>
      <c r="S15" s="22">
        <f>+R15</f>
        <v>18121278</v>
      </c>
      <c r="T15" s="22">
        <f>+L15*M15</f>
        <v>18422895</v>
      </c>
      <c r="U15" s="22">
        <f>+T15</f>
        <v>18422895</v>
      </c>
      <c r="V15" s="22">
        <f t="shared" ref="V15" si="27">+U15</f>
        <v>18422895</v>
      </c>
      <c r="W15" s="22">
        <f>+V15</f>
        <v>18422895</v>
      </c>
      <c r="X15" s="22">
        <f>+W15</f>
        <v>18422895</v>
      </c>
      <c r="Y15" s="22">
        <f>+'[5]DICIEMBRE 2027'!G2+'[5]DICIEMBRE 2027'!G3+'[5]DICIEMBRE 2027'!G4</f>
        <v>15966582</v>
      </c>
      <c r="Z15" s="106">
        <f>SUM(N15:Y15)</f>
        <v>213787781</v>
      </c>
    </row>
    <row r="16" spans="1:27" ht="49.5" x14ac:dyDescent="0.25">
      <c r="A16" s="3" t="str">
        <f>+A5</f>
        <v>B</v>
      </c>
      <c r="B16" s="4" t="s">
        <v>16</v>
      </c>
      <c r="C16" s="4" t="s">
        <v>19</v>
      </c>
      <c r="D16" s="12">
        <f t="shared" ref="D16:D21" si="28">+AA5</f>
        <v>6339989</v>
      </c>
      <c r="E16" s="13">
        <v>8</v>
      </c>
      <c r="F16" s="96">
        <f>+'[5]DICIEMBRE 2026'!G5+'[5]DICIEMBRE 2026'!G6+'[5]DICIEMBRE 2026'!G7+'[5]DICIEMBRE 2026'!G8+'[5]DICIEMBRE 2026'!G9+'[5]DICIEMBRE 2026'!G10+'[5]DICIEMBRE 2026'!G12+'[5]DICIEMBRE 2026'!G16</f>
        <v>42074252</v>
      </c>
      <c r="G16" s="14">
        <f t="shared" ref="G16:G21" si="29">F16</f>
        <v>42074252</v>
      </c>
      <c r="H16" s="15" t="s">
        <v>55</v>
      </c>
      <c r="I16" s="15" t="s">
        <v>56</v>
      </c>
      <c r="J16" s="16">
        <v>4.8000000000000001E-2</v>
      </c>
      <c r="K16" s="22">
        <f t="shared" si="26"/>
        <v>6644308</v>
      </c>
      <c r="L16" s="22">
        <f>+'[5]DETALLE VR MES 2027(JULIO-DIC)'!G5</f>
        <v>6754901</v>
      </c>
      <c r="M16" s="13">
        <v>8</v>
      </c>
      <c r="N16" s="22">
        <f>+'[5]ENERO 2027'!G5+'[5]ENERO 2027'!G6+'[5]ENERO 2027'!G7+'[5]ENERO 2027'!G8+'[5]ENERO 2027'!G9+'[5]ENERO 2027'!G10+'[5]ENERO 2027'!G12+'[5]ENERO 2027'!G16</f>
        <v>45301460</v>
      </c>
      <c r="O16" s="22">
        <f t="shared" ref="O16:O21" si="30">+K16*M16</f>
        <v>53154464</v>
      </c>
      <c r="P16" s="22">
        <f>+'[5]MARZO 2027'!G5+'[5]MARZO 2027'!G6+'[5]MARZO 2027'!G7+'[5]MARZO 2027'!G8+'[5]MARZO 2027'!G9+'[5]MARZO 2027'!G10+'[5]MARZO 2027'!G12+'[5]MARZO 2027'!G16</f>
        <v>48622640</v>
      </c>
      <c r="Q16" s="22">
        <f t="shared" ref="Q16:Q21" si="31">+O16</f>
        <v>53154464</v>
      </c>
      <c r="R16" s="22">
        <f t="shared" ref="R16:X21" si="32">+Q16</f>
        <v>53154464</v>
      </c>
      <c r="S16" s="22">
        <f t="shared" si="32"/>
        <v>53154464</v>
      </c>
      <c r="T16" s="22">
        <f t="shared" ref="T16:T21" si="33">+L16*M16</f>
        <v>54039208</v>
      </c>
      <c r="U16" s="22">
        <f t="shared" si="32"/>
        <v>54039208</v>
      </c>
      <c r="V16" s="22">
        <f t="shared" si="32"/>
        <v>54039208</v>
      </c>
      <c r="W16" s="22">
        <f t="shared" si="32"/>
        <v>54039208</v>
      </c>
      <c r="X16" s="22">
        <f t="shared" si="32"/>
        <v>54039208</v>
      </c>
      <c r="Y16" s="22">
        <f>+'[5]DICIEMBRE 2027'!G5+'[5]DICIEMBRE 2027'!G6+'[5]DICIEMBRE 2027'!G7+'[5]DICIEMBRE 2027'!G8+'[5]DICIEMBRE 2027'!G9+'[5]DICIEMBRE 2027'!G10+'[5]DICIEMBRE 2027'!G12+'[5]DICIEMBRE 2027'!G16</f>
        <v>43599992</v>
      </c>
      <c r="Z16" s="106">
        <f t="shared" ref="Z16:Z20" si="34">SUM(N16:Y16)</f>
        <v>620337988</v>
      </c>
    </row>
    <row r="17" spans="1:26" ht="49.5" x14ac:dyDescent="0.25">
      <c r="A17" s="3" t="str">
        <f t="shared" ref="A17:A21" si="35">+A6</f>
        <v>C</v>
      </c>
      <c r="B17" s="4" t="s">
        <v>21</v>
      </c>
      <c r="C17" s="4" t="s">
        <v>19</v>
      </c>
      <c r="D17" s="12">
        <f t="shared" si="28"/>
        <v>6221775</v>
      </c>
      <c r="E17" s="13">
        <v>1</v>
      </c>
      <c r="F17" s="96">
        <f>+'[5]DICIEMBRE 2026'!G19</f>
        <v>6221775</v>
      </c>
      <c r="G17" s="14">
        <f t="shared" si="29"/>
        <v>6221775</v>
      </c>
      <c r="H17" s="15" t="s">
        <v>55</v>
      </c>
      <c r="I17" s="15" t="s">
        <v>56</v>
      </c>
      <c r="J17" s="16">
        <v>4.8000000000000001E-2</v>
      </c>
      <c r="K17" s="22">
        <f t="shared" si="26"/>
        <v>6520420</v>
      </c>
      <c r="L17" s="22">
        <f>+'[5]DETALLE VR MES 2027(JULIO-DIC)'!G19</f>
        <v>6628951</v>
      </c>
      <c r="M17" s="13">
        <v>1</v>
      </c>
      <c r="N17" s="22">
        <f>+'[5]ENERO 2027'!G19</f>
        <v>6520420</v>
      </c>
      <c r="O17" s="22">
        <f t="shared" si="30"/>
        <v>6520420</v>
      </c>
      <c r="P17" s="22">
        <f>+'[5]MARZO 2027'!G19</f>
        <v>6520420</v>
      </c>
      <c r="Q17" s="22">
        <f t="shared" si="31"/>
        <v>6520420</v>
      </c>
      <c r="R17" s="22">
        <f t="shared" si="32"/>
        <v>6520420</v>
      </c>
      <c r="S17" s="22">
        <f t="shared" si="32"/>
        <v>6520420</v>
      </c>
      <c r="T17" s="22">
        <f t="shared" si="33"/>
        <v>6628951</v>
      </c>
      <c r="U17" s="22">
        <f>+T17</f>
        <v>6628951</v>
      </c>
      <c r="V17" s="22">
        <f t="shared" si="32"/>
        <v>6628951</v>
      </c>
      <c r="W17" s="22">
        <f t="shared" si="32"/>
        <v>6628951</v>
      </c>
      <c r="X17" s="22">
        <f t="shared" si="32"/>
        <v>6628951</v>
      </c>
      <c r="Y17" s="22">
        <f>+L17*M17</f>
        <v>6628951</v>
      </c>
      <c r="Z17" s="106">
        <f t="shared" si="34"/>
        <v>78896226</v>
      </c>
    </row>
    <row r="18" spans="1:26" ht="24.75" x14ac:dyDescent="0.25">
      <c r="A18" s="3" t="str">
        <f t="shared" si="35"/>
        <v>D</v>
      </c>
      <c r="B18" s="4" t="s">
        <v>16</v>
      </c>
      <c r="C18" s="4" t="s">
        <v>24</v>
      </c>
      <c r="D18" s="12">
        <f>+AA7+0.2</f>
        <v>20042801.199999999</v>
      </c>
      <c r="E18" s="13">
        <v>4</v>
      </c>
      <c r="F18" s="96">
        <f>+'[5]DICIEMBRE 2026'!G11+'[5]DICIEMBRE 2026'!G15+'[5]DICIEMBRE 2026'!G17+'[5]DICIEMBRE 2026'!G18</f>
        <v>80171204</v>
      </c>
      <c r="G18" s="14">
        <f t="shared" si="29"/>
        <v>80171204</v>
      </c>
      <c r="H18" s="15" t="s">
        <v>55</v>
      </c>
      <c r="I18" s="15" t="s">
        <v>56</v>
      </c>
      <c r="J18" s="16">
        <v>4.8000000000000001E-2</v>
      </c>
      <c r="K18" s="22">
        <f t="shared" si="26"/>
        <v>21004856</v>
      </c>
      <c r="L18" s="22">
        <f>+'[5]DETALLE VR MES 2027(JULIO-DIC)'!G18</f>
        <v>21354511</v>
      </c>
      <c r="M18" s="13">
        <v>4</v>
      </c>
      <c r="N18" s="22">
        <f>+'[5]ENERO 2027'!G18+'[5]ENERO 2027'!G17+'[5]ENERO 2027'!G15+'[5]ENERO 2027'!G11</f>
        <v>84019424</v>
      </c>
      <c r="O18" s="22">
        <f t="shared" si="30"/>
        <v>84019424</v>
      </c>
      <c r="P18" s="22">
        <f>+'[5]MARZO 2027'!G11+'[5]MARZO 2027'!G15+'[5]MARZO 2027'!G17+'[5]MARZO 2027'!G18</f>
        <v>84019424</v>
      </c>
      <c r="Q18" s="22">
        <f t="shared" si="31"/>
        <v>84019424</v>
      </c>
      <c r="R18" s="22">
        <f t="shared" si="32"/>
        <v>84019424</v>
      </c>
      <c r="S18" s="22">
        <f t="shared" si="32"/>
        <v>84019424</v>
      </c>
      <c r="T18" s="22">
        <f t="shared" si="33"/>
        <v>85418044</v>
      </c>
      <c r="U18" s="22">
        <f t="shared" si="32"/>
        <v>85418044</v>
      </c>
      <c r="V18" s="22">
        <f t="shared" si="32"/>
        <v>85418044</v>
      </c>
      <c r="W18" s="22">
        <f t="shared" si="32"/>
        <v>85418044</v>
      </c>
      <c r="X18" s="22">
        <f t="shared" si="32"/>
        <v>85418044</v>
      </c>
      <c r="Y18" s="22">
        <f>+L18*M18</f>
        <v>85418044</v>
      </c>
      <c r="Z18" s="106">
        <f t="shared" si="34"/>
        <v>1016624808</v>
      </c>
    </row>
    <row r="19" spans="1:26" ht="24.75" x14ac:dyDescent="0.25">
      <c r="A19" s="3" t="str">
        <f t="shared" si="35"/>
        <v xml:space="preserve">E </v>
      </c>
      <c r="B19" s="4" t="s">
        <v>16</v>
      </c>
      <c r="C19" s="4" t="s">
        <v>26</v>
      </c>
      <c r="D19" s="12">
        <f t="shared" si="28"/>
        <v>19678387</v>
      </c>
      <c r="E19" s="13">
        <v>1</v>
      </c>
      <c r="F19" s="96">
        <f>+'[5]DICIEMBRE 2026'!G14</f>
        <v>19678387</v>
      </c>
      <c r="G19" s="14">
        <f t="shared" si="29"/>
        <v>19678387</v>
      </c>
      <c r="H19" s="15" t="s">
        <v>55</v>
      </c>
      <c r="I19" s="15" t="s">
        <v>56</v>
      </c>
      <c r="J19" s="16">
        <v>4.8000000000000001E-2</v>
      </c>
      <c r="K19" s="22">
        <f t="shared" si="26"/>
        <v>20622950</v>
      </c>
      <c r="L19" s="22">
        <f>+'[5]DETALLE VR MES 2027(JULIO-DIC)'!G14</f>
        <v>20966247</v>
      </c>
      <c r="M19" s="13">
        <v>1</v>
      </c>
      <c r="N19" s="22">
        <f>ROUND((K19*E19),0)</f>
        <v>20622950</v>
      </c>
      <c r="O19" s="22">
        <f t="shared" si="30"/>
        <v>20622950</v>
      </c>
      <c r="P19" s="22">
        <f>+'[5]MARZO 2027'!G14</f>
        <v>20622950</v>
      </c>
      <c r="Q19" s="22">
        <f t="shared" si="31"/>
        <v>20622950</v>
      </c>
      <c r="R19" s="22">
        <f t="shared" si="32"/>
        <v>20622950</v>
      </c>
      <c r="S19" s="22">
        <f t="shared" si="32"/>
        <v>20622950</v>
      </c>
      <c r="T19" s="22">
        <f t="shared" si="33"/>
        <v>20966247</v>
      </c>
      <c r="U19" s="22">
        <f t="shared" si="32"/>
        <v>20966247</v>
      </c>
      <c r="V19" s="22">
        <f t="shared" si="32"/>
        <v>20966247</v>
      </c>
      <c r="W19" s="22">
        <f t="shared" si="32"/>
        <v>20966247</v>
      </c>
      <c r="X19" s="22">
        <f t="shared" si="32"/>
        <v>20966247</v>
      </c>
      <c r="Y19" s="22">
        <f>+L19*M19</f>
        <v>20966247</v>
      </c>
      <c r="Z19" s="106">
        <f t="shared" si="34"/>
        <v>249535182</v>
      </c>
    </row>
    <row r="20" spans="1:26" ht="24.75" x14ac:dyDescent="0.25">
      <c r="A20" s="3" t="str">
        <f t="shared" si="35"/>
        <v>F</v>
      </c>
      <c r="B20" s="4" t="s">
        <v>21</v>
      </c>
      <c r="C20" s="4" t="s">
        <v>24</v>
      </c>
      <c r="D20" s="12">
        <f t="shared" si="28"/>
        <v>19669089</v>
      </c>
      <c r="E20" s="13">
        <v>1</v>
      </c>
      <c r="F20" s="96">
        <f>+'[5]DICIEMBRE 2026'!G20</f>
        <v>19669089</v>
      </c>
      <c r="G20" s="14">
        <f t="shared" si="29"/>
        <v>19669089</v>
      </c>
      <c r="H20" s="15" t="s">
        <v>55</v>
      </c>
      <c r="I20" s="15" t="s">
        <v>56</v>
      </c>
      <c r="J20" s="16">
        <v>4.8000000000000001E-2</v>
      </c>
      <c r="K20" s="22">
        <f t="shared" si="26"/>
        <v>20613205</v>
      </c>
      <c r="L20" s="22">
        <f>+'[5]DETALLE VR MES 2027(JULIO-DIC)'!G20</f>
        <v>20956340</v>
      </c>
      <c r="M20" s="13">
        <v>1</v>
      </c>
      <c r="N20" s="22">
        <f>ROUND((K20*E20),0)</f>
        <v>20613205</v>
      </c>
      <c r="O20" s="22">
        <f>+K20*M20</f>
        <v>20613205</v>
      </c>
      <c r="P20" s="22">
        <f>+'[5]MARZO 2027'!G20</f>
        <v>20613205</v>
      </c>
      <c r="Q20" s="22">
        <f t="shared" si="31"/>
        <v>20613205</v>
      </c>
      <c r="R20" s="22">
        <f t="shared" si="32"/>
        <v>20613205</v>
      </c>
      <c r="S20" s="22">
        <f t="shared" si="32"/>
        <v>20613205</v>
      </c>
      <c r="T20" s="22">
        <f t="shared" si="33"/>
        <v>20956340</v>
      </c>
      <c r="U20" s="22">
        <f t="shared" si="32"/>
        <v>20956340</v>
      </c>
      <c r="V20" s="22">
        <f t="shared" si="32"/>
        <v>20956340</v>
      </c>
      <c r="W20" s="22">
        <f t="shared" si="32"/>
        <v>20956340</v>
      </c>
      <c r="X20" s="22">
        <f t="shared" si="32"/>
        <v>20956340</v>
      </c>
      <c r="Y20" s="22">
        <f>+L20*M20</f>
        <v>20956340</v>
      </c>
      <c r="Z20" s="106">
        <f t="shared" si="34"/>
        <v>249417270</v>
      </c>
    </row>
    <row r="21" spans="1:26" ht="49.5" x14ac:dyDescent="0.25">
      <c r="A21" s="3" t="str">
        <f t="shared" si="35"/>
        <v>G</v>
      </c>
      <c r="B21" s="4" t="s">
        <v>16</v>
      </c>
      <c r="C21" s="4" t="s">
        <v>29</v>
      </c>
      <c r="D21" s="12">
        <f t="shared" si="28"/>
        <v>8214884</v>
      </c>
      <c r="E21" s="13">
        <v>1</v>
      </c>
      <c r="F21" s="96">
        <f>+'[5]DICIEMBRE 2026'!G13</f>
        <v>8214884</v>
      </c>
      <c r="G21" s="14">
        <f t="shared" si="29"/>
        <v>8214884</v>
      </c>
      <c r="H21" s="15" t="s">
        <v>55</v>
      </c>
      <c r="I21" s="15" t="s">
        <v>56</v>
      </c>
      <c r="J21" s="16">
        <v>4.8000000000000001E-2</v>
      </c>
      <c r="K21" s="22">
        <f t="shared" si="26"/>
        <v>8609198</v>
      </c>
      <c r="L21" s="22">
        <f>+'[5]DETALLE VR MES 2027(JULIO-DIC)'!G13</f>
        <v>8752504</v>
      </c>
      <c r="M21" s="13">
        <v>1</v>
      </c>
      <c r="N21" s="22">
        <f>+K21*E21</f>
        <v>8609198</v>
      </c>
      <c r="O21" s="22">
        <f t="shared" si="30"/>
        <v>8609198</v>
      </c>
      <c r="P21" s="22">
        <f>+'[5]MARZO 2027'!G13</f>
        <v>8609198</v>
      </c>
      <c r="Q21" s="22">
        <f t="shared" si="31"/>
        <v>8609198</v>
      </c>
      <c r="R21" s="22">
        <f t="shared" si="32"/>
        <v>8609198</v>
      </c>
      <c r="S21" s="22">
        <f t="shared" si="32"/>
        <v>8609198</v>
      </c>
      <c r="T21" s="22">
        <f t="shared" si="33"/>
        <v>8752504</v>
      </c>
      <c r="U21" s="22">
        <f t="shared" si="32"/>
        <v>8752504</v>
      </c>
      <c r="V21" s="22">
        <f t="shared" si="32"/>
        <v>8752504</v>
      </c>
      <c r="W21" s="22">
        <f t="shared" si="32"/>
        <v>8752504</v>
      </c>
      <c r="X21" s="22">
        <f t="shared" si="32"/>
        <v>8752504</v>
      </c>
      <c r="Y21" s="22">
        <f>+L21*M21</f>
        <v>8752504</v>
      </c>
      <c r="Z21" s="106">
        <f>SUM(N21:Y21)</f>
        <v>104170212</v>
      </c>
    </row>
    <row r="22" spans="1:26" ht="15.75" x14ac:dyDescent="0.25">
      <c r="A22" s="146" t="s">
        <v>30</v>
      </c>
      <c r="B22" s="146"/>
      <c r="C22" s="150"/>
      <c r="D22" s="17">
        <f t="shared" ref="D22" si="36">SUM(D15:D21)</f>
        <v>85930690.200000003</v>
      </c>
      <c r="E22" s="17">
        <f>SUM(E15:E21)</f>
        <v>19</v>
      </c>
      <c r="F22" s="97">
        <f>SUM(F15:F21)</f>
        <v>191303534</v>
      </c>
      <c r="G22" s="97">
        <f>SUM(G15:G21)</f>
        <v>191303534</v>
      </c>
      <c r="H22" s="18"/>
      <c r="I22" s="18"/>
      <c r="J22" s="18"/>
      <c r="K22" s="19">
        <f>SUM(K15:K21)</f>
        <v>90055363</v>
      </c>
      <c r="L22" s="17">
        <f t="shared" ref="L22:W22" si="37">SUM(L15:L21)</f>
        <v>91554419</v>
      </c>
      <c r="M22" s="17">
        <f t="shared" si="37"/>
        <v>19</v>
      </c>
      <c r="N22" s="17">
        <f t="shared" si="37"/>
        <v>201995661</v>
      </c>
      <c r="O22" s="17">
        <f t="shared" si="37"/>
        <v>211660939</v>
      </c>
      <c r="P22" s="17">
        <f t="shared" si="37"/>
        <v>205920445</v>
      </c>
      <c r="Q22" s="17">
        <f t="shared" si="37"/>
        <v>211660939</v>
      </c>
      <c r="R22" s="17">
        <f t="shared" si="37"/>
        <v>211660939</v>
      </c>
      <c r="S22" s="17">
        <f t="shared" si="37"/>
        <v>211660939</v>
      </c>
      <c r="T22" s="17">
        <f t="shared" si="37"/>
        <v>215184189</v>
      </c>
      <c r="U22" s="17">
        <f t="shared" si="37"/>
        <v>215184189</v>
      </c>
      <c r="V22" s="17">
        <f t="shared" si="37"/>
        <v>215184189</v>
      </c>
      <c r="W22" s="17">
        <f t="shared" si="37"/>
        <v>215184189</v>
      </c>
      <c r="X22" s="17">
        <f>SUM(X15:X21)</f>
        <v>215184189</v>
      </c>
      <c r="Y22" s="17">
        <f>SUM(Y15:Y21)</f>
        <v>202288660</v>
      </c>
      <c r="Z22" s="107">
        <f>SUM(Z15:Z21)</f>
        <v>2532769467</v>
      </c>
    </row>
    <row r="23" spans="1:26" x14ac:dyDescent="0.25">
      <c r="M23" s="98"/>
      <c r="U23" s="20"/>
    </row>
    <row r="24" spans="1:26" ht="21.75" customHeight="1" x14ac:dyDescent="0.25">
      <c r="A24" s="144" t="s">
        <v>57</v>
      </c>
      <c r="B24" s="144"/>
      <c r="C24" s="144"/>
      <c r="D24" s="144"/>
      <c r="E24" s="144"/>
      <c r="F24" s="144"/>
      <c r="G24" s="144"/>
      <c r="H24" s="144"/>
      <c r="I24" s="144"/>
      <c r="J24" s="144"/>
      <c r="K24" s="144"/>
      <c r="L24" s="144"/>
      <c r="M24" s="144"/>
      <c r="N24" s="144"/>
      <c r="O24" s="144"/>
      <c r="P24" s="144"/>
      <c r="Q24" s="144"/>
      <c r="R24" s="144"/>
      <c r="S24" s="144"/>
      <c r="T24" s="145" t="s">
        <v>58</v>
      </c>
      <c r="U24" s="108"/>
    </row>
    <row r="25" spans="1:26" ht="33.75" x14ac:dyDescent="0.25">
      <c r="A25" s="2" t="s">
        <v>5</v>
      </c>
      <c r="B25" s="2" t="s">
        <v>6</v>
      </c>
      <c r="C25" s="2" t="s">
        <v>7</v>
      </c>
      <c r="D25" s="11" t="s">
        <v>59</v>
      </c>
      <c r="E25" s="11" t="s">
        <v>60</v>
      </c>
      <c r="F25" s="11" t="s">
        <v>61</v>
      </c>
      <c r="G25" s="11" t="s">
        <v>34</v>
      </c>
      <c r="H25" s="11" t="s">
        <v>62</v>
      </c>
      <c r="I25" s="11" t="s">
        <v>43</v>
      </c>
      <c r="J25" s="11" t="s">
        <v>44</v>
      </c>
      <c r="K25" s="11" t="s">
        <v>45</v>
      </c>
      <c r="L25" s="11" t="s">
        <v>46</v>
      </c>
      <c r="M25" s="11" t="s">
        <v>47</v>
      </c>
      <c r="N25" s="11" t="s">
        <v>48</v>
      </c>
      <c r="O25" s="11" t="s">
        <v>49</v>
      </c>
      <c r="P25" s="11" t="s">
        <v>50</v>
      </c>
      <c r="Q25" s="11" t="s">
        <v>51</v>
      </c>
      <c r="R25" s="11" t="s">
        <v>52</v>
      </c>
      <c r="S25" s="11" t="s">
        <v>53</v>
      </c>
      <c r="T25" s="145"/>
      <c r="V25" s="98"/>
    </row>
    <row r="26" spans="1:26" ht="41.25" x14ac:dyDescent="0.25">
      <c r="A26" s="3" t="str">
        <f>+A15</f>
        <v>A</v>
      </c>
      <c r="B26" s="4" t="s">
        <v>16</v>
      </c>
      <c r="C26" s="4" t="s">
        <v>17</v>
      </c>
      <c r="D26" s="15" t="s">
        <v>56</v>
      </c>
      <c r="E26" s="16">
        <v>4.8000000000000001E-2</v>
      </c>
      <c r="F26" s="22">
        <f>ROUND((L15*1.048),0)</f>
        <v>6435731</v>
      </c>
      <c r="G26" s="13">
        <v>3</v>
      </c>
      <c r="H26" s="99">
        <f>+'[5]ENERO 2028'!G2+'[5]ENERO 2028'!G3+'[5]ENERO 2028'!G4</f>
        <v>17698069</v>
      </c>
      <c r="I26" s="99">
        <f>+F26*G26</f>
        <v>19307193</v>
      </c>
      <c r="J26" s="22">
        <f>+I26</f>
        <v>19307193</v>
      </c>
      <c r="K26" s="99">
        <f>+'[5]ABRIL 2028 '!G2+'[5]ABRIL 2028 '!G3+'[5]ABRIL 2028 '!G4</f>
        <v>16089405</v>
      </c>
      <c r="L26" s="99">
        <f>+J26</f>
        <v>19307193</v>
      </c>
      <c r="M26" s="22">
        <f>+L26</f>
        <v>19307193</v>
      </c>
      <c r="N26" s="22">
        <f t="shared" ref="N26:R26" si="38">+M26</f>
        <v>19307193</v>
      </c>
      <c r="O26" s="22">
        <f t="shared" si="38"/>
        <v>19307193</v>
      </c>
      <c r="P26" s="22">
        <f t="shared" si="38"/>
        <v>19307193</v>
      </c>
      <c r="Q26" s="22">
        <f t="shared" si="38"/>
        <v>19307193</v>
      </c>
      <c r="R26" s="22">
        <f t="shared" si="38"/>
        <v>19307193</v>
      </c>
      <c r="S26" s="22">
        <f>+'[5]DICIEMBRE 2028'!G2+'[5]DICIEMBRE 2028'!G3+'[5]DICIEMBRE 2028'!G4</f>
        <v>16732977</v>
      </c>
      <c r="T26" s="22">
        <f>SUM(H26:S26)</f>
        <v>224285188</v>
      </c>
      <c r="W26" s="23"/>
    </row>
    <row r="27" spans="1:26" ht="49.5" x14ac:dyDescent="0.25">
      <c r="A27" s="3" t="str">
        <f>+A16</f>
        <v>B</v>
      </c>
      <c r="B27" s="4" t="s">
        <v>16</v>
      </c>
      <c r="C27" s="4" t="s">
        <v>19</v>
      </c>
      <c r="D27" s="15" t="s">
        <v>56</v>
      </c>
      <c r="E27" s="16">
        <v>4.8000000000000001E-2</v>
      </c>
      <c r="F27" s="22">
        <f>ROUND((L16*1.048),0)</f>
        <v>7079136</v>
      </c>
      <c r="G27" s="13">
        <v>8</v>
      </c>
      <c r="H27" s="99">
        <f>+'[5]ENERO 2028'!G5+'[5]ENERO 2028'!G6+'[5]ENERO 2028'!G7+'[5]ENERO 2028'!G8+'[5]ENERO 2028'!G9+'[5]ENERO 2028'!G10+'[5]ENERO 2028'!G12+'[5]ENERO 2028'!G16</f>
        <v>49552852</v>
      </c>
      <c r="I27" s="99">
        <f t="shared" ref="I27:I32" si="39">+F27*G27</f>
        <v>56633088</v>
      </c>
      <c r="J27" s="22">
        <f t="shared" ref="J27:J32" si="40">+I27</f>
        <v>56633088</v>
      </c>
      <c r="K27" s="99">
        <f>+'[5]ABRIL 2028 '!G5+'[5]ABRIL 2028 '!G6+'[5]ABRIL 2028 '!G7+'[5]ABRIL 2028 '!G8+'[5]ABRIL 2028 '!G9+'[5]ABRIL 2028 '!G10+'[5]ABRIL 2028 '!G12+'[5]ABRIL 2028 '!G16</f>
        <v>46979634</v>
      </c>
      <c r="L27" s="99">
        <f t="shared" ref="L27:L32" si="41">+J27</f>
        <v>56633088</v>
      </c>
      <c r="M27" s="22">
        <f t="shared" ref="M27:R32" si="42">+L27</f>
        <v>56633088</v>
      </c>
      <c r="N27" s="22">
        <f t="shared" si="42"/>
        <v>56633088</v>
      </c>
      <c r="O27" s="22">
        <f t="shared" si="42"/>
        <v>56633088</v>
      </c>
      <c r="P27" s="22">
        <f t="shared" si="42"/>
        <v>56633088</v>
      </c>
      <c r="Q27" s="22">
        <f t="shared" si="42"/>
        <v>56633088</v>
      </c>
      <c r="R27" s="22">
        <f t="shared" si="42"/>
        <v>56633088</v>
      </c>
      <c r="S27" s="22">
        <f>+'[5]DICIEMBRE 2028'!G5+'[5]DICIEMBRE 2028'!G6+'[5]DICIEMBRE 2028'!G7+'[5]DICIEMBRE 2028'!G8+'[5]DICIEMBRE 2028'!G9+'[5]DICIEMBRE 2028'!G10+'[5]DICIEMBRE 2028'!G12+'[5]DICIEMBRE 2028'!G16</f>
        <v>45692792</v>
      </c>
      <c r="T27" s="22">
        <f t="shared" ref="T27:T32" si="43">SUM(H27:S27)</f>
        <v>651923070</v>
      </c>
    </row>
    <row r="28" spans="1:26" ht="49.5" x14ac:dyDescent="0.25">
      <c r="A28" s="3" t="str">
        <f t="shared" ref="A28:A32" si="44">+A17</f>
        <v>C</v>
      </c>
      <c r="B28" s="4" t="s">
        <v>21</v>
      </c>
      <c r="C28" s="4" t="s">
        <v>19</v>
      </c>
      <c r="D28" s="15" t="s">
        <v>56</v>
      </c>
      <c r="E28" s="16">
        <v>4.8000000000000001E-2</v>
      </c>
      <c r="F28" s="22">
        <f>ROUND((L17*1.048),0)-1</f>
        <v>6947140</v>
      </c>
      <c r="G28" s="13">
        <v>1</v>
      </c>
      <c r="H28" s="99">
        <f>+F28*G28</f>
        <v>6947140</v>
      </c>
      <c r="I28" s="99">
        <f t="shared" si="39"/>
        <v>6947140</v>
      </c>
      <c r="J28" s="22">
        <f t="shared" si="40"/>
        <v>6947140</v>
      </c>
      <c r="K28" s="99">
        <f>+F28*G28</f>
        <v>6947140</v>
      </c>
      <c r="L28" s="99">
        <f t="shared" si="41"/>
        <v>6947140</v>
      </c>
      <c r="M28" s="22">
        <f t="shared" si="42"/>
        <v>6947140</v>
      </c>
      <c r="N28" s="22">
        <f t="shared" si="42"/>
        <v>6947140</v>
      </c>
      <c r="O28" s="22">
        <f t="shared" si="42"/>
        <v>6947140</v>
      </c>
      <c r="P28" s="22">
        <f t="shared" si="42"/>
        <v>6947140</v>
      </c>
      <c r="Q28" s="22">
        <f t="shared" si="42"/>
        <v>6947140</v>
      </c>
      <c r="R28" s="22">
        <f t="shared" si="42"/>
        <v>6947140</v>
      </c>
      <c r="S28" s="22">
        <f>+F28*G28</f>
        <v>6947140</v>
      </c>
      <c r="T28" s="22">
        <f t="shared" si="43"/>
        <v>83365680</v>
      </c>
    </row>
    <row r="29" spans="1:26" ht="24.75" x14ac:dyDescent="0.25">
      <c r="A29" s="3" t="str">
        <f t="shared" si="44"/>
        <v>D</v>
      </c>
      <c r="B29" s="4" t="s">
        <v>16</v>
      </c>
      <c r="C29" s="4" t="s">
        <v>24</v>
      </c>
      <c r="D29" s="15" t="s">
        <v>56</v>
      </c>
      <c r="E29" s="16">
        <v>4.8000000000000001E-2</v>
      </c>
      <c r="F29" s="22">
        <f>ROUND((L18*1.048),0)-1</f>
        <v>22379527</v>
      </c>
      <c r="G29" s="13">
        <v>4</v>
      </c>
      <c r="H29" s="99">
        <f t="shared" ref="H29:H32" si="45">+F29*G29</f>
        <v>89518108</v>
      </c>
      <c r="I29" s="99">
        <f t="shared" si="39"/>
        <v>89518108</v>
      </c>
      <c r="J29" s="22">
        <f t="shared" si="40"/>
        <v>89518108</v>
      </c>
      <c r="K29" s="99">
        <f t="shared" ref="K29:K32" si="46">+F29*G29</f>
        <v>89518108</v>
      </c>
      <c r="L29" s="99">
        <f t="shared" si="41"/>
        <v>89518108</v>
      </c>
      <c r="M29" s="22">
        <f t="shared" si="42"/>
        <v>89518108</v>
      </c>
      <c r="N29" s="22">
        <f t="shared" si="42"/>
        <v>89518108</v>
      </c>
      <c r="O29" s="22">
        <f t="shared" si="42"/>
        <v>89518108</v>
      </c>
      <c r="P29" s="22">
        <f t="shared" si="42"/>
        <v>89518108</v>
      </c>
      <c r="Q29" s="22">
        <f t="shared" si="42"/>
        <v>89518108</v>
      </c>
      <c r="R29" s="22">
        <f t="shared" si="42"/>
        <v>89518108</v>
      </c>
      <c r="S29" s="22">
        <f t="shared" ref="S29:S32" si="47">+F29*G29</f>
        <v>89518108</v>
      </c>
      <c r="T29" s="22">
        <f t="shared" si="43"/>
        <v>1074217296</v>
      </c>
    </row>
    <row r="30" spans="1:26" ht="24.75" x14ac:dyDescent="0.25">
      <c r="A30" s="3" t="str">
        <f t="shared" si="44"/>
        <v xml:space="preserve">E </v>
      </c>
      <c r="B30" s="4" t="s">
        <v>16</v>
      </c>
      <c r="C30" s="4" t="s">
        <v>26</v>
      </c>
      <c r="D30" s="15" t="s">
        <v>56</v>
      </c>
      <c r="E30" s="16">
        <v>4.8000000000000001E-2</v>
      </c>
      <c r="F30" s="22">
        <f>ROUND((L19*1.048),0)</f>
        <v>21972627</v>
      </c>
      <c r="G30" s="13">
        <v>1</v>
      </c>
      <c r="H30" s="99">
        <f t="shared" si="45"/>
        <v>21972627</v>
      </c>
      <c r="I30" s="99">
        <f t="shared" si="39"/>
        <v>21972627</v>
      </c>
      <c r="J30" s="22">
        <f t="shared" si="40"/>
        <v>21972627</v>
      </c>
      <c r="K30" s="99">
        <f t="shared" si="46"/>
        <v>21972627</v>
      </c>
      <c r="L30" s="99">
        <f t="shared" si="41"/>
        <v>21972627</v>
      </c>
      <c r="M30" s="22">
        <f t="shared" si="42"/>
        <v>21972627</v>
      </c>
      <c r="N30" s="22">
        <f t="shared" si="42"/>
        <v>21972627</v>
      </c>
      <c r="O30" s="22">
        <f t="shared" si="42"/>
        <v>21972627</v>
      </c>
      <c r="P30" s="22">
        <f t="shared" si="42"/>
        <v>21972627</v>
      </c>
      <c r="Q30" s="22">
        <f t="shared" si="42"/>
        <v>21972627</v>
      </c>
      <c r="R30" s="22">
        <f t="shared" si="42"/>
        <v>21972627</v>
      </c>
      <c r="S30" s="22">
        <f t="shared" si="47"/>
        <v>21972627</v>
      </c>
      <c r="T30" s="22">
        <f t="shared" si="43"/>
        <v>263671524</v>
      </c>
    </row>
    <row r="31" spans="1:26" ht="24.75" x14ac:dyDescent="0.25">
      <c r="A31" s="3" t="str">
        <f t="shared" si="44"/>
        <v>F</v>
      </c>
      <c r="B31" s="4" t="s">
        <v>21</v>
      </c>
      <c r="C31" s="4" t="s">
        <v>24</v>
      </c>
      <c r="D31" s="15" t="s">
        <v>56</v>
      </c>
      <c r="E31" s="16">
        <v>4.8000000000000001E-2</v>
      </c>
      <c r="F31" s="22">
        <f>ROUND((L20*1.048),0)+1</f>
        <v>21962245</v>
      </c>
      <c r="G31" s="13">
        <v>1</v>
      </c>
      <c r="H31" s="99">
        <f t="shared" si="45"/>
        <v>21962245</v>
      </c>
      <c r="I31" s="99">
        <f t="shared" si="39"/>
        <v>21962245</v>
      </c>
      <c r="J31" s="22">
        <f t="shared" si="40"/>
        <v>21962245</v>
      </c>
      <c r="K31" s="99">
        <f t="shared" si="46"/>
        <v>21962245</v>
      </c>
      <c r="L31" s="99">
        <f t="shared" si="41"/>
        <v>21962245</v>
      </c>
      <c r="M31" s="22">
        <f t="shared" si="42"/>
        <v>21962245</v>
      </c>
      <c r="N31" s="22">
        <f t="shared" si="42"/>
        <v>21962245</v>
      </c>
      <c r="O31" s="22">
        <f t="shared" si="42"/>
        <v>21962245</v>
      </c>
      <c r="P31" s="22">
        <f t="shared" si="42"/>
        <v>21962245</v>
      </c>
      <c r="Q31" s="22">
        <f t="shared" si="42"/>
        <v>21962245</v>
      </c>
      <c r="R31" s="22">
        <f t="shared" si="42"/>
        <v>21962245</v>
      </c>
      <c r="S31" s="22">
        <f t="shared" si="47"/>
        <v>21962245</v>
      </c>
      <c r="T31" s="22">
        <f t="shared" si="43"/>
        <v>263546940</v>
      </c>
    </row>
    <row r="32" spans="1:26" ht="49.5" x14ac:dyDescent="0.25">
      <c r="A32" s="3" t="str">
        <f t="shared" si="44"/>
        <v>G</v>
      </c>
      <c r="B32" s="4" t="s">
        <v>16</v>
      </c>
      <c r="C32" s="4" t="s">
        <v>29</v>
      </c>
      <c r="D32" s="15" t="s">
        <v>56</v>
      </c>
      <c r="E32" s="16">
        <v>4.8000000000000001E-2</v>
      </c>
      <c r="F32" s="22">
        <f>ROUND((L21*1.048),0)</f>
        <v>9172624</v>
      </c>
      <c r="G32" s="13">
        <v>1</v>
      </c>
      <c r="H32" s="99">
        <f t="shared" si="45"/>
        <v>9172624</v>
      </c>
      <c r="I32" s="99">
        <f t="shared" si="39"/>
        <v>9172624</v>
      </c>
      <c r="J32" s="22">
        <f t="shared" si="40"/>
        <v>9172624</v>
      </c>
      <c r="K32" s="99">
        <f t="shared" si="46"/>
        <v>9172624</v>
      </c>
      <c r="L32" s="99">
        <f t="shared" si="41"/>
        <v>9172624</v>
      </c>
      <c r="M32" s="22">
        <f t="shared" si="42"/>
        <v>9172624</v>
      </c>
      <c r="N32" s="22">
        <f t="shared" si="42"/>
        <v>9172624</v>
      </c>
      <c r="O32" s="22">
        <f t="shared" si="42"/>
        <v>9172624</v>
      </c>
      <c r="P32" s="22">
        <f t="shared" si="42"/>
        <v>9172624</v>
      </c>
      <c r="Q32" s="22">
        <f t="shared" si="42"/>
        <v>9172624</v>
      </c>
      <c r="R32" s="22">
        <f t="shared" si="42"/>
        <v>9172624</v>
      </c>
      <c r="S32" s="22">
        <f t="shared" si="47"/>
        <v>9172624</v>
      </c>
      <c r="T32" s="22">
        <f t="shared" si="43"/>
        <v>110071488</v>
      </c>
    </row>
    <row r="33" spans="1:22" ht="15.75" x14ac:dyDescent="0.25">
      <c r="A33" s="146" t="s">
        <v>30</v>
      </c>
      <c r="B33" s="146"/>
      <c r="C33" s="146"/>
      <c r="D33" s="18"/>
      <c r="E33" s="18"/>
      <c r="F33" s="17">
        <f t="shared" ref="F33" si="48">SUM(F26:F32)</f>
        <v>95949030</v>
      </c>
      <c r="G33" s="17">
        <f>SUM(G26:G32)</f>
        <v>19</v>
      </c>
      <c r="H33" s="100">
        <f>SUM(H26:H32)</f>
        <v>216823665</v>
      </c>
      <c r="I33" s="100">
        <f t="shared" ref="I33:T33" si="49">SUM(I26:I32)</f>
        <v>225513025</v>
      </c>
      <c r="J33" s="100">
        <f t="shared" si="49"/>
        <v>225513025</v>
      </c>
      <c r="K33" s="100">
        <f t="shared" si="49"/>
        <v>212641783</v>
      </c>
      <c r="L33" s="100">
        <f t="shared" si="49"/>
        <v>225513025</v>
      </c>
      <c r="M33" s="100">
        <f t="shared" si="49"/>
        <v>225513025</v>
      </c>
      <c r="N33" s="100">
        <f t="shared" si="49"/>
        <v>225513025</v>
      </c>
      <c r="O33" s="100">
        <f t="shared" si="49"/>
        <v>225513025</v>
      </c>
      <c r="P33" s="100">
        <f t="shared" si="49"/>
        <v>225513025</v>
      </c>
      <c r="Q33" s="100">
        <f t="shared" si="49"/>
        <v>225513025</v>
      </c>
      <c r="R33" s="100">
        <f t="shared" si="49"/>
        <v>225513025</v>
      </c>
      <c r="S33" s="100">
        <f t="shared" si="49"/>
        <v>211998513</v>
      </c>
      <c r="T33" s="100">
        <f t="shared" si="49"/>
        <v>2671081186</v>
      </c>
    </row>
    <row r="35" spans="1:22" ht="21" x14ac:dyDescent="0.25">
      <c r="A35" s="144" t="s">
        <v>63</v>
      </c>
      <c r="B35" s="144"/>
      <c r="C35" s="144"/>
      <c r="D35" s="144"/>
      <c r="E35" s="144"/>
      <c r="F35" s="144"/>
      <c r="G35" s="144"/>
      <c r="H35" s="144"/>
      <c r="I35" s="144"/>
      <c r="J35" s="144"/>
      <c r="K35" s="144"/>
      <c r="L35" s="144"/>
      <c r="M35" s="144"/>
      <c r="N35" s="144"/>
      <c r="O35" s="144"/>
      <c r="P35" s="144"/>
      <c r="Q35" s="144"/>
      <c r="R35" s="144"/>
      <c r="S35" s="144"/>
      <c r="T35" s="145" t="s">
        <v>64</v>
      </c>
      <c r="V35" s="109"/>
    </row>
    <row r="36" spans="1:22" ht="33.75" x14ac:dyDescent="0.25">
      <c r="A36" s="2" t="s">
        <v>5</v>
      </c>
      <c r="B36" s="2" t="s">
        <v>6</v>
      </c>
      <c r="C36" s="2" t="s">
        <v>7</v>
      </c>
      <c r="D36" s="11" t="s">
        <v>65</v>
      </c>
      <c r="E36" s="11" t="s">
        <v>66</v>
      </c>
      <c r="F36" s="11" t="s">
        <v>67</v>
      </c>
      <c r="G36" s="11" t="s">
        <v>34</v>
      </c>
      <c r="H36" s="11" t="s">
        <v>62</v>
      </c>
      <c r="I36" s="11" t="s">
        <v>43</v>
      </c>
      <c r="J36" s="11" t="s">
        <v>44</v>
      </c>
      <c r="K36" s="11" t="s">
        <v>45</v>
      </c>
      <c r="L36" s="11" t="s">
        <v>46</v>
      </c>
      <c r="M36" s="11" t="s">
        <v>47</v>
      </c>
      <c r="N36" s="11" t="s">
        <v>48</v>
      </c>
      <c r="O36" s="11" t="s">
        <v>49</v>
      </c>
      <c r="P36" s="11" t="s">
        <v>50</v>
      </c>
      <c r="Q36" s="11" t="s">
        <v>51</v>
      </c>
      <c r="R36" s="11" t="s">
        <v>52</v>
      </c>
      <c r="S36" s="11" t="s">
        <v>53</v>
      </c>
      <c r="T36" s="145"/>
      <c r="V36" s="108"/>
    </row>
    <row r="37" spans="1:22" ht="41.25" x14ac:dyDescent="0.25">
      <c r="A37" s="3" t="str">
        <f>+A26</f>
        <v>A</v>
      </c>
      <c r="B37" s="4" t="s">
        <v>16</v>
      </c>
      <c r="C37" s="4" t="s">
        <v>17</v>
      </c>
      <c r="D37" s="15" t="s">
        <v>56</v>
      </c>
      <c r="E37" s="16">
        <v>4.8000000000000001E-2</v>
      </c>
      <c r="F37" s="22">
        <f>ROUND((F26*1.048),0)</f>
        <v>6744646</v>
      </c>
      <c r="G37" s="13">
        <v>3</v>
      </c>
      <c r="H37" s="99">
        <f>+'[5]ENERO 2029'!G2+'[5]ENERO 2029'!G3+'[5]ENERO 2029'!G4</f>
        <v>18547576</v>
      </c>
      <c r="I37" s="99">
        <f>+F37*G37</f>
        <v>20233938</v>
      </c>
      <c r="J37" s="22">
        <f>+'[5]MARZO 2029'!G2+'[5]MARZO 2029'!G3+'[5]MARZO 2029'!G4</f>
        <v>17536240</v>
      </c>
      <c r="K37" s="99">
        <f>+I37</f>
        <v>20233938</v>
      </c>
      <c r="L37" s="99">
        <f>+K37</f>
        <v>20233938</v>
      </c>
      <c r="M37" s="22">
        <f>+L37</f>
        <v>20233938</v>
      </c>
      <c r="N37" s="22">
        <f t="shared" ref="N37:R37" si="50">+M37</f>
        <v>20233938</v>
      </c>
      <c r="O37" s="22">
        <f t="shared" si="50"/>
        <v>20233938</v>
      </c>
      <c r="P37" s="22">
        <f t="shared" si="50"/>
        <v>20233938</v>
      </c>
      <c r="Q37" s="22">
        <f t="shared" si="50"/>
        <v>20233938</v>
      </c>
      <c r="R37" s="22">
        <f t="shared" si="50"/>
        <v>20233938</v>
      </c>
      <c r="S37" s="22">
        <f>+'[5]DICIEMBRE 2029'!G2+'[5]DICIEMBRE 2029'!G3+'[5]DICIEMBRE 2029'!G4</f>
        <v>17873272</v>
      </c>
      <c r="T37" s="22">
        <f>SUM(H37:S37)</f>
        <v>236062530</v>
      </c>
    </row>
    <row r="38" spans="1:22" ht="49.5" x14ac:dyDescent="0.25">
      <c r="A38" s="3" t="str">
        <f>+A27</f>
        <v>B</v>
      </c>
      <c r="B38" s="4" t="s">
        <v>16</v>
      </c>
      <c r="C38" s="4" t="s">
        <v>19</v>
      </c>
      <c r="D38" s="15" t="s">
        <v>56</v>
      </c>
      <c r="E38" s="16">
        <v>4.8000000000000001E-2</v>
      </c>
      <c r="F38" s="22">
        <f t="shared" ref="F38:F41" si="51">ROUND((F27*1.048),0)</f>
        <v>7418935</v>
      </c>
      <c r="G38" s="13">
        <v>8</v>
      </c>
      <c r="H38" s="99">
        <f>+'[5]ENERO 2029'!G5+'[5]ENERO 2029'!G6+'[5]ENERO 2029'!G7+'[5]ENERO 2029'!G8+'[5]ENERO 2029'!G9+'[5]ENERO 2029'!G10+'[5]ENERO 2029'!G12+'[5]ENERO 2029'!G16</f>
        <v>51931720</v>
      </c>
      <c r="I38" s="99">
        <f t="shared" ref="I38:I43" si="52">+F38*G38</f>
        <v>59351480</v>
      </c>
      <c r="J38" s="22">
        <f>+'[5]MARZO 2029'!G5+'[5]MARZO 2029'!G6+'[5]MARZO 2029'!G7+'[5]MARZO 2029'!G8+'[5]MARZO 2029'!G9+'[5]MARZO 2029'!G10+'[5]MARZO 2029'!G12+'[5]MARZO 2029'!G16</f>
        <v>51258320</v>
      </c>
      <c r="K38" s="99">
        <f t="shared" ref="K38:K43" si="53">+I38</f>
        <v>59351480</v>
      </c>
      <c r="L38" s="99">
        <f t="shared" ref="L38:S43" si="54">+K38</f>
        <v>59351480</v>
      </c>
      <c r="M38" s="22">
        <f t="shared" si="54"/>
        <v>59351480</v>
      </c>
      <c r="N38" s="22">
        <f t="shared" si="54"/>
        <v>59351480</v>
      </c>
      <c r="O38" s="22">
        <f t="shared" si="54"/>
        <v>59351480</v>
      </c>
      <c r="P38" s="22">
        <f t="shared" si="54"/>
        <v>59351480</v>
      </c>
      <c r="Q38" s="22">
        <f t="shared" si="54"/>
        <v>59351480</v>
      </c>
      <c r="R38" s="22">
        <f t="shared" si="54"/>
        <v>59351480</v>
      </c>
      <c r="S38" s="22">
        <f>+'[5]DICIEMBRE 2029'!G5+'[5]DICIEMBRE 2029'!G6+'[5]DICIEMBRE 2029'!G7+'[5]DICIEMBRE 2029'!G8+'[5]DICIEMBRE 2029'!G9+'[5]DICIEMBRE 2029'!G10+'[5]DICIEMBRE 2029'!G12+'[5]DICIEMBRE 2029'!G16</f>
        <v>49234496</v>
      </c>
      <c r="T38" s="22">
        <f t="shared" ref="T38:T43" si="55">SUM(H38:S38)</f>
        <v>686587856</v>
      </c>
    </row>
    <row r="39" spans="1:22" ht="49.5" x14ac:dyDescent="0.25">
      <c r="A39" s="3" t="str">
        <f t="shared" ref="A39:A43" si="56">+A28</f>
        <v>C</v>
      </c>
      <c r="B39" s="4" t="s">
        <v>21</v>
      </c>
      <c r="C39" s="4" t="s">
        <v>19</v>
      </c>
      <c r="D39" s="15" t="s">
        <v>56</v>
      </c>
      <c r="E39" s="16">
        <v>4.8000000000000001E-2</v>
      </c>
      <c r="F39" s="22">
        <f t="shared" si="51"/>
        <v>7280603</v>
      </c>
      <c r="G39" s="13">
        <v>1</v>
      </c>
      <c r="H39" s="99">
        <f>+F39*G39</f>
        <v>7280603</v>
      </c>
      <c r="I39" s="99">
        <f t="shared" si="52"/>
        <v>7280603</v>
      </c>
      <c r="J39" s="22">
        <f>+F39*G39</f>
        <v>7280603</v>
      </c>
      <c r="K39" s="99">
        <f t="shared" si="53"/>
        <v>7280603</v>
      </c>
      <c r="L39" s="99">
        <f t="shared" si="54"/>
        <v>7280603</v>
      </c>
      <c r="M39" s="22">
        <f t="shared" si="54"/>
        <v>7280603</v>
      </c>
      <c r="N39" s="22">
        <f t="shared" si="54"/>
        <v>7280603</v>
      </c>
      <c r="O39" s="22">
        <f t="shared" si="54"/>
        <v>7280603</v>
      </c>
      <c r="P39" s="22">
        <f t="shared" si="54"/>
        <v>7280603</v>
      </c>
      <c r="Q39" s="22">
        <f t="shared" si="54"/>
        <v>7280603</v>
      </c>
      <c r="R39" s="22">
        <f t="shared" si="54"/>
        <v>7280603</v>
      </c>
      <c r="S39" s="22">
        <f>+R39</f>
        <v>7280603</v>
      </c>
      <c r="T39" s="22">
        <f t="shared" si="55"/>
        <v>87367236</v>
      </c>
    </row>
    <row r="40" spans="1:22" ht="24.75" x14ac:dyDescent="0.25">
      <c r="A40" s="3" t="str">
        <f t="shared" si="56"/>
        <v>D</v>
      </c>
      <c r="B40" s="4" t="s">
        <v>16</v>
      </c>
      <c r="C40" s="4" t="s">
        <v>24</v>
      </c>
      <c r="D40" s="15" t="s">
        <v>56</v>
      </c>
      <c r="E40" s="16">
        <v>4.8000000000000001E-2</v>
      </c>
      <c r="F40" s="22">
        <f>ROUND((F29*1.048),0)+1</f>
        <v>23453745</v>
      </c>
      <c r="G40" s="13">
        <v>4</v>
      </c>
      <c r="H40" s="99">
        <f t="shared" ref="H40:H43" si="57">+F40*G40</f>
        <v>93814980</v>
      </c>
      <c r="I40" s="99">
        <f t="shared" si="52"/>
        <v>93814980</v>
      </c>
      <c r="J40" s="22">
        <f t="shared" ref="J40:J43" si="58">+F40*G40</f>
        <v>93814980</v>
      </c>
      <c r="K40" s="99">
        <f t="shared" si="53"/>
        <v>93814980</v>
      </c>
      <c r="L40" s="99">
        <f t="shared" si="54"/>
        <v>93814980</v>
      </c>
      <c r="M40" s="22">
        <f t="shared" si="54"/>
        <v>93814980</v>
      </c>
      <c r="N40" s="22">
        <f t="shared" si="54"/>
        <v>93814980</v>
      </c>
      <c r="O40" s="22">
        <f t="shared" si="54"/>
        <v>93814980</v>
      </c>
      <c r="P40" s="22">
        <f t="shared" si="54"/>
        <v>93814980</v>
      </c>
      <c r="Q40" s="22">
        <f t="shared" si="54"/>
        <v>93814980</v>
      </c>
      <c r="R40" s="22">
        <f t="shared" si="54"/>
        <v>93814980</v>
      </c>
      <c r="S40" s="22">
        <f t="shared" si="54"/>
        <v>93814980</v>
      </c>
      <c r="T40" s="22">
        <f t="shared" si="55"/>
        <v>1125779760</v>
      </c>
    </row>
    <row r="41" spans="1:22" ht="24.75" x14ac:dyDescent="0.25">
      <c r="A41" s="3" t="str">
        <f t="shared" si="56"/>
        <v xml:space="preserve">E </v>
      </c>
      <c r="B41" s="4" t="s">
        <v>16</v>
      </c>
      <c r="C41" s="4" t="s">
        <v>26</v>
      </c>
      <c r="D41" s="15" t="s">
        <v>56</v>
      </c>
      <c r="E41" s="16">
        <v>4.8000000000000001E-2</v>
      </c>
      <c r="F41" s="22">
        <f t="shared" si="51"/>
        <v>23027313</v>
      </c>
      <c r="G41" s="13">
        <v>1</v>
      </c>
      <c r="H41" s="99">
        <f t="shared" si="57"/>
        <v>23027313</v>
      </c>
      <c r="I41" s="99">
        <f t="shared" si="52"/>
        <v>23027313</v>
      </c>
      <c r="J41" s="22">
        <f t="shared" si="58"/>
        <v>23027313</v>
      </c>
      <c r="K41" s="99">
        <f t="shared" si="53"/>
        <v>23027313</v>
      </c>
      <c r="L41" s="99">
        <f t="shared" si="54"/>
        <v>23027313</v>
      </c>
      <c r="M41" s="22">
        <f t="shared" si="54"/>
        <v>23027313</v>
      </c>
      <c r="N41" s="22">
        <f t="shared" si="54"/>
        <v>23027313</v>
      </c>
      <c r="O41" s="22">
        <f t="shared" si="54"/>
        <v>23027313</v>
      </c>
      <c r="P41" s="22">
        <f t="shared" si="54"/>
        <v>23027313</v>
      </c>
      <c r="Q41" s="22">
        <f t="shared" si="54"/>
        <v>23027313</v>
      </c>
      <c r="R41" s="22">
        <f t="shared" si="54"/>
        <v>23027313</v>
      </c>
      <c r="S41" s="22">
        <f t="shared" si="54"/>
        <v>23027313</v>
      </c>
      <c r="T41" s="22">
        <f t="shared" si="55"/>
        <v>276327756</v>
      </c>
    </row>
    <row r="42" spans="1:22" ht="24.75" x14ac:dyDescent="0.25">
      <c r="A42" s="3" t="str">
        <f t="shared" si="56"/>
        <v>F</v>
      </c>
      <c r="B42" s="4" t="s">
        <v>21</v>
      </c>
      <c r="C42" s="4" t="s">
        <v>24</v>
      </c>
      <c r="D42" s="15" t="s">
        <v>56</v>
      </c>
      <c r="E42" s="16">
        <v>4.8000000000000001E-2</v>
      </c>
      <c r="F42" s="22">
        <f>ROUND((F31*1.048),0)-1</f>
        <v>23016432</v>
      </c>
      <c r="G42" s="13">
        <v>1</v>
      </c>
      <c r="H42" s="99">
        <f t="shared" si="57"/>
        <v>23016432</v>
      </c>
      <c r="I42" s="99">
        <f t="shared" si="52"/>
        <v>23016432</v>
      </c>
      <c r="J42" s="22">
        <f t="shared" si="58"/>
        <v>23016432</v>
      </c>
      <c r="K42" s="99">
        <f t="shared" si="53"/>
        <v>23016432</v>
      </c>
      <c r="L42" s="99">
        <f t="shared" si="54"/>
        <v>23016432</v>
      </c>
      <c r="M42" s="22">
        <f t="shared" si="54"/>
        <v>23016432</v>
      </c>
      <c r="N42" s="22">
        <f t="shared" si="54"/>
        <v>23016432</v>
      </c>
      <c r="O42" s="22">
        <f t="shared" si="54"/>
        <v>23016432</v>
      </c>
      <c r="P42" s="22">
        <f t="shared" si="54"/>
        <v>23016432</v>
      </c>
      <c r="Q42" s="22">
        <f t="shared" si="54"/>
        <v>23016432</v>
      </c>
      <c r="R42" s="22">
        <f t="shared" si="54"/>
        <v>23016432</v>
      </c>
      <c r="S42" s="22">
        <f t="shared" si="54"/>
        <v>23016432</v>
      </c>
      <c r="T42" s="22">
        <f t="shared" si="55"/>
        <v>276197184</v>
      </c>
    </row>
    <row r="43" spans="1:22" ht="49.5" x14ac:dyDescent="0.25">
      <c r="A43" s="3" t="str">
        <f t="shared" si="56"/>
        <v>G</v>
      </c>
      <c r="B43" s="4" t="s">
        <v>16</v>
      </c>
      <c r="C43" s="4" t="s">
        <v>29</v>
      </c>
      <c r="D43" s="15" t="s">
        <v>56</v>
      </c>
      <c r="E43" s="16">
        <v>4.8000000000000001E-2</v>
      </c>
      <c r="F43" s="22">
        <f>ROUND((F32*1.048),0)</f>
        <v>9612910</v>
      </c>
      <c r="G43" s="13">
        <v>1</v>
      </c>
      <c r="H43" s="99">
        <f t="shared" si="57"/>
        <v>9612910</v>
      </c>
      <c r="I43" s="99">
        <f t="shared" si="52"/>
        <v>9612910</v>
      </c>
      <c r="J43" s="22">
        <f t="shared" si="58"/>
        <v>9612910</v>
      </c>
      <c r="K43" s="99">
        <f t="shared" si="53"/>
        <v>9612910</v>
      </c>
      <c r="L43" s="99">
        <f t="shared" si="54"/>
        <v>9612910</v>
      </c>
      <c r="M43" s="22">
        <f t="shared" si="54"/>
        <v>9612910</v>
      </c>
      <c r="N43" s="22">
        <f t="shared" si="54"/>
        <v>9612910</v>
      </c>
      <c r="O43" s="22">
        <f t="shared" si="54"/>
        <v>9612910</v>
      </c>
      <c r="P43" s="22">
        <f t="shared" si="54"/>
        <v>9612910</v>
      </c>
      <c r="Q43" s="22">
        <f t="shared" si="54"/>
        <v>9612910</v>
      </c>
      <c r="R43" s="22">
        <f t="shared" si="54"/>
        <v>9612910</v>
      </c>
      <c r="S43" s="22">
        <f t="shared" si="54"/>
        <v>9612910</v>
      </c>
      <c r="T43" s="22">
        <f t="shared" si="55"/>
        <v>115354920</v>
      </c>
      <c r="V43" s="20">
        <f>+T44+T33+Z22</f>
        <v>8007527895</v>
      </c>
    </row>
    <row r="44" spans="1:22" ht="15.75" x14ac:dyDescent="0.25">
      <c r="A44" s="146" t="s">
        <v>30</v>
      </c>
      <c r="B44" s="146"/>
      <c r="C44" s="146"/>
      <c r="D44" s="18"/>
      <c r="E44" s="18"/>
      <c r="F44" s="17">
        <f t="shared" ref="F44" si="59">SUM(F37:F43)</f>
        <v>100554584</v>
      </c>
      <c r="G44" s="17">
        <f>SUM(G37:G43)</f>
        <v>19</v>
      </c>
      <c r="H44" s="100">
        <f>SUM(H37:H43)</f>
        <v>227231534</v>
      </c>
      <c r="I44" s="100">
        <f t="shared" ref="I44:S44" si="60">SUM(I37:I43)</f>
        <v>236337656</v>
      </c>
      <c r="J44" s="100">
        <f t="shared" si="60"/>
        <v>225546798</v>
      </c>
      <c r="K44" s="100">
        <f t="shared" si="60"/>
        <v>236337656</v>
      </c>
      <c r="L44" s="100">
        <f t="shared" si="60"/>
        <v>236337656</v>
      </c>
      <c r="M44" s="100">
        <f t="shared" si="60"/>
        <v>236337656</v>
      </c>
      <c r="N44" s="100">
        <f t="shared" si="60"/>
        <v>236337656</v>
      </c>
      <c r="O44" s="100">
        <f t="shared" si="60"/>
        <v>236337656</v>
      </c>
      <c r="P44" s="100">
        <f t="shared" si="60"/>
        <v>236337656</v>
      </c>
      <c r="Q44" s="100">
        <f t="shared" si="60"/>
        <v>236337656</v>
      </c>
      <c r="R44" s="100">
        <f t="shared" si="60"/>
        <v>236337656</v>
      </c>
      <c r="S44" s="100">
        <f t="shared" si="60"/>
        <v>223860006</v>
      </c>
      <c r="T44" s="100">
        <f>SUM(T37:T43)</f>
        <v>2803677242</v>
      </c>
    </row>
    <row r="46" spans="1:22" ht="21" customHeight="1" x14ac:dyDescent="0.25">
      <c r="A46" s="24" t="s">
        <v>68</v>
      </c>
      <c r="B46" s="24"/>
      <c r="C46" s="24"/>
      <c r="D46" s="24"/>
      <c r="E46" s="24"/>
      <c r="F46" s="24"/>
      <c r="G46" s="24"/>
      <c r="H46" s="24"/>
      <c r="I46" s="24"/>
      <c r="J46" s="24"/>
      <c r="K46" s="24"/>
      <c r="L46" s="24"/>
      <c r="M46" s="24"/>
      <c r="N46" s="24"/>
      <c r="O46" s="145" t="s">
        <v>69</v>
      </c>
      <c r="P46" s="101"/>
      <c r="Q46" s="101"/>
      <c r="R46" s="101"/>
      <c r="S46" s="101"/>
    </row>
    <row r="47" spans="1:22" ht="33.75" x14ac:dyDescent="0.25">
      <c r="A47" s="2" t="s">
        <v>5</v>
      </c>
      <c r="B47" s="2" t="s">
        <v>6</v>
      </c>
      <c r="C47" s="2" t="s">
        <v>7</v>
      </c>
      <c r="D47" s="11" t="s">
        <v>203</v>
      </c>
      <c r="E47" s="11" t="s">
        <v>70</v>
      </c>
      <c r="F47" s="11" t="s">
        <v>71</v>
      </c>
      <c r="G47" s="11" t="s">
        <v>34</v>
      </c>
      <c r="H47" s="11" t="s">
        <v>62</v>
      </c>
      <c r="I47" s="11" t="s">
        <v>43</v>
      </c>
      <c r="J47" s="11" t="s">
        <v>44</v>
      </c>
      <c r="K47" s="11" t="s">
        <v>45</v>
      </c>
      <c r="L47" s="11" t="s">
        <v>46</v>
      </c>
      <c r="M47" s="11" t="s">
        <v>47</v>
      </c>
      <c r="N47" s="11" t="s">
        <v>48</v>
      </c>
      <c r="O47" s="145"/>
    </row>
    <row r="48" spans="1:22" ht="41.25" x14ac:dyDescent="0.25">
      <c r="A48" s="3" t="str">
        <f>+A37</f>
        <v>A</v>
      </c>
      <c r="B48" s="4" t="s">
        <v>16</v>
      </c>
      <c r="C48" s="4" t="s">
        <v>17</v>
      </c>
      <c r="D48" s="15" t="s">
        <v>56</v>
      </c>
      <c r="E48" s="16">
        <v>4.8000000000000001E-2</v>
      </c>
      <c r="F48" s="22">
        <f>ROUND((F37*1.048),0)</f>
        <v>7068389</v>
      </c>
      <c r="G48" s="13">
        <v>3</v>
      </c>
      <c r="H48" s="99">
        <f>+'[5]ENERO DE 2030'!G2+'[5]ENERO DE 2030'!G3+'[5]ENERO DE 2030'!G4</f>
        <v>19437860</v>
      </c>
      <c r="I48" s="99">
        <f>+G48*F48</f>
        <v>21205167</v>
      </c>
      <c r="J48" s="22">
        <f>+I48</f>
        <v>21205167</v>
      </c>
      <c r="K48" s="99">
        <f>+'[5]ABRIL 2030'!G2+'[5]ABRIL 2030'!G3+'[5]ABRIL 2030'!G4</f>
        <v>19084231</v>
      </c>
      <c r="L48" s="99">
        <f>+J48</f>
        <v>21205167</v>
      </c>
      <c r="M48" s="22">
        <f>+L48</f>
        <v>21205167</v>
      </c>
      <c r="N48" s="22">
        <f t="shared" ref="N48:N54" si="61">+M48</f>
        <v>21205167</v>
      </c>
      <c r="O48" s="22">
        <f>SUM(H48:N48)</f>
        <v>144547926</v>
      </c>
    </row>
    <row r="49" spans="1:15" ht="49.5" x14ac:dyDescent="0.25">
      <c r="A49" s="3" t="str">
        <f>+A38</f>
        <v>B</v>
      </c>
      <c r="B49" s="4" t="s">
        <v>16</v>
      </c>
      <c r="C49" s="4" t="s">
        <v>19</v>
      </c>
      <c r="D49" s="15" t="s">
        <v>56</v>
      </c>
      <c r="E49" s="16">
        <v>4.8000000000000001E-2</v>
      </c>
      <c r="F49" s="22">
        <f>ROUND((F38*1.048),0)-1</f>
        <v>7775043</v>
      </c>
      <c r="G49" s="13">
        <v>8</v>
      </c>
      <c r="H49" s="99">
        <f>+'[5]ENERO DE 2030'!G5+'[5]ENERO DE 2030'!G6+'[5]ENERO DE 2030'!G7+'[5]ENERO DE 2030'!G8+'[5]ENERO DE 2030'!G9+'[5]ENERO DE 2030'!G10+'[5]ENERO DE 2030'!G12+'[5]ENERO DE 2030'!G16</f>
        <v>54424440</v>
      </c>
      <c r="I49" s="99">
        <f t="shared" ref="I49:I54" si="62">+G49*F49</f>
        <v>62200344</v>
      </c>
      <c r="J49" s="22">
        <f t="shared" ref="J49:K54" si="63">+I49</f>
        <v>62200344</v>
      </c>
      <c r="K49" s="99">
        <f>+'[5]ABRIL 2030'!G5+'[5]ABRIL 2030'!G6+'[5]ABRIL 2030'!G7+'[5]ABRIL 2030'!G8+'[5]ABRIL 2030'!G9+'[5]ABRIL 2030'!G10+'[5]ABRIL 2030'!G12+'[5]ABRIL 2030'!G16</f>
        <v>54777558</v>
      </c>
      <c r="L49" s="99">
        <f t="shared" ref="L49:L54" si="64">+J49</f>
        <v>62200344</v>
      </c>
      <c r="M49" s="22">
        <f t="shared" ref="M49:M54" si="65">+L49</f>
        <v>62200344</v>
      </c>
      <c r="N49" s="22">
        <f t="shared" si="61"/>
        <v>62200344</v>
      </c>
      <c r="O49" s="22">
        <f t="shared" ref="O49:O54" si="66">SUM(H49:N49)</f>
        <v>420203718</v>
      </c>
    </row>
    <row r="50" spans="1:15" ht="49.5" x14ac:dyDescent="0.25">
      <c r="A50" s="3" t="str">
        <f t="shared" ref="A50:A54" si="67">+A39</f>
        <v>C</v>
      </c>
      <c r="B50" s="4" t="s">
        <v>21</v>
      </c>
      <c r="C50" s="4" t="s">
        <v>19</v>
      </c>
      <c r="D50" s="15" t="s">
        <v>56</v>
      </c>
      <c r="E50" s="16">
        <v>4.8000000000000001E-2</v>
      </c>
      <c r="F50" s="22">
        <f t="shared" ref="F50:F54" si="68">ROUND((F39*1.048),0)</f>
        <v>7630072</v>
      </c>
      <c r="G50" s="13">
        <v>1</v>
      </c>
      <c r="H50" s="99">
        <f>+F50*G50</f>
        <v>7630072</v>
      </c>
      <c r="I50" s="99">
        <f t="shared" si="62"/>
        <v>7630072</v>
      </c>
      <c r="J50" s="22">
        <f t="shared" si="63"/>
        <v>7630072</v>
      </c>
      <c r="K50" s="99">
        <f>+J50</f>
        <v>7630072</v>
      </c>
      <c r="L50" s="99">
        <f t="shared" si="64"/>
        <v>7630072</v>
      </c>
      <c r="M50" s="22">
        <f t="shared" si="65"/>
        <v>7630072</v>
      </c>
      <c r="N50" s="22">
        <f t="shared" si="61"/>
        <v>7630072</v>
      </c>
      <c r="O50" s="22">
        <f t="shared" si="66"/>
        <v>53410504</v>
      </c>
    </row>
    <row r="51" spans="1:15" ht="24.75" x14ac:dyDescent="0.25">
      <c r="A51" s="3" t="str">
        <f t="shared" si="67"/>
        <v>D</v>
      </c>
      <c r="B51" s="4" t="s">
        <v>16</v>
      </c>
      <c r="C51" s="4" t="s">
        <v>24</v>
      </c>
      <c r="D51" s="15" t="s">
        <v>56</v>
      </c>
      <c r="E51" s="16">
        <v>4.8000000000000001E-2</v>
      </c>
      <c r="F51" s="22">
        <f>ROUND((F40*1.048),0)-1</f>
        <v>24579524</v>
      </c>
      <c r="G51" s="13">
        <v>4</v>
      </c>
      <c r="H51" s="99">
        <f t="shared" ref="H51:H54" si="69">+F51*G51</f>
        <v>98318096</v>
      </c>
      <c r="I51" s="99">
        <f t="shared" si="62"/>
        <v>98318096</v>
      </c>
      <c r="J51" s="22">
        <f t="shared" si="63"/>
        <v>98318096</v>
      </c>
      <c r="K51" s="99">
        <f t="shared" si="63"/>
        <v>98318096</v>
      </c>
      <c r="L51" s="99">
        <f t="shared" si="64"/>
        <v>98318096</v>
      </c>
      <c r="M51" s="22">
        <f t="shared" si="65"/>
        <v>98318096</v>
      </c>
      <c r="N51" s="22">
        <f t="shared" si="61"/>
        <v>98318096</v>
      </c>
      <c r="O51" s="22">
        <f t="shared" si="66"/>
        <v>688226672</v>
      </c>
    </row>
    <row r="52" spans="1:15" ht="24.75" x14ac:dyDescent="0.25">
      <c r="A52" s="3" t="str">
        <f t="shared" si="67"/>
        <v xml:space="preserve">E </v>
      </c>
      <c r="B52" s="4" t="s">
        <v>16</v>
      </c>
      <c r="C52" s="4" t="s">
        <v>26</v>
      </c>
      <c r="D52" s="15" t="s">
        <v>56</v>
      </c>
      <c r="E52" s="16">
        <v>4.8000000000000001E-2</v>
      </c>
      <c r="F52" s="22">
        <f t="shared" si="68"/>
        <v>24132624</v>
      </c>
      <c r="G52" s="13">
        <v>1</v>
      </c>
      <c r="H52" s="99">
        <f t="shared" si="69"/>
        <v>24132624</v>
      </c>
      <c r="I52" s="99">
        <f t="shared" si="62"/>
        <v>24132624</v>
      </c>
      <c r="J52" s="22">
        <f t="shared" si="63"/>
        <v>24132624</v>
      </c>
      <c r="K52" s="99">
        <f t="shared" si="63"/>
        <v>24132624</v>
      </c>
      <c r="L52" s="99">
        <f t="shared" si="64"/>
        <v>24132624</v>
      </c>
      <c r="M52" s="22">
        <f t="shared" si="65"/>
        <v>24132624</v>
      </c>
      <c r="N52" s="22">
        <f t="shared" si="61"/>
        <v>24132624</v>
      </c>
      <c r="O52" s="22">
        <f t="shared" si="66"/>
        <v>168928368</v>
      </c>
    </row>
    <row r="53" spans="1:15" ht="24.75" x14ac:dyDescent="0.25">
      <c r="A53" s="3" t="str">
        <f t="shared" si="67"/>
        <v>F</v>
      </c>
      <c r="B53" s="4" t="s">
        <v>21</v>
      </c>
      <c r="C53" s="4" t="s">
        <v>24</v>
      </c>
      <c r="D53" s="15" t="s">
        <v>56</v>
      </c>
      <c r="E53" s="16">
        <v>4.8000000000000001E-2</v>
      </c>
      <c r="F53" s="22">
        <f t="shared" si="68"/>
        <v>24121221</v>
      </c>
      <c r="G53" s="13">
        <v>1</v>
      </c>
      <c r="H53" s="99">
        <f t="shared" si="69"/>
        <v>24121221</v>
      </c>
      <c r="I53" s="99">
        <f t="shared" si="62"/>
        <v>24121221</v>
      </c>
      <c r="J53" s="22">
        <f t="shared" si="63"/>
        <v>24121221</v>
      </c>
      <c r="K53" s="99">
        <f t="shared" si="63"/>
        <v>24121221</v>
      </c>
      <c r="L53" s="99">
        <f t="shared" si="64"/>
        <v>24121221</v>
      </c>
      <c r="M53" s="22">
        <f t="shared" si="65"/>
        <v>24121221</v>
      </c>
      <c r="N53" s="22">
        <f t="shared" si="61"/>
        <v>24121221</v>
      </c>
      <c r="O53" s="22">
        <f t="shared" si="66"/>
        <v>168848547</v>
      </c>
    </row>
    <row r="54" spans="1:15" ht="49.5" x14ac:dyDescent="0.25">
      <c r="A54" s="3" t="str">
        <f t="shared" si="67"/>
        <v>G</v>
      </c>
      <c r="B54" s="4" t="s">
        <v>16</v>
      </c>
      <c r="C54" s="4" t="s">
        <v>29</v>
      </c>
      <c r="D54" s="15" t="s">
        <v>56</v>
      </c>
      <c r="E54" s="16">
        <v>4.8000000000000001E-2</v>
      </c>
      <c r="F54" s="22">
        <f t="shared" si="68"/>
        <v>10074330</v>
      </c>
      <c r="G54" s="13">
        <v>1</v>
      </c>
      <c r="H54" s="99">
        <f t="shared" si="69"/>
        <v>10074330</v>
      </c>
      <c r="I54" s="99">
        <f t="shared" si="62"/>
        <v>10074330</v>
      </c>
      <c r="J54" s="22">
        <f t="shared" si="63"/>
        <v>10074330</v>
      </c>
      <c r="K54" s="99">
        <f t="shared" si="63"/>
        <v>10074330</v>
      </c>
      <c r="L54" s="99">
        <f t="shared" si="64"/>
        <v>10074330</v>
      </c>
      <c r="M54" s="22">
        <f t="shared" si="65"/>
        <v>10074330</v>
      </c>
      <c r="N54" s="22">
        <f t="shared" si="61"/>
        <v>10074330</v>
      </c>
      <c r="O54" s="22">
        <f t="shared" si="66"/>
        <v>70520310</v>
      </c>
    </row>
    <row r="55" spans="1:15" ht="15.75" x14ac:dyDescent="0.25">
      <c r="A55" s="146" t="s">
        <v>30</v>
      </c>
      <c r="B55" s="146"/>
      <c r="C55" s="146"/>
      <c r="D55" s="18"/>
      <c r="E55" s="18"/>
      <c r="F55" s="17">
        <f t="shared" ref="F55" si="70">SUM(F48:F54)</f>
        <v>105381203</v>
      </c>
      <c r="G55" s="17">
        <f>SUM(G48:G54)</f>
        <v>19</v>
      </c>
      <c r="H55" s="100">
        <f>SUM(H48:H54)</f>
        <v>238138643</v>
      </c>
      <c r="I55" s="100">
        <f t="shared" ref="I55:N55" si="71">SUM(I48:I54)</f>
        <v>247681854</v>
      </c>
      <c r="J55" s="100">
        <f t="shared" si="71"/>
        <v>247681854</v>
      </c>
      <c r="K55" s="100">
        <f t="shared" si="71"/>
        <v>238138132</v>
      </c>
      <c r="L55" s="100">
        <f t="shared" si="71"/>
        <v>247681854</v>
      </c>
      <c r="M55" s="100">
        <f t="shared" si="71"/>
        <v>247681854</v>
      </c>
      <c r="N55" s="100">
        <f t="shared" si="71"/>
        <v>247681854</v>
      </c>
      <c r="O55" s="100">
        <f>SUM(O48:O54)</f>
        <v>1714686045</v>
      </c>
    </row>
    <row r="63" spans="1:15" ht="30" x14ac:dyDescent="0.25">
      <c r="A63" s="25" t="s">
        <v>72</v>
      </c>
      <c r="B63" s="26" t="s">
        <v>73</v>
      </c>
      <c r="C63" s="25" t="s">
        <v>74</v>
      </c>
    </row>
    <row r="64" spans="1:15" x14ac:dyDescent="0.25">
      <c r="A64" s="18" t="s">
        <v>75</v>
      </c>
      <c r="B64" s="27">
        <f>+G22</f>
        <v>191303534</v>
      </c>
      <c r="C64" s="18">
        <v>1</v>
      </c>
      <c r="D64" s="21"/>
      <c r="F64" s="20"/>
    </row>
    <row r="65" spans="1:6" x14ac:dyDescent="0.25">
      <c r="A65" s="18" t="s">
        <v>76</v>
      </c>
      <c r="B65" s="28">
        <f>+Z22</f>
        <v>2532769467</v>
      </c>
      <c r="C65" s="18">
        <v>12</v>
      </c>
      <c r="D65" s="21"/>
      <c r="F65" s="20"/>
    </row>
    <row r="66" spans="1:6" x14ac:dyDescent="0.25">
      <c r="A66" s="18" t="s">
        <v>77</v>
      </c>
      <c r="B66" s="27">
        <f>+T33</f>
        <v>2671081186</v>
      </c>
      <c r="C66" s="18">
        <v>12</v>
      </c>
      <c r="D66" s="21"/>
      <c r="F66" s="20"/>
    </row>
    <row r="67" spans="1:6" x14ac:dyDescent="0.25">
      <c r="A67" s="18" t="s">
        <v>78</v>
      </c>
      <c r="B67" s="27">
        <f>+T44</f>
        <v>2803677242</v>
      </c>
      <c r="C67" s="18">
        <v>12</v>
      </c>
      <c r="D67" s="21"/>
      <c r="F67" s="20"/>
    </row>
    <row r="68" spans="1:6" x14ac:dyDescent="0.25">
      <c r="A68" s="18" t="s">
        <v>79</v>
      </c>
      <c r="B68" s="27">
        <f>+O55</f>
        <v>1714686045</v>
      </c>
      <c r="C68" s="18">
        <v>7</v>
      </c>
      <c r="D68" s="21"/>
      <c r="F68" s="20"/>
    </row>
    <row r="69" spans="1:6" x14ac:dyDescent="0.25">
      <c r="A69" s="29" t="s">
        <v>30</v>
      </c>
      <c r="B69" s="30">
        <f>SUM(B64:B68)</f>
        <v>9913517474</v>
      </c>
      <c r="C69" s="29">
        <f>SUM(C64:C68)</f>
        <v>44</v>
      </c>
      <c r="D69" s="21"/>
      <c r="F69" s="20"/>
    </row>
    <row r="70" spans="1:6" x14ac:dyDescent="0.25">
      <c r="D70" s="31"/>
      <c r="F70" s="20"/>
    </row>
    <row r="71" spans="1:6" x14ac:dyDescent="0.25">
      <c r="F71" s="20"/>
    </row>
    <row r="73" spans="1:6" x14ac:dyDescent="0.25">
      <c r="D73" s="20"/>
    </row>
  </sheetData>
  <mergeCells count="17">
    <mergeCell ref="A33:C33"/>
    <mergeCell ref="A1:AA1"/>
    <mergeCell ref="D2:I2"/>
    <mergeCell ref="J2:O2"/>
    <mergeCell ref="P2:U2"/>
    <mergeCell ref="V2:AA2"/>
    <mergeCell ref="A11:C11"/>
    <mergeCell ref="A13:H13"/>
    <mergeCell ref="I13:Z13"/>
    <mergeCell ref="A22:C22"/>
    <mergeCell ref="A24:S24"/>
    <mergeCell ref="T24:T25"/>
    <mergeCell ref="A35:S35"/>
    <mergeCell ref="T35:T36"/>
    <mergeCell ref="A44:C44"/>
    <mergeCell ref="O46:O47"/>
    <mergeCell ref="A55:C55"/>
  </mergeCells>
  <pageMargins left="0.7" right="0.7" top="0.75" bottom="0.75" header="0.3" footer="0.3"/>
  <pageSetup orientation="portrait" horizontalDpi="4294967294" verticalDpi="4294967294"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3AEAC-64AF-4FDE-986A-31EDFE6E8EEC}">
  <sheetPr>
    <tabColor rgb="FFFF0000"/>
    <pageSetUpPr fitToPage="1"/>
  </sheetPr>
  <dimension ref="A1:AV56"/>
  <sheetViews>
    <sheetView topLeftCell="A4" zoomScale="96" zoomScaleNormal="96" workbookViewId="0">
      <pane xSplit="6" ySplit="2" topLeftCell="G6" activePane="bottomRight" state="frozen"/>
      <selection activeCell="F71" sqref="F71"/>
      <selection pane="topRight" activeCell="F71" sqref="F71"/>
      <selection pane="bottomLeft" activeCell="F71" sqref="F71"/>
      <selection pane="bottomRight" activeCell="U28" sqref="U28:U37"/>
    </sheetView>
  </sheetViews>
  <sheetFormatPr baseColWidth="10" defaultColWidth="11.42578125" defaultRowHeight="11.25" x14ac:dyDescent="0.2"/>
  <cols>
    <col min="1" max="1" width="7.5703125" style="33" bestFit="1" customWidth="1"/>
    <col min="2" max="2" width="8.5703125" style="33" customWidth="1"/>
    <col min="3" max="3" width="21.5703125" style="33" customWidth="1"/>
    <col min="4" max="5" width="7.7109375" style="33" customWidth="1"/>
    <col min="6" max="8" width="8.140625" style="33" customWidth="1"/>
    <col min="9" max="9" width="5.85546875" style="33" bestFit="1" customWidth="1"/>
    <col min="10" max="10" width="16.42578125" style="33" customWidth="1"/>
    <col min="11" max="11" width="15.7109375" style="33" customWidth="1"/>
    <col min="12" max="12" width="14" style="33" customWidth="1"/>
    <col min="13" max="13" width="21.7109375" style="33" customWidth="1"/>
    <col min="14" max="14" width="12.7109375" style="33" customWidth="1"/>
    <col min="15" max="15" width="16.7109375" style="33" customWidth="1"/>
    <col min="16" max="16" width="16.42578125" style="33" customWidth="1"/>
    <col min="17" max="17" width="15" style="33" customWidth="1"/>
    <col min="18" max="19" width="15.7109375" style="33" customWidth="1"/>
    <col min="20" max="20" width="16.5703125" style="33" customWidth="1"/>
    <col min="21" max="21" width="16.28515625" style="33" customWidth="1"/>
    <col min="22" max="22" width="13.7109375" style="33" customWidth="1"/>
    <col min="23" max="23" width="14.140625" style="33" customWidth="1"/>
    <col min="24" max="24" width="13.5703125" style="33" customWidth="1"/>
    <col min="25" max="25" width="13.7109375" style="33" bestFit="1" customWidth="1"/>
    <col min="26" max="26" width="13" style="33" customWidth="1"/>
    <col min="27" max="27" width="16.85546875" style="33" customWidth="1"/>
    <col min="28" max="28" width="15.7109375" style="33" customWidth="1"/>
    <col min="29" max="31" width="14" style="33" customWidth="1"/>
    <col min="32" max="32" width="14.42578125" style="33" bestFit="1" customWidth="1"/>
    <col min="33" max="42" width="14.42578125" style="33" customWidth="1"/>
    <col min="43" max="43" width="16.42578125" style="33" bestFit="1" customWidth="1"/>
    <col min="44" max="44" width="17.5703125" style="33" bestFit="1" customWidth="1"/>
    <col min="45" max="47" width="17.5703125" style="33" customWidth="1"/>
    <col min="48" max="48" width="15.28515625" style="33" bestFit="1" customWidth="1"/>
    <col min="49" max="16384" width="11.42578125" style="33"/>
  </cols>
  <sheetData>
    <row r="1" spans="1:48" ht="27.75" x14ac:dyDescent="0.4">
      <c r="A1" s="32"/>
      <c r="B1" s="32"/>
      <c r="C1" s="32"/>
      <c r="D1" s="133" t="s">
        <v>80</v>
      </c>
      <c r="E1" s="133"/>
      <c r="F1" s="133"/>
      <c r="G1" s="133"/>
      <c r="H1" s="133"/>
      <c r="I1" s="133"/>
      <c r="J1" s="133"/>
      <c r="K1" s="133"/>
      <c r="L1" s="133"/>
      <c r="M1" s="133"/>
      <c r="N1" s="133"/>
      <c r="O1" s="133"/>
      <c r="P1" s="133"/>
      <c r="Q1" s="133"/>
      <c r="R1" s="133"/>
      <c r="S1" s="133"/>
      <c r="T1" s="133"/>
      <c r="U1" s="133"/>
    </row>
    <row r="2" spans="1:48" ht="13.5" x14ac:dyDescent="0.25">
      <c r="A2" s="34"/>
      <c r="B2" s="34"/>
      <c r="C2" s="34"/>
      <c r="D2" s="134" t="s">
        <v>81</v>
      </c>
      <c r="E2" s="134"/>
      <c r="F2" s="134"/>
      <c r="G2" s="134"/>
      <c r="H2" s="134"/>
      <c r="I2" s="134"/>
      <c r="J2" s="134"/>
      <c r="K2" s="134"/>
      <c r="L2" s="134"/>
      <c r="M2" s="134"/>
      <c r="N2" s="134"/>
      <c r="O2" s="134"/>
      <c r="P2" s="134"/>
      <c r="Q2" s="134"/>
      <c r="R2" s="134"/>
      <c r="S2" s="134"/>
      <c r="T2" s="134"/>
      <c r="U2" s="134"/>
    </row>
    <row r="3" spans="1:48" ht="13.5" x14ac:dyDescent="0.25">
      <c r="A3" s="34"/>
      <c r="B3" s="34"/>
      <c r="C3" s="34"/>
      <c r="D3" s="134"/>
      <c r="E3" s="134"/>
      <c r="F3" s="134"/>
      <c r="G3" s="134"/>
      <c r="H3" s="134"/>
      <c r="I3" s="134"/>
      <c r="J3" s="134"/>
      <c r="K3" s="134"/>
      <c r="L3" s="134"/>
      <c r="M3" s="134"/>
      <c r="N3" s="134"/>
      <c r="O3" s="134"/>
      <c r="P3" s="134"/>
      <c r="Q3" s="134"/>
      <c r="R3" s="134"/>
      <c r="S3" s="134"/>
      <c r="T3" s="134"/>
      <c r="U3" s="134"/>
    </row>
    <row r="4" spans="1:48" ht="13.5" x14ac:dyDescent="0.25">
      <c r="A4" s="34"/>
      <c r="B4" s="34"/>
      <c r="C4" s="34"/>
      <c r="D4" s="134"/>
      <c r="E4" s="134"/>
      <c r="F4" s="134"/>
      <c r="G4" s="134"/>
      <c r="H4" s="134"/>
      <c r="I4" s="134"/>
      <c r="J4" s="134"/>
      <c r="K4" s="134"/>
      <c r="L4" s="134"/>
      <c r="M4" s="134"/>
      <c r="N4" s="134"/>
      <c r="O4" s="134"/>
      <c r="P4" s="134"/>
      <c r="Q4" s="134"/>
      <c r="R4" s="134"/>
      <c r="S4" s="134"/>
      <c r="T4" s="134"/>
      <c r="U4" s="134"/>
    </row>
    <row r="5" spans="1:48" ht="13.5" x14ac:dyDescent="0.25">
      <c r="A5" s="34"/>
      <c r="B5" s="34"/>
      <c r="C5" s="34"/>
      <c r="D5" s="134"/>
      <c r="E5" s="134"/>
      <c r="F5" s="134"/>
      <c r="G5" s="134"/>
      <c r="H5" s="134"/>
      <c r="I5" s="134"/>
      <c r="J5" s="134"/>
      <c r="K5" s="134"/>
      <c r="L5" s="134"/>
      <c r="M5" s="134"/>
      <c r="N5" s="134"/>
      <c r="O5" s="134"/>
      <c r="P5" s="134"/>
      <c r="Q5" s="134"/>
      <c r="R5" s="134"/>
      <c r="S5" s="134"/>
      <c r="T5" s="134"/>
      <c r="U5" s="134"/>
    </row>
    <row r="6" spans="1:48" x14ac:dyDescent="0.2">
      <c r="A6" s="32"/>
      <c r="B6" s="32"/>
      <c r="C6" s="32"/>
      <c r="D6" s="32"/>
      <c r="E6" s="32"/>
      <c r="F6" s="32"/>
      <c r="G6" s="32"/>
      <c r="H6" s="32"/>
      <c r="I6" s="32"/>
      <c r="J6" s="32"/>
      <c r="K6" s="32"/>
      <c r="L6" s="32"/>
      <c r="M6" s="32"/>
      <c r="N6" s="32"/>
      <c r="O6" s="32"/>
      <c r="P6" s="32"/>
      <c r="Q6" s="32"/>
      <c r="R6" s="32"/>
      <c r="S6" s="32"/>
      <c r="T6" s="32"/>
      <c r="U6" s="32"/>
    </row>
    <row r="7" spans="1:48" ht="15" x14ac:dyDescent="0.2">
      <c r="A7" s="135" t="s">
        <v>82</v>
      </c>
      <c r="B7" s="135"/>
      <c r="C7" s="135"/>
      <c r="D7" s="135"/>
      <c r="E7" s="135"/>
      <c r="F7" s="136"/>
      <c r="G7" s="136"/>
      <c r="H7" s="136"/>
      <c r="I7" s="136"/>
      <c r="J7" s="35" t="s">
        <v>83</v>
      </c>
      <c r="K7" s="36"/>
      <c r="L7" s="36"/>
      <c r="M7" s="36"/>
      <c r="N7" s="32"/>
      <c r="O7" s="32"/>
      <c r="P7" s="32"/>
      <c r="Q7" s="32"/>
      <c r="R7" s="32"/>
      <c r="S7" s="32"/>
      <c r="T7" s="32"/>
      <c r="U7" s="32"/>
    </row>
    <row r="8" spans="1:48" ht="33.75" x14ac:dyDescent="0.25">
      <c r="A8" s="137" t="s">
        <v>84</v>
      </c>
      <c r="B8" s="137"/>
      <c r="C8" s="137"/>
      <c r="D8" s="137"/>
      <c r="E8" s="137"/>
      <c r="F8" s="138"/>
      <c r="G8" s="138"/>
      <c r="H8" s="138"/>
      <c r="I8" s="138"/>
      <c r="J8" s="37" t="s">
        <v>85</v>
      </c>
      <c r="K8" s="36"/>
      <c r="L8" s="36"/>
      <c r="M8" s="36"/>
      <c r="N8" s="32"/>
      <c r="O8" s="32"/>
      <c r="P8" s="32"/>
      <c r="Q8" s="32"/>
      <c r="R8" s="32"/>
      <c r="S8" s="32"/>
      <c r="T8" s="32"/>
      <c r="U8" s="32"/>
    </row>
    <row r="9" spans="1:48" ht="15" x14ac:dyDescent="0.25">
      <c r="A9" s="122" t="s">
        <v>86</v>
      </c>
      <c r="B9" s="122"/>
      <c r="C9" s="122"/>
      <c r="D9" s="122"/>
      <c r="E9" s="122"/>
      <c r="F9" s="123"/>
      <c r="G9" s="123"/>
      <c r="H9" s="123"/>
      <c r="I9" s="123"/>
      <c r="J9" s="38">
        <v>1</v>
      </c>
      <c r="K9" s="39"/>
      <c r="L9" s="39"/>
      <c r="M9" s="39"/>
      <c r="N9" s="32"/>
      <c r="O9" s="32"/>
      <c r="P9" s="32"/>
      <c r="Q9" s="32"/>
      <c r="R9" s="32"/>
      <c r="S9" s="32"/>
      <c r="T9" s="32"/>
      <c r="U9" s="32"/>
    </row>
    <row r="10" spans="1:48" ht="15" customHeight="1" x14ac:dyDescent="0.25">
      <c r="A10" s="122" t="s">
        <v>87</v>
      </c>
      <c r="B10" s="122"/>
      <c r="C10" s="122"/>
      <c r="D10" s="122"/>
      <c r="E10" s="122"/>
      <c r="F10" s="123"/>
      <c r="G10" s="123"/>
      <c r="H10" s="123"/>
      <c r="I10" s="123"/>
      <c r="J10" s="40">
        <v>12</v>
      </c>
      <c r="K10" s="39"/>
      <c r="L10" s="39"/>
      <c r="M10" s="39"/>
      <c r="N10" s="32"/>
      <c r="O10" s="139"/>
      <c r="P10" s="142" t="s">
        <v>88</v>
      </c>
      <c r="Q10" s="142"/>
      <c r="R10" s="143"/>
      <c r="S10" s="143"/>
      <c r="T10" s="143"/>
      <c r="U10" s="143"/>
    </row>
    <row r="11" spans="1:48" ht="15" customHeight="1" x14ac:dyDescent="0.25">
      <c r="A11" s="122" t="s">
        <v>89</v>
      </c>
      <c r="B11" s="122"/>
      <c r="C11" s="122"/>
      <c r="D11" s="122"/>
      <c r="E11" s="122"/>
      <c r="F11" s="123"/>
      <c r="G11" s="123"/>
      <c r="H11" s="123"/>
      <c r="I11" s="123"/>
      <c r="J11" s="40">
        <v>12</v>
      </c>
      <c r="K11" s="39"/>
      <c r="L11" s="39"/>
      <c r="M11" s="39"/>
      <c r="N11" s="32"/>
      <c r="O11" s="140"/>
      <c r="P11" s="142"/>
      <c r="Q11" s="142"/>
      <c r="R11" s="143"/>
      <c r="S11" s="143"/>
      <c r="T11" s="143"/>
      <c r="U11" s="143"/>
    </row>
    <row r="12" spans="1:48" ht="15" customHeight="1" x14ac:dyDescent="0.25">
      <c r="A12" s="122" t="s">
        <v>90</v>
      </c>
      <c r="B12" s="122"/>
      <c r="C12" s="122"/>
      <c r="D12" s="122"/>
      <c r="E12" s="122"/>
      <c r="F12" s="123"/>
      <c r="G12" s="123"/>
      <c r="H12" s="123"/>
      <c r="I12" s="123"/>
      <c r="J12" s="40">
        <v>12</v>
      </c>
      <c r="K12" s="39"/>
      <c r="L12" s="39"/>
      <c r="M12" s="39"/>
      <c r="N12" s="32"/>
      <c r="O12" s="140"/>
      <c r="P12" s="142"/>
      <c r="Q12" s="142"/>
      <c r="R12" s="143"/>
      <c r="S12" s="143"/>
      <c r="T12" s="143"/>
      <c r="U12" s="143"/>
    </row>
    <row r="13" spans="1:48" ht="15" customHeight="1" x14ac:dyDescent="0.25">
      <c r="A13" s="122" t="s">
        <v>91</v>
      </c>
      <c r="B13" s="122"/>
      <c r="C13" s="122"/>
      <c r="D13" s="122"/>
      <c r="E13" s="122"/>
      <c r="F13" s="123"/>
      <c r="G13" s="123"/>
      <c r="H13" s="123"/>
      <c r="I13" s="123"/>
      <c r="J13" s="40">
        <v>7</v>
      </c>
      <c r="K13" s="39"/>
      <c r="L13" s="39"/>
      <c r="M13" s="39"/>
      <c r="N13" s="32"/>
      <c r="O13" s="140"/>
      <c r="P13" s="142"/>
      <c r="Q13" s="142"/>
      <c r="R13" s="143"/>
      <c r="S13" s="143"/>
      <c r="T13" s="143"/>
      <c r="U13" s="143"/>
    </row>
    <row r="14" spans="1:48" ht="15" customHeight="1" x14ac:dyDescent="0.25">
      <c r="A14" s="122" t="s">
        <v>92</v>
      </c>
      <c r="B14" s="122"/>
      <c r="C14" s="122"/>
      <c r="D14" s="122"/>
      <c r="E14" s="122"/>
      <c r="F14" s="123"/>
      <c r="G14" s="123"/>
      <c r="H14" s="123"/>
      <c r="I14" s="123"/>
      <c r="J14" s="41">
        <v>0.19</v>
      </c>
      <c r="K14" s="42"/>
      <c r="L14" s="42"/>
      <c r="M14" s="42"/>
      <c r="N14" s="32"/>
      <c r="O14" s="141"/>
      <c r="P14" s="143"/>
      <c r="Q14" s="143"/>
      <c r="R14" s="143"/>
      <c r="S14" s="143"/>
      <c r="T14" s="143"/>
      <c r="U14" s="143"/>
    </row>
    <row r="15" spans="1:48" ht="15" customHeight="1" thickBot="1" x14ac:dyDescent="0.25">
      <c r="A15" s="124" t="s">
        <v>93</v>
      </c>
      <c r="B15" s="125"/>
      <c r="C15" s="125"/>
      <c r="D15" s="125"/>
      <c r="E15" s="125"/>
      <c r="F15" s="125"/>
      <c r="G15" s="125"/>
      <c r="H15" s="125"/>
      <c r="I15" s="126"/>
      <c r="J15" s="43">
        <v>4.8000000000000001E-2</v>
      </c>
      <c r="K15" s="32" t="s">
        <v>94</v>
      </c>
      <c r="L15" s="44"/>
      <c r="M15" s="44"/>
      <c r="O15" s="32"/>
      <c r="P15" s="32"/>
      <c r="Q15" s="32"/>
      <c r="R15" s="32"/>
      <c r="S15" s="32"/>
      <c r="T15" s="32"/>
      <c r="U15" s="32"/>
    </row>
    <row r="16" spans="1:48" ht="62.25" customHeight="1" thickBot="1" x14ac:dyDescent="0.25">
      <c r="A16" s="32"/>
      <c r="B16" s="32"/>
      <c r="C16" s="32"/>
      <c r="D16" s="32"/>
      <c r="E16" s="32"/>
      <c r="F16" s="32"/>
      <c r="G16" s="32"/>
      <c r="H16" s="32"/>
      <c r="I16" s="32"/>
      <c r="J16" s="127" t="s">
        <v>95</v>
      </c>
      <c r="K16" s="128"/>
      <c r="L16" s="128"/>
      <c r="M16" s="128"/>
      <c r="N16" s="128"/>
      <c r="O16" s="128"/>
      <c r="P16" s="129"/>
      <c r="Q16" s="130" t="s">
        <v>96</v>
      </c>
      <c r="R16" s="131"/>
      <c r="S16" s="131"/>
      <c r="T16" s="131"/>
      <c r="U16" s="132"/>
      <c r="V16" s="45" t="s">
        <v>97</v>
      </c>
      <c r="W16" s="113" t="s">
        <v>76</v>
      </c>
      <c r="X16" s="114"/>
      <c r="Y16" s="114"/>
      <c r="Z16" s="114"/>
      <c r="AA16" s="114"/>
      <c r="AB16" s="115"/>
      <c r="AC16" s="113" t="s">
        <v>77</v>
      </c>
      <c r="AD16" s="114"/>
      <c r="AE16" s="114"/>
      <c r="AF16" s="114"/>
      <c r="AG16" s="115"/>
      <c r="AH16" s="113" t="s">
        <v>78</v>
      </c>
      <c r="AI16" s="114"/>
      <c r="AJ16" s="114"/>
      <c r="AK16" s="114"/>
      <c r="AL16" s="115"/>
      <c r="AM16" s="113" t="s">
        <v>79</v>
      </c>
      <c r="AN16" s="114"/>
      <c r="AO16" s="114"/>
      <c r="AP16" s="115"/>
      <c r="AQ16" s="116" t="s">
        <v>98</v>
      </c>
      <c r="AR16" s="114"/>
      <c r="AS16" s="114"/>
      <c r="AT16" s="114"/>
      <c r="AU16" s="115"/>
      <c r="AV16" s="117" t="s">
        <v>99</v>
      </c>
    </row>
    <row r="17" spans="1:48" s="51" customFormat="1" ht="79.5" thickBot="1" x14ac:dyDescent="0.25">
      <c r="A17" s="46" t="s">
        <v>100</v>
      </c>
      <c r="B17" s="46" t="s">
        <v>101</v>
      </c>
      <c r="C17" s="46" t="s">
        <v>102</v>
      </c>
      <c r="D17" s="46" t="s">
        <v>103</v>
      </c>
      <c r="E17" s="46" t="s">
        <v>104</v>
      </c>
      <c r="F17" s="46" t="s">
        <v>105</v>
      </c>
      <c r="G17" s="46" t="s">
        <v>106</v>
      </c>
      <c r="H17" s="46" t="s">
        <v>107</v>
      </c>
      <c r="I17" s="46" t="s">
        <v>108</v>
      </c>
      <c r="J17" s="47" t="s">
        <v>109</v>
      </c>
      <c r="K17" s="47" t="s">
        <v>110</v>
      </c>
      <c r="L17" s="47" t="s">
        <v>111</v>
      </c>
      <c r="M17" s="47" t="s">
        <v>112</v>
      </c>
      <c r="N17" s="48" t="s">
        <v>113</v>
      </c>
      <c r="O17" s="48" t="s">
        <v>114</v>
      </c>
      <c r="P17" s="48" t="s">
        <v>115</v>
      </c>
      <c r="Q17" s="49" t="s">
        <v>116</v>
      </c>
      <c r="R17" s="48" t="s">
        <v>117</v>
      </c>
      <c r="S17" s="48" t="s">
        <v>118</v>
      </c>
      <c r="T17" s="48" t="s">
        <v>119</v>
      </c>
      <c r="U17" s="48" t="s">
        <v>120</v>
      </c>
      <c r="V17" s="48" t="s">
        <v>121</v>
      </c>
      <c r="W17" s="48" t="s">
        <v>122</v>
      </c>
      <c r="X17" s="48" t="s">
        <v>123</v>
      </c>
      <c r="Y17" s="48" t="s">
        <v>124</v>
      </c>
      <c r="Z17" s="48" t="s">
        <v>125</v>
      </c>
      <c r="AA17" s="48" t="s">
        <v>126</v>
      </c>
      <c r="AB17" s="48" t="s">
        <v>127</v>
      </c>
      <c r="AC17" s="48" t="s">
        <v>128</v>
      </c>
      <c r="AD17" s="48" t="s">
        <v>129</v>
      </c>
      <c r="AE17" s="48" t="s">
        <v>130</v>
      </c>
      <c r="AF17" s="48" t="s">
        <v>131</v>
      </c>
      <c r="AG17" s="48" t="s">
        <v>132</v>
      </c>
      <c r="AH17" s="48" t="s">
        <v>133</v>
      </c>
      <c r="AI17" s="48" t="s">
        <v>134</v>
      </c>
      <c r="AJ17" s="48" t="s">
        <v>135</v>
      </c>
      <c r="AK17" s="48" t="s">
        <v>136</v>
      </c>
      <c r="AL17" s="48" t="s">
        <v>137</v>
      </c>
      <c r="AM17" s="48" t="s">
        <v>138</v>
      </c>
      <c r="AN17" s="48" t="s">
        <v>139</v>
      </c>
      <c r="AO17" s="48" t="s">
        <v>140</v>
      </c>
      <c r="AP17" s="48" t="s">
        <v>141</v>
      </c>
      <c r="AQ17" s="48" t="s">
        <v>142</v>
      </c>
      <c r="AR17" s="48" t="s">
        <v>143</v>
      </c>
      <c r="AS17" s="48" t="s">
        <v>144</v>
      </c>
      <c r="AT17" s="48" t="s">
        <v>145</v>
      </c>
      <c r="AU17" s="50" t="s">
        <v>146</v>
      </c>
      <c r="AV17" s="118"/>
    </row>
    <row r="18" spans="1:48" ht="17.25" customHeight="1" x14ac:dyDescent="0.2">
      <c r="A18" s="119" t="s">
        <v>147</v>
      </c>
      <c r="B18" s="120"/>
      <c r="C18" s="120"/>
      <c r="D18" s="120"/>
      <c r="E18" s="120"/>
      <c r="F18" s="120"/>
      <c r="G18" s="120"/>
      <c r="H18" s="120"/>
      <c r="I18" s="121"/>
      <c r="J18" s="52"/>
      <c r="K18" s="52"/>
      <c r="L18" s="52"/>
      <c r="M18" s="52"/>
      <c r="N18" s="52"/>
      <c r="O18" s="52"/>
      <c r="P18" s="52"/>
      <c r="Q18" s="52"/>
      <c r="R18" s="52"/>
      <c r="S18" s="52"/>
      <c r="T18" s="52"/>
      <c r="U18" s="52"/>
      <c r="V18" s="52"/>
      <c r="W18" s="52"/>
      <c r="X18" s="52"/>
      <c r="Y18" s="52"/>
      <c r="Z18" s="52"/>
      <c r="AA18" s="52"/>
      <c r="AB18" s="52"/>
      <c r="AC18" s="52"/>
      <c r="AD18" s="52"/>
      <c r="AE18" s="52"/>
      <c r="AF18" s="52"/>
      <c r="AG18" s="52"/>
      <c r="AH18" s="52"/>
      <c r="AI18" s="52"/>
      <c r="AJ18" s="52"/>
      <c r="AK18" s="52"/>
      <c r="AL18" s="52"/>
      <c r="AM18" s="52"/>
      <c r="AN18" s="52"/>
      <c r="AO18" s="52"/>
      <c r="AP18" s="52"/>
      <c r="AQ18" s="53"/>
      <c r="AR18" s="53"/>
      <c r="AS18" s="53"/>
      <c r="AT18" s="53"/>
      <c r="AU18" s="53"/>
      <c r="AV18" s="54"/>
    </row>
    <row r="19" spans="1:48" ht="36" x14ac:dyDescent="0.2">
      <c r="A19" s="55">
        <v>1</v>
      </c>
      <c r="B19" s="56" t="s">
        <v>27</v>
      </c>
      <c r="C19" s="57" t="s">
        <v>24</v>
      </c>
      <c r="D19" s="56">
        <v>1</v>
      </c>
      <c r="E19" s="56">
        <v>1</v>
      </c>
      <c r="F19" s="56">
        <v>1</v>
      </c>
      <c r="G19" s="56">
        <v>1</v>
      </c>
      <c r="H19" s="56">
        <v>1</v>
      </c>
      <c r="I19" s="58">
        <v>0.1</v>
      </c>
      <c r="J19" s="59">
        <f>1750905*10.21</f>
        <v>17876740.050000001</v>
      </c>
      <c r="K19" s="59">
        <f>+'ESTUDIO DE MERCADO'!W7</f>
        <v>4249.666666666667</v>
      </c>
      <c r="L19" s="60">
        <f>+J19+K19</f>
        <v>17880989.716666669</v>
      </c>
      <c r="M19" s="60">
        <f>+L19*I19</f>
        <v>1788098.9716666669</v>
      </c>
      <c r="N19" s="60" t="s">
        <v>148</v>
      </c>
      <c r="O19" s="60" t="s">
        <v>148</v>
      </c>
      <c r="P19" s="60">
        <f>ROUND((L19+M19),0)</f>
        <v>19669089</v>
      </c>
      <c r="Q19" s="60">
        <f>+P19*1.048</f>
        <v>20613205.272</v>
      </c>
      <c r="R19" s="60">
        <f>+Q19*1.01664635477463</f>
        <v>20956339.999999985</v>
      </c>
      <c r="S19" s="60">
        <f>ROUND((R19*1.04800001),0)</f>
        <v>21962245</v>
      </c>
      <c r="T19" s="60">
        <f>ROUND((S19*1.04799995),0)</f>
        <v>23016432</v>
      </c>
      <c r="U19" s="60">
        <f>ROUND((T19*1.048),0)</f>
        <v>24121221</v>
      </c>
      <c r="V19" s="60">
        <f>+D19*P19</f>
        <v>19669089</v>
      </c>
      <c r="W19" s="60">
        <f>ROUND((Q19*E19),0)</f>
        <v>20613205</v>
      </c>
      <c r="X19" s="60">
        <f>ROUND((Q19*E19),0)</f>
        <v>20613205</v>
      </c>
      <c r="Y19" s="60">
        <f>ROUND((Q19*E19),0)</f>
        <v>20613205</v>
      </c>
      <c r="Z19" s="60">
        <f>ROUND((Q19*E19),0)*3</f>
        <v>61839615</v>
      </c>
      <c r="AA19" s="60">
        <f>ROUND((R19*E19),0)*5</f>
        <v>104781700</v>
      </c>
      <c r="AB19" s="60">
        <f>ROUND((R19*E19),0)</f>
        <v>20956340</v>
      </c>
      <c r="AC19" s="60">
        <f>ROUND((S19*F19),0)</f>
        <v>21962245</v>
      </c>
      <c r="AD19" s="60">
        <f>ROUND((S19*F19),0)*2</f>
        <v>43924490</v>
      </c>
      <c r="AE19" s="60">
        <f>ROUND((S19*F19),0)*1</f>
        <v>21962245</v>
      </c>
      <c r="AF19" s="60">
        <f>ROUND((S19*F19),0)*7</f>
        <v>153735715</v>
      </c>
      <c r="AG19" s="60">
        <f>ROUND((S19*F19),0)*1</f>
        <v>21962245</v>
      </c>
      <c r="AH19" s="60">
        <f>ROUND((T19*G19),0)*1</f>
        <v>23016432</v>
      </c>
      <c r="AI19" s="60">
        <f>ROUND((T19*G19),0)*1</f>
        <v>23016432</v>
      </c>
      <c r="AJ19" s="60">
        <f>ROUND((T19*G19),0)*1</f>
        <v>23016432</v>
      </c>
      <c r="AK19" s="60">
        <f>ROUND((T19*G19),0)*8</f>
        <v>184131456</v>
      </c>
      <c r="AL19" s="60">
        <f>ROUND((T19*G19),0)</f>
        <v>23016432</v>
      </c>
      <c r="AM19" s="60">
        <f>ROUND((U19*H19),0)</f>
        <v>24121221</v>
      </c>
      <c r="AN19" s="60">
        <f t="shared" ref="AN19:AN26" si="0">ROUND((U19*H19),0)*2</f>
        <v>48242442</v>
      </c>
      <c r="AO19" s="60">
        <f>ROUND((U19*H19),0)</f>
        <v>24121221</v>
      </c>
      <c r="AP19" s="60">
        <f t="shared" ref="AP19:AP26" si="1">ROUND((U19*H19),0)*3</f>
        <v>72363663</v>
      </c>
      <c r="AQ19" s="60">
        <f>+V19</f>
        <v>19669089</v>
      </c>
      <c r="AR19" s="60">
        <f>ROUND((SUM(W19:AB19)),0)</f>
        <v>249417270</v>
      </c>
      <c r="AS19" s="60">
        <f>SUM(AC19:AG19)</f>
        <v>263546940</v>
      </c>
      <c r="AT19" s="60">
        <f>SUM(AH19:AL19)</f>
        <v>276197184</v>
      </c>
      <c r="AU19" s="60">
        <f>SUM(AM19:AP19)</f>
        <v>168848547</v>
      </c>
      <c r="AV19" s="60">
        <f>+AR19+AQ19+AS19+AT19+AU19</f>
        <v>977679030</v>
      </c>
    </row>
    <row r="20" spans="1:48" ht="63" x14ac:dyDescent="0.2">
      <c r="A20" s="37">
        <v>3</v>
      </c>
      <c r="B20" s="37" t="s">
        <v>20</v>
      </c>
      <c r="C20" s="57" t="s">
        <v>19</v>
      </c>
      <c r="D20" s="56">
        <v>1</v>
      </c>
      <c r="E20" s="56">
        <v>1</v>
      </c>
      <c r="F20" s="56">
        <v>1</v>
      </c>
      <c r="G20" s="56">
        <v>1</v>
      </c>
      <c r="H20" s="56">
        <v>1</v>
      </c>
      <c r="I20" s="58">
        <v>0.08</v>
      </c>
      <c r="J20" s="59">
        <f>((((((1750905*10.21)*47.59%)/30)*20)/13)*12)+((((((1750905*10.21)*47.59%)/30)*4)/13)*6)</f>
        <v>5758950.5530920001</v>
      </c>
      <c r="K20" s="59">
        <f>+'ESTUDIO DE MERCADO'!W6</f>
        <v>1952.3333333333333</v>
      </c>
      <c r="L20" s="60">
        <f>+J20+K20</f>
        <v>5760902.8864253331</v>
      </c>
      <c r="M20" s="60">
        <f>+L20*I20</f>
        <v>460872.23091402667</v>
      </c>
      <c r="N20" s="60" t="s">
        <v>148</v>
      </c>
      <c r="O20" s="60" t="s">
        <v>148</v>
      </c>
      <c r="P20" s="60">
        <f>ROUND((L20+M20),0)</f>
        <v>6221775</v>
      </c>
      <c r="Q20" s="60">
        <f>+P20*1.048</f>
        <v>6520420.2000000002</v>
      </c>
      <c r="R20" s="60">
        <f>+Q20*1.01664474560819</f>
        <v>6628950.9354875032</v>
      </c>
      <c r="S20" s="60">
        <f>ROUND((R20*1.0479999),0)</f>
        <v>6947140</v>
      </c>
      <c r="T20" s="60">
        <f>ROUND((S20*1.048),0)</f>
        <v>7280603</v>
      </c>
      <c r="U20" s="60">
        <f>ROUND((T20*1.048),0)</f>
        <v>7630072</v>
      </c>
      <c r="V20" s="60">
        <f>+D20*P20</f>
        <v>6221775</v>
      </c>
      <c r="W20" s="60">
        <f>ROUND((Q20*E20),0)</f>
        <v>6520420</v>
      </c>
      <c r="X20" s="60">
        <f>ROUND((Q20*E20),0)</f>
        <v>6520420</v>
      </c>
      <c r="Y20" s="60">
        <f>ROUND((Q20*E20),0)</f>
        <v>6520420</v>
      </c>
      <c r="Z20" s="60">
        <f>ROUND((Q20*E20),0)*3</f>
        <v>19561260</v>
      </c>
      <c r="AA20" s="60">
        <f>ROUND((R20*E20),0)*5</f>
        <v>33144755</v>
      </c>
      <c r="AB20" s="60">
        <f>ROUND((R20*E20),0)</f>
        <v>6628951</v>
      </c>
      <c r="AC20" s="60">
        <f>ROUND((S20*F20),0)</f>
        <v>6947140</v>
      </c>
      <c r="AD20" s="60">
        <f>ROUND((S20*F20),0)*2</f>
        <v>13894280</v>
      </c>
      <c r="AE20" s="60">
        <f>ROUND((S20*F20),0)*1</f>
        <v>6947140</v>
      </c>
      <c r="AF20" s="60">
        <f>ROUND((S20*F20),0)*7</f>
        <v>48629980</v>
      </c>
      <c r="AG20" s="60">
        <f>ROUND((S20*F20),0)*1</f>
        <v>6947140</v>
      </c>
      <c r="AH20" s="60">
        <f>ROUND((T20*G20),0)*1</f>
        <v>7280603</v>
      </c>
      <c r="AI20" s="60">
        <f>ROUND((T20*G20),0)*1</f>
        <v>7280603</v>
      </c>
      <c r="AJ20" s="60">
        <f>ROUND((T20*G20),0)*1</f>
        <v>7280603</v>
      </c>
      <c r="AK20" s="60">
        <f>ROUND((T20*G20),0)*8</f>
        <v>58244824</v>
      </c>
      <c r="AL20" s="60">
        <f>ROUND((T20*G20),0)</f>
        <v>7280603</v>
      </c>
      <c r="AM20" s="60">
        <f>ROUND((U20*H20),0)</f>
        <v>7630072</v>
      </c>
      <c r="AN20" s="60">
        <f t="shared" si="0"/>
        <v>15260144</v>
      </c>
      <c r="AO20" s="60">
        <f>ROUND((U20*H20),0)</f>
        <v>7630072</v>
      </c>
      <c r="AP20" s="60">
        <f t="shared" si="1"/>
        <v>22890216</v>
      </c>
      <c r="AQ20" s="60">
        <f t="shared" ref="AQ20:AQ26" si="2">+V20</f>
        <v>6221775</v>
      </c>
      <c r="AR20" s="60">
        <f>ROUND((SUM(W20:AB20)),0)</f>
        <v>78896226</v>
      </c>
      <c r="AS20" s="60">
        <f t="shared" ref="AS20:AS26" si="3">SUM(AC20:AG20)</f>
        <v>83365680</v>
      </c>
      <c r="AT20" s="60">
        <f t="shared" ref="AT20:AT26" si="4">SUM(AH20:AL20)</f>
        <v>87367236</v>
      </c>
      <c r="AU20" s="60">
        <f t="shared" ref="AU20:AU26" si="5">SUM(AM20:AP20)</f>
        <v>53410504</v>
      </c>
      <c r="AV20" s="60">
        <f t="shared" ref="AV20:AV26" si="6">+AR20+AQ20+AS20+AT20+AU20</f>
        <v>309261421</v>
      </c>
    </row>
    <row r="21" spans="1:48" ht="11.25" customHeight="1" x14ac:dyDescent="0.2">
      <c r="A21" s="110" t="s">
        <v>149</v>
      </c>
      <c r="B21" s="111"/>
      <c r="C21" s="111"/>
      <c r="D21" s="111"/>
      <c r="E21" s="111"/>
      <c r="F21" s="111"/>
      <c r="G21" s="111"/>
      <c r="H21" s="111"/>
      <c r="I21" s="112"/>
      <c r="J21" s="61"/>
      <c r="K21" s="61"/>
      <c r="L21" s="61"/>
      <c r="M21" s="61"/>
      <c r="N21" s="61"/>
      <c r="O21" s="61"/>
      <c r="P21" s="61"/>
      <c r="Q21" s="61"/>
      <c r="R21" s="61"/>
      <c r="S21" s="61"/>
      <c r="T21" s="61"/>
      <c r="U21" s="61"/>
      <c r="V21" s="60"/>
      <c r="W21" s="60"/>
      <c r="X21" s="60"/>
      <c r="Y21" s="60"/>
      <c r="Z21" s="60"/>
      <c r="AA21" s="60"/>
      <c r="AB21" s="60"/>
      <c r="AC21" s="60"/>
      <c r="AD21" s="60"/>
      <c r="AE21" s="60"/>
      <c r="AF21" s="60"/>
      <c r="AG21" s="60"/>
      <c r="AH21" s="60"/>
      <c r="AI21" s="60"/>
      <c r="AJ21" s="60"/>
      <c r="AK21" s="60"/>
      <c r="AL21" s="60"/>
      <c r="AM21" s="60">
        <f>ROUND((U21*H21),0)</f>
        <v>0</v>
      </c>
      <c r="AN21" s="60">
        <f t="shared" si="0"/>
        <v>0</v>
      </c>
      <c r="AO21" s="60">
        <f>ROUND((U21*H21),0)</f>
        <v>0</v>
      </c>
      <c r="AP21" s="60">
        <f t="shared" si="1"/>
        <v>0</v>
      </c>
      <c r="AQ21" s="60">
        <f t="shared" si="2"/>
        <v>0</v>
      </c>
      <c r="AR21" s="60"/>
      <c r="AS21" s="60">
        <f t="shared" si="3"/>
        <v>0</v>
      </c>
      <c r="AT21" s="60">
        <f t="shared" si="4"/>
        <v>0</v>
      </c>
      <c r="AU21" s="60">
        <f t="shared" si="5"/>
        <v>0</v>
      </c>
      <c r="AV21" s="60">
        <f t="shared" si="6"/>
        <v>0</v>
      </c>
    </row>
    <row r="22" spans="1:48" ht="45" x14ac:dyDescent="0.2">
      <c r="A22" s="37">
        <v>2</v>
      </c>
      <c r="B22" s="37" t="str">
        <f>+[4]ESTUDIO!A5</f>
        <v>A</v>
      </c>
      <c r="C22" s="57" t="s">
        <v>17</v>
      </c>
      <c r="D22" s="62">
        <f>+[4]ESTUDIO!E14</f>
        <v>3</v>
      </c>
      <c r="E22" s="62">
        <v>3</v>
      </c>
      <c r="F22" s="62">
        <v>3</v>
      </c>
      <c r="G22" s="62">
        <v>3</v>
      </c>
      <c r="H22" s="62">
        <v>3</v>
      </c>
      <c r="I22" s="58">
        <v>0.08</v>
      </c>
      <c r="J22" s="59">
        <f>((((((1750905*10.21)*47.59%)/30)*20)/13)*12)</f>
        <v>5235409.5937200002</v>
      </c>
      <c r="K22" s="59">
        <f>+'ESTUDIO DE MERCADO'!W4</f>
        <v>1901.3333333333333</v>
      </c>
      <c r="L22" s="60">
        <f>+J22+K22</f>
        <v>5237310.9270533333</v>
      </c>
      <c r="M22" s="60">
        <f>+L22*I22</f>
        <v>418984.87416426669</v>
      </c>
      <c r="N22" s="60">
        <f>(L22+M22)*10%</f>
        <v>565629.58012176002</v>
      </c>
      <c r="O22" s="60">
        <f>N22*$J$14</f>
        <v>107469.62022313441</v>
      </c>
      <c r="P22" s="60">
        <f>ROUND((L22+M22+O22),0)</f>
        <v>5763765</v>
      </c>
      <c r="Q22" s="60">
        <f>ROUND((P22*1.048),0)</f>
        <v>6040426</v>
      </c>
      <c r="R22" s="60">
        <f>+Q22*1.01664435587821</f>
        <v>6140964.9999999916</v>
      </c>
      <c r="S22" s="60">
        <f t="shared" ref="S22:U26" si="7">ROUND((R22*1.048),0)</f>
        <v>6435731</v>
      </c>
      <c r="T22" s="60">
        <f t="shared" si="7"/>
        <v>6744646</v>
      </c>
      <c r="U22" s="60">
        <f t="shared" si="7"/>
        <v>7068389</v>
      </c>
      <c r="V22" s="60">
        <f>+P22*2.6499940577036</f>
        <v>15273942.999999991</v>
      </c>
      <c r="W22" s="53">
        <f>ROUND((Q22*2.69997579629995),0)</f>
        <v>16309004</v>
      </c>
      <c r="X22" s="60">
        <f>ROUND((Q22*E22),0)</f>
        <v>18121278</v>
      </c>
      <c r="Y22" s="60">
        <f>ROUND((Q22*2.79990318563625),0)</f>
        <v>16912608</v>
      </c>
      <c r="Z22" s="60">
        <f>ROUND((Q22*E22),0)*3</f>
        <v>54363834</v>
      </c>
      <c r="AA22" s="60">
        <f>ROUND((R22*E22),0)*5</f>
        <v>92114475</v>
      </c>
      <c r="AB22" s="60">
        <f>ROUND((R22*2.60001188738252),0)</f>
        <v>15966582</v>
      </c>
      <c r="AC22" s="60">
        <f>ROUND((S22*2.74997028309605),0)</f>
        <v>17698069</v>
      </c>
      <c r="AD22" s="60">
        <f>ROUND((S22*F22),0)*2</f>
        <v>38614386</v>
      </c>
      <c r="AE22" s="60">
        <f>ROUND((S22*2.50001204214409),0)*1</f>
        <v>16089405</v>
      </c>
      <c r="AF22" s="60">
        <f>ROUND((S22*F22),0)*7</f>
        <v>135150351</v>
      </c>
      <c r="AG22" s="60">
        <f>ROUND((S22*2.60001187122333),0)</f>
        <v>16732977</v>
      </c>
      <c r="AH22" s="60">
        <f>ROUND((T22*2.74997027271706),0)*1</f>
        <v>18547576</v>
      </c>
      <c r="AI22" s="60">
        <f>ROUND((T22*G22),0)*1</f>
        <v>20233938</v>
      </c>
      <c r="AJ22" s="60">
        <f>ROUND((T22*2.60002378182636),0)*1</f>
        <v>17536240</v>
      </c>
      <c r="AK22" s="60">
        <f>ROUND((T22*G22),0)*8</f>
        <v>161871504</v>
      </c>
      <c r="AL22" s="60">
        <f>ROUND((T22*2.64999408419656),0)</f>
        <v>17873272</v>
      </c>
      <c r="AM22" s="60">
        <f>ROUND((U22*2.74997032562865),0)</f>
        <v>19437860</v>
      </c>
      <c r="AN22" s="60">
        <f t="shared" si="0"/>
        <v>42410334</v>
      </c>
      <c r="AO22" s="60">
        <f>ROUND((U22*2.6999406795523),0)</f>
        <v>19084231</v>
      </c>
      <c r="AP22" s="60">
        <f t="shared" si="1"/>
        <v>63615501</v>
      </c>
      <c r="AQ22" s="60">
        <f t="shared" si="2"/>
        <v>15273942.999999991</v>
      </c>
      <c r="AR22" s="60">
        <f t="shared" ref="AR22:AR26" si="8">ROUND((SUM(W22:AB22)),0)</f>
        <v>213787781</v>
      </c>
      <c r="AS22" s="60">
        <f t="shared" si="3"/>
        <v>224285188</v>
      </c>
      <c r="AT22" s="60">
        <f t="shared" si="4"/>
        <v>236062530</v>
      </c>
      <c r="AU22" s="60">
        <f t="shared" si="5"/>
        <v>144547926</v>
      </c>
      <c r="AV22" s="60">
        <f t="shared" si="6"/>
        <v>833957368</v>
      </c>
    </row>
    <row r="23" spans="1:48" ht="63" x14ac:dyDescent="0.2">
      <c r="A23" s="37">
        <v>3</v>
      </c>
      <c r="B23" s="37" t="str">
        <f>+[4]ESTUDIO!A6</f>
        <v>B</v>
      </c>
      <c r="C23" s="57" t="s">
        <v>19</v>
      </c>
      <c r="D23" s="62">
        <v>8</v>
      </c>
      <c r="E23" s="62">
        <v>8</v>
      </c>
      <c r="F23" s="62">
        <v>8</v>
      </c>
      <c r="G23" s="62">
        <v>8</v>
      </c>
      <c r="H23" s="62">
        <v>8</v>
      </c>
      <c r="I23" s="58">
        <v>0.08</v>
      </c>
      <c r="J23" s="59">
        <f>((((((1750905*10.21)*47.59%)/30)*20)/13)*12)+((((((1750905*10.21)*47.59%)/30)*4)/13)*6)</f>
        <v>5758950.5530920001</v>
      </c>
      <c r="K23" s="59">
        <f>+'ESTUDIO DE MERCADO'!W5</f>
        <v>1952.3333333333333</v>
      </c>
      <c r="L23" s="60">
        <f>+J23+K23</f>
        <v>5760902.8864253331</v>
      </c>
      <c r="M23" s="60">
        <f>+L23*I23</f>
        <v>460872.23091402667</v>
      </c>
      <c r="N23" s="60">
        <f>(L23+M23)*10%</f>
        <v>622177.51173393603</v>
      </c>
      <c r="O23" s="60">
        <f>N23*$J$14</f>
        <v>118213.72722944785</v>
      </c>
      <c r="P23" s="60">
        <f>ROUND((L23+M23+O23),0)</f>
        <v>6339989</v>
      </c>
      <c r="Q23" s="60">
        <f>ROUND((P23*1.048),0)</f>
        <v>6644308</v>
      </c>
      <c r="R23" s="60">
        <f>+Q23*1.01664477324049</f>
        <v>6754900.999999973</v>
      </c>
      <c r="S23" s="60">
        <f t="shared" si="7"/>
        <v>7079136</v>
      </c>
      <c r="T23" s="60">
        <f t="shared" si="7"/>
        <v>7418935</v>
      </c>
      <c r="U23" s="60">
        <f>ROUND((T23*1.0479999),0)</f>
        <v>7775043</v>
      </c>
      <c r="V23" s="60">
        <f>+P23*6.63632886429298</f>
        <v>42074251.999999985</v>
      </c>
      <c r="W23" s="60">
        <f>ROUND((Q23*6.8180855),0)</f>
        <v>45301460</v>
      </c>
      <c r="X23" s="60">
        <f>ROUND((Q23*E23),0)</f>
        <v>53154464</v>
      </c>
      <c r="Y23" s="60">
        <f>ROUND((Q23*7.31793890349454),0)</f>
        <v>48622640</v>
      </c>
      <c r="Z23" s="60">
        <f>ROUND((Q23*E23),0)*3</f>
        <v>159463392</v>
      </c>
      <c r="AA23" s="60">
        <f>ROUND((R23*E23),0)*5</f>
        <v>270196040</v>
      </c>
      <c r="AB23" s="60">
        <f>ROUND((R23*6.45457157699276),0)</f>
        <v>43599992</v>
      </c>
      <c r="AC23" s="60">
        <f>ROUND((S23*6.99984461380598),0)</f>
        <v>49552852</v>
      </c>
      <c r="AD23" s="60">
        <f>ROUND((S23*F23),0)*2</f>
        <v>113266176</v>
      </c>
      <c r="AE23" s="60">
        <f>ROUND((S23*6.63635138525379),0)*1</f>
        <v>46979634</v>
      </c>
      <c r="AF23" s="60">
        <f>ROUND((S23*F23),0)*7</f>
        <v>396431616</v>
      </c>
      <c r="AG23" s="60">
        <f>ROUND((S23*6.4545718573566),0)</f>
        <v>45692792</v>
      </c>
      <c r="AH23" s="60">
        <f>ROUND((T23*6.99988879805525),0)*1</f>
        <v>51931720</v>
      </c>
      <c r="AI23" s="60">
        <f>ROUND((T23*G23),0)*1</f>
        <v>59351480</v>
      </c>
      <c r="AJ23" s="60">
        <f>ROUND((T23*6.90912105308916),0)</f>
        <v>51258320</v>
      </c>
      <c r="AK23" s="60">
        <f>ROUND((T23*G23),0)*8</f>
        <v>474811840</v>
      </c>
      <c r="AL23" s="60">
        <f>ROUND((T23*6.63632933837539),0)</f>
        <v>49234496</v>
      </c>
      <c r="AM23" s="60">
        <f>ROUND((U23*6.99988926106261),0)</f>
        <v>54424440</v>
      </c>
      <c r="AN23" s="60">
        <f t="shared" si="0"/>
        <v>124400688</v>
      </c>
      <c r="AO23" s="60">
        <f>ROUND((U23*7.0453061159919),0)</f>
        <v>54777558</v>
      </c>
      <c r="AP23" s="60">
        <f t="shared" si="1"/>
        <v>186601032</v>
      </c>
      <c r="AQ23" s="60">
        <f t="shared" si="2"/>
        <v>42074251.999999985</v>
      </c>
      <c r="AR23" s="60">
        <f t="shared" si="8"/>
        <v>620337988</v>
      </c>
      <c r="AS23" s="60">
        <f t="shared" si="3"/>
        <v>651923070</v>
      </c>
      <c r="AT23" s="60">
        <f t="shared" si="4"/>
        <v>686587856</v>
      </c>
      <c r="AU23" s="60">
        <f t="shared" si="5"/>
        <v>420203718</v>
      </c>
      <c r="AV23" s="60">
        <f t="shared" si="6"/>
        <v>2421126884</v>
      </c>
    </row>
    <row r="24" spans="1:48" ht="36" x14ac:dyDescent="0.2">
      <c r="A24" s="37">
        <v>4</v>
      </c>
      <c r="B24" s="37" t="s">
        <v>23</v>
      </c>
      <c r="C24" s="57" t="s">
        <v>24</v>
      </c>
      <c r="D24" s="62">
        <v>4</v>
      </c>
      <c r="E24" s="62">
        <v>4</v>
      </c>
      <c r="F24" s="62">
        <v>4</v>
      </c>
      <c r="G24" s="62">
        <v>4</v>
      </c>
      <c r="H24" s="62">
        <v>4</v>
      </c>
      <c r="I24" s="58">
        <v>0.1</v>
      </c>
      <c r="J24" s="63">
        <f>+J19</f>
        <v>17876740.050000001</v>
      </c>
      <c r="K24" s="63">
        <f>+K19</f>
        <v>4249.666666666667</v>
      </c>
      <c r="L24" s="60">
        <f>+J24+K24</f>
        <v>17880989.716666669</v>
      </c>
      <c r="M24" s="60">
        <f>+(J24+K24)*I24</f>
        <v>1788098.9716666669</v>
      </c>
      <c r="N24" s="60">
        <f>(L24+M24)*10%</f>
        <v>1966908.8688333337</v>
      </c>
      <c r="O24" s="60">
        <f>N24*$J$14</f>
        <v>373712.68507833342</v>
      </c>
      <c r="P24" s="60">
        <f>ROUND((L24+M24+O24),0)</f>
        <v>20042801</v>
      </c>
      <c r="Q24" s="60">
        <f>ROUND((P24*1.04800001),0)</f>
        <v>21004856</v>
      </c>
      <c r="R24" s="60">
        <f>+Q24*1.01664638881599</f>
        <v>21354510.999999881</v>
      </c>
      <c r="S24" s="60">
        <f>ROUND((R24*1.04799999),0)</f>
        <v>22379527</v>
      </c>
      <c r="T24" s="60">
        <f>ROUND((S24*1.04800001),0)</f>
        <v>23453745</v>
      </c>
      <c r="U24" s="60">
        <f>ROUND((T24*1.04799998),0)</f>
        <v>24579524</v>
      </c>
      <c r="V24" s="60">
        <f>+P24*D24</f>
        <v>80171204</v>
      </c>
      <c r="W24" s="53">
        <f>ROUND((Q24*E24),0)</f>
        <v>84019424</v>
      </c>
      <c r="X24" s="60">
        <f>ROUND((Q24*E24),0)</f>
        <v>84019424</v>
      </c>
      <c r="Y24" s="60">
        <f>Q24*E24</f>
        <v>84019424</v>
      </c>
      <c r="Z24" s="60">
        <f>ROUND((Q24*E24),0)*3</f>
        <v>252058272</v>
      </c>
      <c r="AA24" s="60">
        <f>ROUND((R24*E24),0)*5</f>
        <v>427090220</v>
      </c>
      <c r="AB24" s="60">
        <f t="shared" ref="AB24:AC26" si="9">ROUND((R24*E24),0)</f>
        <v>85418044</v>
      </c>
      <c r="AC24" s="60">
        <f t="shared" si="9"/>
        <v>89518108</v>
      </c>
      <c r="AD24" s="60">
        <f>ROUND((S24*F24),0)*2</f>
        <v>179036216</v>
      </c>
      <c r="AE24" s="60">
        <f>ROUND((S24*F24),0)*1</f>
        <v>89518108</v>
      </c>
      <c r="AF24" s="60">
        <f>ROUND((S24*F24),0)*7</f>
        <v>626626756</v>
      </c>
      <c r="AG24" s="60">
        <f t="shared" ref="AG24:AH26" si="10">ROUND((S24*F24),0)*1</f>
        <v>89518108</v>
      </c>
      <c r="AH24" s="60">
        <f t="shared" si="10"/>
        <v>93814980</v>
      </c>
      <c r="AI24" s="60">
        <f>ROUND((T24*G24),0)*1</f>
        <v>93814980</v>
      </c>
      <c r="AJ24" s="60">
        <f>ROUND((T24*G24),0)*1</f>
        <v>93814980</v>
      </c>
      <c r="AK24" s="60">
        <f>ROUND((T24*G24),0)*8</f>
        <v>750519840</v>
      </c>
      <c r="AL24" s="60">
        <f t="shared" ref="AL24:AM26" si="11">ROUND((T24*G24),0)</f>
        <v>93814980</v>
      </c>
      <c r="AM24" s="60">
        <f t="shared" si="11"/>
        <v>98318096</v>
      </c>
      <c r="AN24" s="60">
        <f t="shared" si="0"/>
        <v>196636192</v>
      </c>
      <c r="AO24" s="60">
        <f>ROUND((U24*H24),0)</f>
        <v>98318096</v>
      </c>
      <c r="AP24" s="60">
        <f t="shared" si="1"/>
        <v>294954288</v>
      </c>
      <c r="AQ24" s="60">
        <f t="shared" si="2"/>
        <v>80171204</v>
      </c>
      <c r="AR24" s="60">
        <f t="shared" si="8"/>
        <v>1016624808</v>
      </c>
      <c r="AS24" s="60">
        <f t="shared" si="3"/>
        <v>1074217296</v>
      </c>
      <c r="AT24" s="60">
        <f t="shared" si="4"/>
        <v>1125779760</v>
      </c>
      <c r="AU24" s="60">
        <f t="shared" si="5"/>
        <v>688226672</v>
      </c>
      <c r="AV24" s="60">
        <f t="shared" si="6"/>
        <v>3985019740</v>
      </c>
    </row>
    <row r="25" spans="1:48" ht="36" x14ac:dyDescent="0.2">
      <c r="A25" s="37">
        <v>5</v>
      </c>
      <c r="B25" s="37" t="s">
        <v>150</v>
      </c>
      <c r="C25" s="57" t="s">
        <v>151</v>
      </c>
      <c r="D25" s="62">
        <v>1</v>
      </c>
      <c r="E25" s="62">
        <v>1</v>
      </c>
      <c r="F25" s="62">
        <v>1</v>
      </c>
      <c r="G25" s="62">
        <v>1</v>
      </c>
      <c r="H25" s="62">
        <v>1</v>
      </c>
      <c r="I25" s="58">
        <v>0.08</v>
      </c>
      <c r="J25" s="63">
        <f>+J19</f>
        <v>17876740.050000001</v>
      </c>
      <c r="K25" s="63">
        <f>+K24</f>
        <v>4249.666666666667</v>
      </c>
      <c r="L25" s="60">
        <f>+J25+K25</f>
        <v>17880989.716666669</v>
      </c>
      <c r="M25" s="60">
        <f>+(J25+K25)*I25</f>
        <v>1430479.1773333335</v>
      </c>
      <c r="N25" s="60">
        <f>(L25+M25)*10%</f>
        <v>1931146.8894000002</v>
      </c>
      <c r="O25" s="60">
        <f>N25*$J$14</f>
        <v>366917.90898600005</v>
      </c>
      <c r="P25" s="60">
        <f>ROUND((L25+M25+O25),0)</f>
        <v>19678387</v>
      </c>
      <c r="Q25" s="60">
        <f>+P25*1.048</f>
        <v>20622949.576000001</v>
      </c>
      <c r="R25" s="60">
        <f>+Q25*1.01664637847922</f>
        <v>20966246.999999966</v>
      </c>
      <c r="S25" s="60">
        <f t="shared" si="7"/>
        <v>21972627</v>
      </c>
      <c r="T25" s="60">
        <f t="shared" si="7"/>
        <v>23027313</v>
      </c>
      <c r="U25" s="60">
        <f t="shared" si="7"/>
        <v>24132624</v>
      </c>
      <c r="V25" s="60">
        <f>+P25*D25</f>
        <v>19678387</v>
      </c>
      <c r="W25" s="53">
        <f>ROUND((Q25*E25),0)</f>
        <v>20622950</v>
      </c>
      <c r="X25" s="60">
        <f>ROUND((Q25*E25),0)</f>
        <v>20622950</v>
      </c>
      <c r="Y25" s="60">
        <f>Q25*E25</f>
        <v>20622949.576000001</v>
      </c>
      <c r="Z25" s="60">
        <f>ROUND((Q25*E25),0)*3</f>
        <v>61868850</v>
      </c>
      <c r="AA25" s="60">
        <f>ROUND((R25*E25),0)*5</f>
        <v>104831235</v>
      </c>
      <c r="AB25" s="60">
        <f t="shared" si="9"/>
        <v>20966247</v>
      </c>
      <c r="AC25" s="60">
        <f t="shared" si="9"/>
        <v>21972627</v>
      </c>
      <c r="AD25" s="60">
        <f>ROUND((S25*F25),0)*2</f>
        <v>43945254</v>
      </c>
      <c r="AE25" s="60">
        <f>ROUND((S25*F25),0)*1</f>
        <v>21972627</v>
      </c>
      <c r="AF25" s="60">
        <f>ROUND((S25*F25),0)*7</f>
        <v>153808389</v>
      </c>
      <c r="AG25" s="60">
        <f t="shared" si="10"/>
        <v>21972627</v>
      </c>
      <c r="AH25" s="60">
        <f t="shared" si="10"/>
        <v>23027313</v>
      </c>
      <c r="AI25" s="60">
        <f>ROUND((T25*G25),0)*1</f>
        <v>23027313</v>
      </c>
      <c r="AJ25" s="60">
        <f>ROUND((T25*G25),0)*1</f>
        <v>23027313</v>
      </c>
      <c r="AK25" s="60">
        <f>ROUND((T25*G25),0)*8</f>
        <v>184218504</v>
      </c>
      <c r="AL25" s="60">
        <f t="shared" si="11"/>
        <v>23027313</v>
      </c>
      <c r="AM25" s="60">
        <f t="shared" si="11"/>
        <v>24132624</v>
      </c>
      <c r="AN25" s="60">
        <f t="shared" si="0"/>
        <v>48265248</v>
      </c>
      <c r="AO25" s="60">
        <f>ROUND((U25*H25),0)</f>
        <v>24132624</v>
      </c>
      <c r="AP25" s="60">
        <f t="shared" si="1"/>
        <v>72397872</v>
      </c>
      <c r="AQ25" s="60">
        <f t="shared" si="2"/>
        <v>19678387</v>
      </c>
      <c r="AR25" s="60">
        <f t="shared" si="8"/>
        <v>249535182</v>
      </c>
      <c r="AS25" s="60">
        <f t="shared" si="3"/>
        <v>263671524</v>
      </c>
      <c r="AT25" s="60">
        <f t="shared" si="4"/>
        <v>276327756</v>
      </c>
      <c r="AU25" s="60">
        <f t="shared" si="5"/>
        <v>168928368</v>
      </c>
      <c r="AV25" s="60">
        <f t="shared" si="6"/>
        <v>978141217</v>
      </c>
    </row>
    <row r="26" spans="1:48" ht="63" x14ac:dyDescent="0.2">
      <c r="A26" s="37">
        <v>6</v>
      </c>
      <c r="B26" s="37" t="s">
        <v>28</v>
      </c>
      <c r="C26" s="57" t="s">
        <v>29</v>
      </c>
      <c r="D26" s="62">
        <v>1</v>
      </c>
      <c r="E26" s="62">
        <v>1</v>
      </c>
      <c r="F26" s="62">
        <v>1</v>
      </c>
      <c r="G26" s="62">
        <v>1</v>
      </c>
      <c r="H26" s="62">
        <v>1</v>
      </c>
      <c r="I26" s="58">
        <v>0.08</v>
      </c>
      <c r="J26" s="63">
        <f>+((((((1750905*10.21))*47.59%)/30)*20)/13)*12+((((((1750905*10.21))*52.41%)/30)*20)/11)*3+((((((1750905*10.21))*47.59%)/30)*4)/13)*6</f>
        <v>7462441.364038364</v>
      </c>
      <c r="K26" s="59">
        <f>+'ESTUDIO DE MERCADO'!W10</f>
        <v>2106.3333333333335</v>
      </c>
      <c r="L26" s="60">
        <f>+J26+K26</f>
        <v>7464547.6973716971</v>
      </c>
      <c r="M26" s="60">
        <f>+(J26+K26)*I26</f>
        <v>597163.81578973576</v>
      </c>
      <c r="N26" s="60">
        <f>(L26+M26)*10%</f>
        <v>806171.15131614334</v>
      </c>
      <c r="O26" s="60">
        <f>N26*$J$14</f>
        <v>153172.51875006725</v>
      </c>
      <c r="P26" s="60">
        <f>ROUND((L26+M26+O26),0)</f>
        <v>8214884</v>
      </c>
      <c r="Q26" s="60">
        <f t="shared" ref="Q26" si="12">+P26*1.048</f>
        <v>8609198.432</v>
      </c>
      <c r="R26" s="60">
        <f>+Q26*1.01664563421692</f>
        <v>8752503.9999999516</v>
      </c>
      <c r="S26" s="60">
        <f t="shared" si="7"/>
        <v>9172624</v>
      </c>
      <c r="T26" s="60">
        <f t="shared" si="7"/>
        <v>9612910</v>
      </c>
      <c r="U26" s="60">
        <f t="shared" si="7"/>
        <v>10074330</v>
      </c>
      <c r="V26" s="60">
        <f>+P26*D26</f>
        <v>8214884</v>
      </c>
      <c r="W26" s="53">
        <f>ROUND((Q26*E26),0)</f>
        <v>8609198</v>
      </c>
      <c r="X26" s="60">
        <f>ROUND((Q26*E26),0)</f>
        <v>8609198</v>
      </c>
      <c r="Y26" s="60">
        <f>Q26*E26</f>
        <v>8609198.432</v>
      </c>
      <c r="Z26" s="60">
        <f>ROUND((Q26*E26),0)*3</f>
        <v>25827594</v>
      </c>
      <c r="AA26" s="60">
        <f>ROUND((R26*E26),0)*5</f>
        <v>43762520</v>
      </c>
      <c r="AB26" s="60">
        <f t="shared" si="9"/>
        <v>8752504</v>
      </c>
      <c r="AC26" s="60">
        <f t="shared" si="9"/>
        <v>9172624</v>
      </c>
      <c r="AD26" s="60">
        <f>ROUND((S26*F26),0)*2</f>
        <v>18345248</v>
      </c>
      <c r="AE26" s="60">
        <f>ROUND((S26*F26),0)*1</f>
        <v>9172624</v>
      </c>
      <c r="AF26" s="60">
        <f>ROUND((S26*F26),0)*7</f>
        <v>64208368</v>
      </c>
      <c r="AG26" s="60">
        <f t="shared" si="10"/>
        <v>9172624</v>
      </c>
      <c r="AH26" s="60">
        <f t="shared" si="10"/>
        <v>9612910</v>
      </c>
      <c r="AI26" s="60">
        <f>ROUND((T26*G26),0)*1</f>
        <v>9612910</v>
      </c>
      <c r="AJ26" s="60">
        <f>ROUND((T26*G26),0)*1</f>
        <v>9612910</v>
      </c>
      <c r="AK26" s="60">
        <f>ROUND((T26*G26),0)*8</f>
        <v>76903280</v>
      </c>
      <c r="AL26" s="60">
        <f t="shared" si="11"/>
        <v>9612910</v>
      </c>
      <c r="AM26" s="60">
        <f t="shared" si="11"/>
        <v>10074330</v>
      </c>
      <c r="AN26" s="60">
        <f t="shared" si="0"/>
        <v>20148660</v>
      </c>
      <c r="AO26" s="60">
        <f>ROUND((U26*H26),0)</f>
        <v>10074330</v>
      </c>
      <c r="AP26" s="60">
        <f t="shared" si="1"/>
        <v>30222990</v>
      </c>
      <c r="AQ26" s="60">
        <f t="shared" si="2"/>
        <v>8214884</v>
      </c>
      <c r="AR26" s="60">
        <f t="shared" si="8"/>
        <v>104170212</v>
      </c>
      <c r="AS26" s="60">
        <f t="shared" si="3"/>
        <v>110071488</v>
      </c>
      <c r="AT26" s="60">
        <f t="shared" si="4"/>
        <v>115354920</v>
      </c>
      <c r="AU26" s="60">
        <f t="shared" si="5"/>
        <v>70520310</v>
      </c>
      <c r="AV26" s="60">
        <f t="shared" si="6"/>
        <v>408331814</v>
      </c>
    </row>
    <row r="27" spans="1:48" x14ac:dyDescent="0.2">
      <c r="A27" s="64"/>
      <c r="B27" s="65" t="s">
        <v>152</v>
      </c>
      <c r="C27" s="65"/>
      <c r="D27" s="55">
        <f>SUM(D19:D26)</f>
        <v>19</v>
      </c>
      <c r="E27" s="55">
        <f t="shared" ref="E27:H27" si="13">SUM(E19:E26)</f>
        <v>19</v>
      </c>
      <c r="F27" s="55">
        <f t="shared" si="13"/>
        <v>19</v>
      </c>
      <c r="G27" s="55">
        <f t="shared" si="13"/>
        <v>19</v>
      </c>
      <c r="H27" s="55">
        <f t="shared" si="13"/>
        <v>19</v>
      </c>
      <c r="I27" s="55"/>
      <c r="J27" s="66"/>
      <c r="K27" s="67"/>
      <c r="L27" s="67"/>
      <c r="M27" s="67"/>
      <c r="N27" s="64"/>
      <c r="O27" s="64"/>
      <c r="P27" s="68">
        <f t="shared" ref="P27:AV27" si="14">SUM(P19:P26)</f>
        <v>85930690</v>
      </c>
      <c r="Q27" s="68">
        <f t="shared" si="14"/>
        <v>90055363.480000004</v>
      </c>
      <c r="R27" s="68">
        <f t="shared" si="14"/>
        <v>91554418.935487255</v>
      </c>
      <c r="S27" s="68">
        <f t="shared" si="14"/>
        <v>95949030</v>
      </c>
      <c r="T27" s="68">
        <f t="shared" si="14"/>
        <v>100554584</v>
      </c>
      <c r="U27" s="68">
        <f t="shared" si="14"/>
        <v>105381203</v>
      </c>
      <c r="V27" s="68">
        <f t="shared" si="14"/>
        <v>191303533.99999997</v>
      </c>
      <c r="W27" s="68">
        <f t="shared" si="14"/>
        <v>201995661</v>
      </c>
      <c r="X27" s="68">
        <f t="shared" si="14"/>
        <v>211660939</v>
      </c>
      <c r="Y27" s="68">
        <f t="shared" si="14"/>
        <v>205920445.00800002</v>
      </c>
      <c r="Z27" s="68">
        <f t="shared" si="14"/>
        <v>634982817</v>
      </c>
      <c r="AA27" s="68">
        <f t="shared" si="14"/>
        <v>1075920945</v>
      </c>
      <c r="AB27" s="68">
        <f t="shared" si="14"/>
        <v>202288660</v>
      </c>
      <c r="AC27" s="68">
        <f t="shared" si="14"/>
        <v>216823665</v>
      </c>
      <c r="AD27" s="68">
        <f t="shared" si="14"/>
        <v>451026050</v>
      </c>
      <c r="AE27" s="68">
        <f t="shared" si="14"/>
        <v>212641783</v>
      </c>
      <c r="AF27" s="68">
        <f t="shared" si="14"/>
        <v>1578591175</v>
      </c>
      <c r="AG27" s="68">
        <f t="shared" si="14"/>
        <v>211998513</v>
      </c>
      <c r="AH27" s="68">
        <f t="shared" si="14"/>
        <v>227231534</v>
      </c>
      <c r="AI27" s="68">
        <f t="shared" si="14"/>
        <v>236337656</v>
      </c>
      <c r="AJ27" s="68">
        <f t="shared" si="14"/>
        <v>225546798</v>
      </c>
      <c r="AK27" s="68">
        <f t="shared" si="14"/>
        <v>1890701248</v>
      </c>
      <c r="AL27" s="68">
        <f t="shared" si="14"/>
        <v>223860006</v>
      </c>
      <c r="AM27" s="68">
        <f t="shared" si="14"/>
        <v>238138643</v>
      </c>
      <c r="AN27" s="68">
        <f>SUM(AN19:AN26)</f>
        <v>495363708</v>
      </c>
      <c r="AO27" s="68">
        <f t="shared" si="14"/>
        <v>238138132</v>
      </c>
      <c r="AP27" s="68">
        <f t="shared" si="14"/>
        <v>743045562</v>
      </c>
      <c r="AQ27" s="68">
        <f t="shared" si="14"/>
        <v>191303533.99999997</v>
      </c>
      <c r="AR27" s="68">
        <f t="shared" si="14"/>
        <v>2532769467</v>
      </c>
      <c r="AS27" s="68">
        <f t="shared" si="14"/>
        <v>2671081186</v>
      </c>
      <c r="AT27" s="68">
        <f t="shared" si="14"/>
        <v>2803677242</v>
      </c>
      <c r="AU27" s="68">
        <f t="shared" si="14"/>
        <v>1714686045</v>
      </c>
      <c r="AV27" s="68">
        <f t="shared" si="14"/>
        <v>9913517474</v>
      </c>
    </row>
    <row r="28" spans="1:48" ht="30" customHeight="1" x14ac:dyDescent="0.2">
      <c r="J28" s="69"/>
      <c r="K28" s="69"/>
      <c r="L28" s="69"/>
      <c r="M28" s="69"/>
      <c r="N28" s="70"/>
      <c r="O28" s="70"/>
      <c r="P28" s="70"/>
      <c r="Q28" s="70"/>
      <c r="R28" s="71"/>
      <c r="S28" s="71"/>
      <c r="T28" s="71"/>
      <c r="U28" s="71"/>
      <c r="AQ28" s="72"/>
      <c r="AR28" s="72"/>
      <c r="AS28" s="72"/>
      <c r="AT28" s="72"/>
      <c r="AU28" s="72"/>
    </row>
    <row r="29" spans="1:48" x14ac:dyDescent="0.2">
      <c r="J29" s="69"/>
      <c r="K29" s="69"/>
      <c r="L29" s="73"/>
      <c r="M29" s="69"/>
      <c r="N29" s="73"/>
      <c r="R29" s="74"/>
      <c r="S29" s="74"/>
      <c r="T29" s="74"/>
      <c r="U29" s="74"/>
      <c r="V29" s="75"/>
      <c r="Y29" s="76"/>
      <c r="AA29" s="77"/>
      <c r="AB29" s="77"/>
      <c r="AC29" s="77"/>
      <c r="AD29" s="77"/>
      <c r="AE29" s="77"/>
      <c r="AF29" s="77"/>
      <c r="AG29" s="77"/>
      <c r="AH29" s="77"/>
      <c r="AI29" s="77"/>
      <c r="AJ29" s="77"/>
      <c r="AK29" s="77"/>
      <c r="AL29" s="77"/>
      <c r="AM29" s="77"/>
      <c r="AN29" s="77"/>
      <c r="AO29" s="77"/>
      <c r="AP29" s="77"/>
    </row>
    <row r="30" spans="1:48" x14ac:dyDescent="0.2">
      <c r="J30" s="69"/>
      <c r="K30" s="69"/>
      <c r="L30" s="69"/>
      <c r="M30" s="69"/>
      <c r="N30" s="74"/>
      <c r="S30" s="78"/>
      <c r="U30" s="79"/>
      <c r="V30" s="80"/>
      <c r="X30" s="80"/>
      <c r="Y30" s="76"/>
      <c r="AA30" s="81"/>
      <c r="AB30" s="82"/>
      <c r="AC30" s="82"/>
      <c r="AD30" s="82"/>
      <c r="AE30" s="82"/>
      <c r="AF30" s="82"/>
      <c r="AG30" s="82"/>
      <c r="AH30" s="82"/>
      <c r="AI30" s="82"/>
      <c r="AJ30" s="82"/>
      <c r="AK30" s="82"/>
      <c r="AL30" s="82"/>
      <c r="AM30" s="82"/>
      <c r="AN30" s="82"/>
      <c r="AO30" s="82"/>
      <c r="AP30" s="82"/>
    </row>
    <row r="31" spans="1:48" x14ac:dyDescent="0.2">
      <c r="J31" s="69"/>
      <c r="K31" s="69"/>
      <c r="L31" s="69"/>
      <c r="M31" s="69"/>
      <c r="N31" s="83"/>
      <c r="O31" s="84"/>
      <c r="V31" s="85"/>
      <c r="X31" s="80"/>
      <c r="AA31" s="72"/>
      <c r="AB31" s="76"/>
      <c r="AC31" s="76"/>
      <c r="AD31" s="76"/>
      <c r="AE31" s="76"/>
      <c r="AF31" s="76"/>
      <c r="AG31" s="76"/>
      <c r="AH31" s="76"/>
      <c r="AI31" s="76"/>
      <c r="AJ31" s="76"/>
      <c r="AK31" s="76"/>
      <c r="AL31" s="76"/>
      <c r="AM31" s="76"/>
      <c r="AN31" s="76"/>
      <c r="AO31" s="76"/>
      <c r="AP31" s="76"/>
      <c r="AV31" s="69"/>
    </row>
    <row r="32" spans="1:48" x14ac:dyDescent="0.2">
      <c r="A32" s="33" t="s">
        <v>153</v>
      </c>
      <c r="B32" s="86" t="s">
        <v>154</v>
      </c>
      <c r="V32" s="85"/>
      <c r="AA32" s="76"/>
      <c r="AB32" s="76"/>
      <c r="AC32" s="76"/>
      <c r="AD32" s="76"/>
      <c r="AE32" s="76"/>
      <c r="AF32" s="76"/>
      <c r="AG32" s="76"/>
      <c r="AH32" s="76"/>
      <c r="AI32" s="76"/>
      <c r="AJ32" s="76"/>
      <c r="AK32" s="76"/>
      <c r="AL32" s="76"/>
      <c r="AM32" s="76"/>
      <c r="AN32" s="76"/>
      <c r="AO32" s="76"/>
      <c r="AP32" s="76"/>
      <c r="AQ32" s="77"/>
      <c r="AR32" s="77"/>
      <c r="AS32" s="77"/>
      <c r="AT32" s="77"/>
      <c r="AU32" s="77"/>
    </row>
    <row r="33" spans="1:48" x14ac:dyDescent="0.2">
      <c r="A33" s="33" t="s">
        <v>155</v>
      </c>
      <c r="B33" s="86" t="s">
        <v>156</v>
      </c>
      <c r="V33" s="85"/>
      <c r="AA33" s="76"/>
      <c r="AB33" s="76"/>
      <c r="AC33" s="76"/>
      <c r="AD33" s="76"/>
      <c r="AE33" s="76"/>
      <c r="AF33" s="76"/>
      <c r="AG33" s="76"/>
      <c r="AH33" s="76"/>
      <c r="AI33" s="76"/>
      <c r="AJ33" s="76"/>
      <c r="AK33" s="76"/>
      <c r="AL33" s="76"/>
      <c r="AM33" s="76"/>
      <c r="AN33" s="76"/>
      <c r="AO33" s="76"/>
      <c r="AP33" s="76"/>
      <c r="AV33" s="72"/>
    </row>
    <row r="34" spans="1:48" x14ac:dyDescent="0.2">
      <c r="A34" s="33" t="s">
        <v>157</v>
      </c>
      <c r="B34" s="86" t="s">
        <v>158</v>
      </c>
      <c r="N34" s="74"/>
      <c r="V34" s="85"/>
      <c r="AA34" s="76"/>
      <c r="AB34" s="76"/>
      <c r="AC34" s="76"/>
      <c r="AD34" s="76"/>
      <c r="AE34" s="76"/>
      <c r="AF34" s="76"/>
      <c r="AG34" s="76"/>
      <c r="AH34" s="76"/>
      <c r="AI34" s="76"/>
      <c r="AJ34" s="76"/>
      <c r="AK34" s="76"/>
      <c r="AL34" s="76"/>
      <c r="AM34" s="76"/>
      <c r="AN34" s="76"/>
      <c r="AO34" s="76"/>
      <c r="AP34" s="76"/>
    </row>
    <row r="35" spans="1:48" x14ac:dyDescent="0.2">
      <c r="A35" s="33" t="s">
        <v>159</v>
      </c>
      <c r="B35" s="86" t="s">
        <v>160</v>
      </c>
      <c r="V35" s="85"/>
      <c r="AV35" s="72"/>
    </row>
    <row r="36" spans="1:48" x14ac:dyDescent="0.2">
      <c r="A36" s="33" t="s">
        <v>161</v>
      </c>
      <c r="B36" s="86" t="s">
        <v>162</v>
      </c>
      <c r="K36" s="84"/>
      <c r="L36" s="84"/>
      <c r="M36" s="87"/>
      <c r="R36" s="88"/>
      <c r="S36" s="88"/>
      <c r="T36" s="88"/>
      <c r="U36" s="88"/>
      <c r="V36" s="85"/>
    </row>
    <row r="37" spans="1:48" x14ac:dyDescent="0.2">
      <c r="A37" s="33" t="s">
        <v>163</v>
      </c>
      <c r="B37" s="86" t="s">
        <v>164</v>
      </c>
      <c r="K37" s="89"/>
      <c r="M37" s="87"/>
      <c r="V37" s="85"/>
    </row>
    <row r="38" spans="1:48" x14ac:dyDescent="0.2">
      <c r="A38" s="33" t="s">
        <v>165</v>
      </c>
      <c r="B38" s="86" t="s">
        <v>166</v>
      </c>
      <c r="AR38" s="72"/>
      <c r="AS38" s="72"/>
      <c r="AT38" s="72"/>
      <c r="AU38" s="72"/>
      <c r="AV38" s="90"/>
    </row>
    <row r="39" spans="1:48" x14ac:dyDescent="0.2">
      <c r="A39" s="33" t="s">
        <v>167</v>
      </c>
      <c r="B39" s="86" t="s">
        <v>168</v>
      </c>
    </row>
    <row r="40" spans="1:48" x14ac:dyDescent="0.2">
      <c r="A40" s="33" t="s">
        <v>169</v>
      </c>
      <c r="B40" s="86" t="s">
        <v>170</v>
      </c>
    </row>
    <row r="41" spans="1:48" x14ac:dyDescent="0.2">
      <c r="A41" s="33" t="s">
        <v>171</v>
      </c>
      <c r="B41" s="86" t="s">
        <v>172</v>
      </c>
    </row>
    <row r="42" spans="1:48" x14ac:dyDescent="0.2">
      <c r="A42" s="33" t="s">
        <v>173</v>
      </c>
      <c r="B42" s="86" t="s">
        <v>174</v>
      </c>
    </row>
    <row r="43" spans="1:48" x14ac:dyDescent="0.2">
      <c r="A43" s="33" t="s">
        <v>175</v>
      </c>
      <c r="B43" s="86" t="s">
        <v>176</v>
      </c>
    </row>
    <row r="44" spans="1:48" x14ac:dyDescent="0.2">
      <c r="A44" s="33" t="s">
        <v>177</v>
      </c>
      <c r="B44" s="86" t="s">
        <v>178</v>
      </c>
    </row>
    <row r="45" spans="1:48" x14ac:dyDescent="0.2">
      <c r="A45" s="33" t="s">
        <v>179</v>
      </c>
      <c r="B45" s="86" t="s">
        <v>180</v>
      </c>
    </row>
    <row r="46" spans="1:48" x14ac:dyDescent="0.2">
      <c r="A46" s="33" t="s">
        <v>181</v>
      </c>
      <c r="B46" s="86" t="s">
        <v>182</v>
      </c>
    </row>
    <row r="47" spans="1:48" x14ac:dyDescent="0.2">
      <c r="A47" s="33" t="s">
        <v>183</v>
      </c>
      <c r="B47" s="86" t="s">
        <v>184</v>
      </c>
    </row>
    <row r="48" spans="1:48" x14ac:dyDescent="0.2">
      <c r="A48" s="33" t="s">
        <v>185</v>
      </c>
      <c r="B48" s="86" t="s">
        <v>186</v>
      </c>
    </row>
    <row r="49" spans="1:2" x14ac:dyDescent="0.2">
      <c r="A49" s="33" t="s">
        <v>187</v>
      </c>
      <c r="B49" s="86" t="s">
        <v>188</v>
      </c>
    </row>
    <row r="50" spans="1:2" x14ac:dyDescent="0.2">
      <c r="A50" s="33" t="s">
        <v>189</v>
      </c>
      <c r="B50" s="86" t="s">
        <v>190</v>
      </c>
    </row>
    <row r="51" spans="1:2" x14ac:dyDescent="0.2">
      <c r="A51" s="33" t="s">
        <v>191</v>
      </c>
      <c r="B51" s="86" t="s">
        <v>192</v>
      </c>
    </row>
    <row r="52" spans="1:2" x14ac:dyDescent="0.2">
      <c r="A52" s="33" t="s">
        <v>193</v>
      </c>
      <c r="B52" s="86" t="s">
        <v>194</v>
      </c>
    </row>
    <row r="53" spans="1:2" x14ac:dyDescent="0.2">
      <c r="A53" s="33" t="s">
        <v>195</v>
      </c>
      <c r="B53" s="86" t="s">
        <v>196</v>
      </c>
    </row>
    <row r="54" spans="1:2" x14ac:dyDescent="0.2">
      <c r="A54" s="33" t="s">
        <v>197</v>
      </c>
      <c r="B54" s="86" t="s">
        <v>198</v>
      </c>
    </row>
    <row r="55" spans="1:2" x14ac:dyDescent="0.2">
      <c r="A55" s="33" t="s">
        <v>199</v>
      </c>
      <c r="B55" s="86" t="s">
        <v>200</v>
      </c>
    </row>
    <row r="56" spans="1:2" x14ac:dyDescent="0.2">
      <c r="A56" s="33" t="s">
        <v>201</v>
      </c>
      <c r="B56" s="86" t="s">
        <v>202</v>
      </c>
    </row>
  </sheetData>
  <sheetProtection selectLockedCells="1"/>
  <protectedRanges>
    <protectedRange sqref="M22:M26 J19:K20 M19:M20" name="Rango1"/>
    <protectedRange sqref="L19:L20 J22:L26" name="Rango2"/>
  </protectedRanges>
  <mergeCells count="23">
    <mergeCell ref="A10:I10"/>
    <mergeCell ref="O10:O14"/>
    <mergeCell ref="P10:U14"/>
    <mergeCell ref="A11:I11"/>
    <mergeCell ref="A12:I12"/>
    <mergeCell ref="D1:U1"/>
    <mergeCell ref="D2:U5"/>
    <mergeCell ref="A7:I7"/>
    <mergeCell ref="A8:I8"/>
    <mergeCell ref="A9:I9"/>
    <mergeCell ref="AV16:AV17"/>
    <mergeCell ref="A18:I18"/>
    <mergeCell ref="A13:I13"/>
    <mergeCell ref="A14:I14"/>
    <mergeCell ref="A15:I15"/>
    <mergeCell ref="J16:P16"/>
    <mergeCell ref="Q16:U16"/>
    <mergeCell ref="W16:AB16"/>
    <mergeCell ref="A21:I21"/>
    <mergeCell ref="AC16:AG16"/>
    <mergeCell ref="AH16:AL16"/>
    <mergeCell ref="AM16:AP16"/>
    <mergeCell ref="AQ16:AU16"/>
  </mergeCells>
  <conditionalFormatting sqref="J19:M20 J22:M26">
    <cfRule type="cellIs" dxfId="0" priority="1" stopIfTrue="1" operator="equal">
      <formula>0</formula>
    </cfRule>
  </conditionalFormatting>
  <pageMargins left="0.70866141732283472" right="0.70866141732283472" top="0.74803149606299213" bottom="0.74803149606299213" header="0.31496062992125984" footer="0.31496062992125984"/>
  <pageSetup paperSize="5" scale="23"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vt:lpstr>
      <vt:lpstr>ANEXO 6 OE</vt:lpstr>
    </vt:vector>
  </TitlesOfParts>
  <Company>Consejo Superior de la Judicatura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Epifanio Torres Velez</dc:creator>
  <cp:lastModifiedBy>Miguel Zuleta Carrasquilla</cp:lastModifiedBy>
  <dcterms:created xsi:type="dcterms:W3CDTF">2026-10-09T16:31:14Z</dcterms:created>
  <dcterms:modified xsi:type="dcterms:W3CDTF">2026-10-13T09:49:05Z</dcterms:modified>
</cp:coreProperties>
</file>