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etbcsj-my.sharepoint.com/personal/mzuletac_cendoj_ramajudicial_gov_co/Documents/Unplodd 1/Omega 3/Cartagena/Contratación/Contratación 2026/En trámite/Vigilancia 2026-2030/Carpeta de trabajo/"/>
    </mc:Choice>
  </mc:AlternateContent>
  <xr:revisionPtr revIDLastSave="0" documentId="8_{45990E7A-050F-427A-A1BB-C74FBC95808F}" xr6:coauthVersionLast="47" xr6:coauthVersionMax="47" xr10:uidLastSave="{00000000-0000-0000-0000-000000000000}"/>
  <bookViews>
    <workbookView xWindow="-120" yWindow="-120" windowWidth="29040" windowHeight="15720" xr2:uid="{39E0A054-0304-414D-8287-6CFD49BB766B}"/>
  </bookViews>
  <sheets>
    <sheet name="ANEXO 6 OE" sheetId="1" r:id="rId1"/>
    <sheet name="Hoja2" sheetId="2" r:id="rId2"/>
  </sheets>
  <externalReferences>
    <externalReference r:id="rId3"/>
    <externalReference r:id="rId4"/>
    <externalReference r:id="rId5"/>
    <externalReference r:id="rId6"/>
  </externalReferences>
  <definedNames>
    <definedName name="_00">#N/A</definedName>
    <definedName name="_0000_03" localSheetId="0">[1]CAPROVIG!#REF!</definedName>
    <definedName name="_0000_03">[1]CAPROVIG!#REF!</definedName>
    <definedName name="_0000_08">#N/A</definedName>
    <definedName name="_1000_01">#N/A</definedName>
    <definedName name="_1130_02" localSheetId="0">[1]CAPROVIG!#REF!</definedName>
    <definedName name="_1130_02">[1]CAPROVIG!#REF!</definedName>
    <definedName name="_133_19" localSheetId="0">[1]CAPROVIG!#REF!</definedName>
    <definedName name="_133_19">[1]CAPROVIG!#REF!</definedName>
    <definedName name="_2110_02" localSheetId="0">[1]CAPROVIG!#REF!</definedName>
    <definedName name="_2110_02">[1]CAPROVIG!#REF!</definedName>
    <definedName name="_2110_06" localSheetId="0">[1]CAPROVIG!#REF!</definedName>
    <definedName name="_2110_06">[1]CAPROVIG!#REF!</definedName>
    <definedName name="_230_01">#N/A</definedName>
    <definedName name="_230_03">#N/A</definedName>
    <definedName name="_230_05">#N/A</definedName>
    <definedName name="_3000_08">[1]CAPROVIG!#REF!</definedName>
    <definedName name="_3000_19">[1]CAPROVIG!#REF!</definedName>
    <definedName name="_3110_11">[1]CAPROVIG!#REF!</definedName>
    <definedName name="_3130_02">[1]CAPROVIG!#REF!</definedName>
    <definedName name="_888_22">[1]CAPROVIG!#REF!</definedName>
    <definedName name="_888_29">[1]CAPROVIG!#REF!</definedName>
    <definedName name="_888_34">[1]CAPROVIG!#REF!</definedName>
    <definedName name="_888_35">[1]CAPROVIG!#REF!</definedName>
    <definedName name="_888_43">#N/A</definedName>
    <definedName name="_888_44">#N/A</definedName>
    <definedName name="_Key1" localSheetId="0" hidden="1">[1]CAPROVIG!#REF!</definedName>
    <definedName name="_Key1" hidden="1">[1]CAPROVIG!#REF!</definedName>
    <definedName name="_Key2" localSheetId="0" hidden="1">[1]CAPROVIG!#REF!</definedName>
    <definedName name="_Key2" hidden="1">[1]CAPROVIG!#REF!</definedName>
    <definedName name="_Order1" hidden="1">255</definedName>
    <definedName name="_Order2" hidden="1">255</definedName>
    <definedName name="_Toc134838815_7">#N/A</definedName>
    <definedName name="_Toc134838819_6">#N/A</definedName>
    <definedName name="_Toc134838824_7">#N/A</definedName>
    <definedName name="a">[1]CAPROVIG!#REF!</definedName>
    <definedName name="AFPs">[2]AFP!$D$2:$D$17</definedName>
    <definedName name="Confirmacion" localSheetId="0">#REF!</definedName>
    <definedName name="Confirmacion">[3]Listas!$E$2:$E$3</definedName>
    <definedName name="Daniel" localSheetId="0" hidden="1">[1]CAPROVIG!#REF!</definedName>
    <definedName name="Daniel" hidden="1">[1]CAPROVIG!#REF!</definedName>
    <definedName name="EPSs">[2]EPS!$E$2:$E$79</definedName>
    <definedName name="ExportarAExcel" localSheetId="0">#REF!</definedName>
    <definedName name="ExportarAExcel">#REF!</definedName>
    <definedName name="ggggggggggggggg" localSheetId="0">[1]CAPROVIG!#REF!</definedName>
    <definedName name="ggggggggggggggg">[1]CAPROVIG!#REF!</definedName>
    <definedName name="HUK">[1]CAPROVIG!#REF!</definedName>
    <definedName name="MN">[1]CAPROVIG!#REF!</definedName>
    <definedName name="sexo">[2]OTROS!$E$6:$E$7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26" i="1" l="1"/>
  <c r="L23" i="1"/>
  <c r="L22" i="1"/>
  <c r="L20" i="1"/>
  <c r="H27" i="1"/>
  <c r="G27" i="1"/>
  <c r="F27" i="1"/>
  <c r="E27" i="1"/>
  <c r="D27" i="1"/>
  <c r="B23" i="1"/>
  <c r="D22" i="1"/>
  <c r="B22" i="1"/>
  <c r="AT21" i="1"/>
  <c r="AS21" i="1"/>
  <c r="AQ21" i="1"/>
  <c r="AP21" i="1"/>
  <c r="AO21" i="1"/>
  <c r="AN21" i="1"/>
  <c r="AM21" i="1"/>
  <c r="AU21" i="1" s="1"/>
  <c r="L19" i="1" l="1"/>
  <c r="M19" i="1" s="1"/>
  <c r="P19" i="1" s="1"/>
  <c r="M23" i="1"/>
  <c r="N23" i="1" s="1"/>
  <c r="O23" i="1" s="1"/>
  <c r="AV21" i="1"/>
  <c r="M22" i="1"/>
  <c r="N22" i="1" s="1"/>
  <c r="O22" i="1" s="1"/>
  <c r="P22" i="1" s="1"/>
  <c r="M20" i="1"/>
  <c r="P20" i="1" s="1"/>
  <c r="L25" i="1"/>
  <c r="M25" i="1"/>
  <c r="L26" i="1"/>
  <c r="P23" i="1" l="1"/>
  <c r="Q23" i="1" s="1"/>
  <c r="V22" i="1"/>
  <c r="AQ22" i="1" s="1"/>
  <c r="Q22" i="1"/>
  <c r="V20" i="1"/>
  <c r="AQ20" i="1" s="1"/>
  <c r="Q20" i="1"/>
  <c r="Q19" i="1"/>
  <c r="V19" i="1"/>
  <c r="N25" i="1"/>
  <c r="O25" i="1" s="1"/>
  <c r="P25" i="1" s="1"/>
  <c r="M24" i="1"/>
  <c r="L24" i="1"/>
  <c r="N26" i="1"/>
  <c r="O26" i="1" s="1"/>
  <c r="P26" i="1" s="1"/>
  <c r="V23" i="1" l="1"/>
  <c r="AQ23" i="1" s="1"/>
  <c r="V26" i="1"/>
  <c r="AQ26" i="1" s="1"/>
  <c r="Q26" i="1"/>
  <c r="V25" i="1"/>
  <c r="AQ25" i="1" s="1"/>
  <c r="Q25" i="1"/>
  <c r="R23" i="1"/>
  <c r="Y23" i="1"/>
  <c r="X23" i="1"/>
  <c r="Z23" i="1"/>
  <c r="W23" i="1"/>
  <c r="Y20" i="1"/>
  <c r="X20" i="1"/>
  <c r="Z20" i="1"/>
  <c r="W20" i="1"/>
  <c r="R20" i="1"/>
  <c r="Z19" i="1"/>
  <c r="Y19" i="1"/>
  <c r="X19" i="1"/>
  <c r="W19" i="1"/>
  <c r="R19" i="1"/>
  <c r="W22" i="1"/>
  <c r="Y22" i="1"/>
  <c r="Z22" i="1"/>
  <c r="X22" i="1"/>
  <c r="R22" i="1"/>
  <c r="AQ19" i="1"/>
  <c r="N24" i="1"/>
  <c r="O24" i="1" s="1"/>
  <c r="P24" i="1" s="1"/>
  <c r="Q24" i="1" l="1"/>
  <c r="V24" i="1"/>
  <c r="P27" i="1"/>
  <c r="S19" i="1"/>
  <c r="AB19" i="1"/>
  <c r="AA19" i="1"/>
  <c r="S23" i="1"/>
  <c r="AB23" i="1"/>
  <c r="AR23" i="1" s="1"/>
  <c r="AA23" i="1"/>
  <c r="Y25" i="1"/>
  <c r="X25" i="1"/>
  <c r="W25" i="1"/>
  <c r="Z25" i="1"/>
  <c r="R25" i="1"/>
  <c r="AA20" i="1"/>
  <c r="AB20" i="1"/>
  <c r="S20" i="1"/>
  <c r="W26" i="1"/>
  <c r="X26" i="1"/>
  <c r="Y26" i="1"/>
  <c r="R26" i="1"/>
  <c r="Z26" i="1"/>
  <c r="AB22" i="1"/>
  <c r="S22" i="1"/>
  <c r="AA22" i="1"/>
  <c r="AR22" i="1" l="1"/>
  <c r="AR20" i="1"/>
  <c r="AB25" i="1"/>
  <c r="AA25" i="1"/>
  <c r="S25" i="1"/>
  <c r="AC19" i="1"/>
  <c r="T19" i="1"/>
  <c r="AG19" i="1"/>
  <c r="AF19" i="1"/>
  <c r="AE19" i="1"/>
  <c r="AD19" i="1"/>
  <c r="S26" i="1"/>
  <c r="AB26" i="1"/>
  <c r="AA26" i="1"/>
  <c r="AR19" i="1"/>
  <c r="AG22" i="1"/>
  <c r="AF22" i="1"/>
  <c r="T22" i="1"/>
  <c r="AE22" i="1"/>
  <c r="AC22" i="1"/>
  <c r="AD22" i="1"/>
  <c r="AQ24" i="1"/>
  <c r="AQ27" i="1" s="1"/>
  <c r="V27" i="1"/>
  <c r="AE20" i="1"/>
  <c r="AD20" i="1"/>
  <c r="AG20" i="1"/>
  <c r="AF20" i="1"/>
  <c r="T20" i="1"/>
  <c r="AC20" i="1"/>
  <c r="AE23" i="1"/>
  <c r="AD23" i="1"/>
  <c r="AF23" i="1"/>
  <c r="AC23" i="1"/>
  <c r="AG23" i="1"/>
  <c r="T23" i="1"/>
  <c r="Z24" i="1"/>
  <c r="Z27" i="1" s="1"/>
  <c r="Y24" i="1"/>
  <c r="Y27" i="1" s="1"/>
  <c r="R24" i="1"/>
  <c r="X24" i="1"/>
  <c r="X27" i="1" s="1"/>
  <c r="W24" i="1"/>
  <c r="Q27" i="1"/>
  <c r="AR25" i="1" l="1"/>
  <c r="AR26" i="1"/>
  <c r="AS20" i="1"/>
  <c r="AS19" i="1"/>
  <c r="AJ20" i="1"/>
  <c r="AI20" i="1"/>
  <c r="AH20" i="1"/>
  <c r="AL20" i="1"/>
  <c r="U20" i="1"/>
  <c r="AK20" i="1"/>
  <c r="AH22" i="1"/>
  <c r="U22" i="1"/>
  <c r="AL22" i="1"/>
  <c r="AI22" i="1"/>
  <c r="AJ22" i="1"/>
  <c r="AK22" i="1"/>
  <c r="AG25" i="1"/>
  <c r="AE25" i="1"/>
  <c r="AC25" i="1"/>
  <c r="AF25" i="1"/>
  <c r="T25" i="1"/>
  <c r="AD25" i="1"/>
  <c r="AI23" i="1"/>
  <c r="U23" i="1"/>
  <c r="AL23" i="1"/>
  <c r="AK23" i="1"/>
  <c r="AJ23" i="1"/>
  <c r="AH23" i="1"/>
  <c r="AG26" i="1"/>
  <c r="AF26" i="1"/>
  <c r="T26" i="1"/>
  <c r="AE26" i="1"/>
  <c r="AD26" i="1"/>
  <c r="AC26" i="1"/>
  <c r="W27" i="1"/>
  <c r="AB24" i="1"/>
  <c r="AB27" i="1" s="1"/>
  <c r="AA24" i="1"/>
  <c r="AA27" i="1" s="1"/>
  <c r="S24" i="1"/>
  <c r="R27" i="1"/>
  <c r="AS23" i="1"/>
  <c r="AK19" i="1"/>
  <c r="AJ19" i="1"/>
  <c r="AL19" i="1"/>
  <c r="AI19" i="1"/>
  <c r="AH19" i="1"/>
  <c r="U19" i="1"/>
  <c r="AS22" i="1"/>
  <c r="AT20" i="1" l="1"/>
  <c r="AT23" i="1"/>
  <c r="AS26" i="1"/>
  <c r="AJ25" i="1"/>
  <c r="AI25" i="1"/>
  <c r="AL25" i="1"/>
  <c r="AK25" i="1"/>
  <c r="AH25" i="1"/>
  <c r="U25" i="1"/>
  <c r="AM20" i="1"/>
  <c r="AO20" i="1"/>
  <c r="AN20" i="1"/>
  <c r="AP20" i="1"/>
  <c r="AS25" i="1"/>
  <c r="AP19" i="1"/>
  <c r="AN19" i="1"/>
  <c r="AM19" i="1"/>
  <c r="AO19" i="1"/>
  <c r="AC24" i="1"/>
  <c r="T24" i="1"/>
  <c r="AG24" i="1"/>
  <c r="AG27" i="1" s="1"/>
  <c r="AF24" i="1"/>
  <c r="AF27" i="1" s="1"/>
  <c r="AE24" i="1"/>
  <c r="AE27" i="1" s="1"/>
  <c r="AD24" i="1"/>
  <c r="AD27" i="1" s="1"/>
  <c r="S27" i="1"/>
  <c r="AT19" i="1"/>
  <c r="AR24" i="1"/>
  <c r="AP23" i="1"/>
  <c r="AO23" i="1"/>
  <c r="AN23" i="1"/>
  <c r="AM23" i="1"/>
  <c r="AM22" i="1"/>
  <c r="AN22" i="1"/>
  <c r="AP22" i="1"/>
  <c r="AO22" i="1"/>
  <c r="U26" i="1"/>
  <c r="AL26" i="1"/>
  <c r="AI26" i="1"/>
  <c r="AK26" i="1"/>
  <c r="AH26" i="1"/>
  <c r="AJ26" i="1"/>
  <c r="AT22" i="1"/>
  <c r="AT25" i="1" l="1"/>
  <c r="AT26" i="1"/>
  <c r="AL24" i="1"/>
  <c r="AL27" i="1" s="1"/>
  <c r="AK24" i="1"/>
  <c r="AK27" i="1" s="1"/>
  <c r="AH24" i="1"/>
  <c r="U24" i="1"/>
  <c r="AJ24" i="1"/>
  <c r="AJ27" i="1" s="1"/>
  <c r="AI24" i="1"/>
  <c r="AI27" i="1" s="1"/>
  <c r="T27" i="1"/>
  <c r="AU20" i="1"/>
  <c r="AV20" i="1" s="1"/>
  <c r="AP26" i="1"/>
  <c r="AM26" i="1"/>
  <c r="AO26" i="1"/>
  <c r="AN26" i="1"/>
  <c r="AS24" i="1"/>
  <c r="AS27" i="1" s="1"/>
  <c r="AC27" i="1"/>
  <c r="AM25" i="1"/>
  <c r="AO25" i="1"/>
  <c r="AP25" i="1"/>
  <c r="AN25" i="1"/>
  <c r="AU19" i="1"/>
  <c r="AV19" i="1"/>
  <c r="AR27" i="1"/>
  <c r="AU22" i="1"/>
  <c r="AV22" i="1" s="1"/>
  <c r="AU23" i="1"/>
  <c r="AV23" i="1" s="1"/>
  <c r="AM24" i="1" l="1"/>
  <c r="AN24" i="1"/>
  <c r="AN27" i="1" s="1"/>
  <c r="AP24" i="1"/>
  <c r="AP27" i="1" s="1"/>
  <c r="AO24" i="1"/>
  <c r="AO27" i="1" s="1"/>
  <c r="U27" i="1"/>
  <c r="AU26" i="1"/>
  <c r="AV26" i="1" s="1"/>
  <c r="AU25" i="1"/>
  <c r="AV25" i="1" s="1"/>
  <c r="AT24" i="1"/>
  <c r="AT27" i="1" s="1"/>
  <c r="AH27" i="1"/>
  <c r="AU24" i="1" l="1"/>
  <c r="AM27" i="1"/>
  <c r="AV24" i="1" l="1"/>
  <c r="AV27" i="1" s="1"/>
  <c r="AU27" i="1"/>
</calcChain>
</file>

<file path=xl/sharedStrings.xml><?xml version="1.0" encoding="utf-8"?>
<sst xmlns="http://schemas.openxmlformats.org/spreadsheetml/2006/main" count="140" uniqueCount="135">
  <si>
    <t>ANEXO Nª6 OFERTA ECONOMICA</t>
  </si>
  <si>
    <t>Consejo Superior de la Judicatura
Dirección Ejecutiva Seccional de Administración Judicial  
Cartagena-Bolivar</t>
  </si>
  <si>
    <t>Variables</t>
  </si>
  <si>
    <t>No. Meses</t>
  </si>
  <si>
    <t>Periodo a contratar</t>
  </si>
  <si>
    <t>DEL 01 DE DICIEMBRE DE 2026 AL 31 DE JULIO DE 2030</t>
  </si>
  <si>
    <t>Meses del año 2026</t>
  </si>
  <si>
    <t>Meses del año 2027</t>
  </si>
  <si>
    <t>Celdas que deben ser diligenciadas por el proponente</t>
  </si>
  <si>
    <t>Meses del año 2028</t>
  </si>
  <si>
    <t>Meses del año 2029</t>
  </si>
  <si>
    <t>Meses del año 2030</t>
  </si>
  <si>
    <t xml:space="preserve">Porcentaje Valor IVA Unitario mensual </t>
  </si>
  <si>
    <t>Incremento Proyectado para el año 2027,2028,2029 Y 2030 (4,8%)</t>
  </si>
  <si>
    <t>Incremento proyectado por el Ministerio de Hacienda.</t>
  </si>
  <si>
    <t>VALOR MENSUAL Año 2026(DEL 01 DE DICIEMBRE DE 2026 AL 31 DE DICIEMBRE DE 2026)</t>
  </si>
  <si>
    <t>VALOR MENSUAL Año 2027 A 2030</t>
  </si>
  <si>
    <t xml:space="preserve">VIGENCIA 2026
</t>
  </si>
  <si>
    <t>VIGENCIA 2027</t>
  </si>
  <si>
    <t>VIGENCIA 2028</t>
  </si>
  <si>
    <t>VIGENCIA 2029</t>
  </si>
  <si>
    <t>VIGENCIA 2030</t>
  </si>
  <si>
    <t xml:space="preserve">VALOR TOTAL VIGENCIAS 2026-2030
</t>
  </si>
  <si>
    <t xml:space="preserve">Valor total del Vigencias 2026-2030
</t>
  </si>
  <si>
    <t>Ítem</t>
  </si>
  <si>
    <t>Tipo de
Servicio</t>
  </si>
  <si>
    <t>TIPO DE SERVICIO</t>
  </si>
  <si>
    <t>No. Servicios 2026</t>
  </si>
  <si>
    <t>No. Servicios 2027</t>
  </si>
  <si>
    <t>No. Servicios 2028</t>
  </si>
  <si>
    <t>No. Servicios 2029</t>
  </si>
  <si>
    <t>No. Servicios 2030</t>
  </si>
  <si>
    <t>% AYS</t>
  </si>
  <si>
    <t>Valor Unitario Mensual tarifa año 2026(Tarifa actual Diciembre de 2026)</t>
  </si>
  <si>
    <t>VALOR POLIZA DE SEGURO COLECTIVO DE VIDA MENSUAL</t>
  </si>
  <si>
    <t>VALOR UNITARIO TARIFA MAS POLIZA DE SEGURO DE VIDA COLECTIVO MENSUAL</t>
  </si>
  <si>
    <t>VALOR UNITARIO MENSUAL ADMINISTRACION Y SUPERVISION(AYS)</t>
  </si>
  <si>
    <t>Valor AIU Unitario Mensual</t>
  </si>
  <si>
    <t>Valor IVA Unitario Mensual</t>
  </si>
  <si>
    <t>Valor Total Unitario Mensual año 2026(DICIEMBRE DE 2026)</t>
  </si>
  <si>
    <t>VALOR TARIFA MENSUAL AÑO 2027( ENERO DE 2027 A JUNIO DE 2027 ) CON INCREMENTO PROYECTADO</t>
  </si>
  <si>
    <t>Valor Total Unitario Mensual año 2027(DE JULIO DE 2027 A DICIEMBRE DE 2027) (incremento Proyectado)</t>
  </si>
  <si>
    <t>Valor Total Unitario Mensual año 2028(DE ENERO DE 2028 A DICIEMBRE DE 2028) (incremento Proyectado)</t>
  </si>
  <si>
    <t>Valor Total Unitario Mensual año 2029(DE ENERO DE 2029 A DICIEMBRE DE 2029) (incremento Proyectado)</t>
  </si>
  <si>
    <t>Valor Total Unitario Mensual año 2030(DE ENERO DE 2030 A JULIO DE 2030) (incremento Proyectado)</t>
  </si>
  <si>
    <t xml:space="preserve">Valor mes de Diciembre 2026
</t>
  </si>
  <si>
    <t>VALOR MES DE ENERO DE 2027</t>
  </si>
  <si>
    <t>VALOR MES DE FEBRERO DE 2027</t>
  </si>
  <si>
    <t>VALOR MES DE MARZO DE 2027</t>
  </si>
  <si>
    <t>VALOR TOTAL DE LOS MESES DE ABRIL DE 2027 A JUNIO DE 2027</t>
  </si>
  <si>
    <t>VALOR TOTAL DE LOS MESES DE JULIO DE 2027 A NOVIEMBRE DE 2027</t>
  </si>
  <si>
    <t>VALOR MES DE DICIEMBRE DE 2027</t>
  </si>
  <si>
    <t>VALOR MES DE ENERO DE 2028</t>
  </si>
  <si>
    <t>VALOR TOTAL DE LOS MESES DE FEBRERO DE 2028 A MARZO DE 2028</t>
  </si>
  <si>
    <t>VALOR ABRIL DE 2028</t>
  </si>
  <si>
    <t>VALOR TOTAL DE LOS MESES DE MAYO DE 2028 A NOVIEMBRE DE 2028</t>
  </si>
  <si>
    <t>VALOR DICIEMBRE DE 2028</t>
  </si>
  <si>
    <t>VALOR MES DE ENERO DE 2029</t>
  </si>
  <si>
    <t>VALOR MES DE FEBRERO DE 2029</t>
  </si>
  <si>
    <t>VALOR MARZO DE 2029</t>
  </si>
  <si>
    <t>VALOR TOTAL DE LOS MESES DE ABRIL DE 2029 A NOVIEMBRE DE 2029</t>
  </si>
  <si>
    <t>VALOR DICIEMBRE DE 2029</t>
  </si>
  <si>
    <t>VALOR MES DE ENERO DE 2030</t>
  </si>
  <si>
    <t>VALOR TOTAL DE LOS MESES DE FEBRERO DE 2030 A MARZO DE 2030</t>
  </si>
  <si>
    <t>VALOR ABRIL DE 2030</t>
  </si>
  <si>
    <t>VALOR TOTAL DE LOS MESES DE MAYO DE 2030 A JULIO DE 2030</t>
  </si>
  <si>
    <t xml:space="preserve">Valor total  Vigencia 2026
</t>
  </si>
  <si>
    <t xml:space="preserve">Valor total  Vigencia 2027
</t>
  </si>
  <si>
    <t xml:space="preserve">Valor total  Vigencia 2028
</t>
  </si>
  <si>
    <t>Valor total  Vigencia 2029</t>
  </si>
  <si>
    <t>Valor total  Vigencia 2030</t>
  </si>
  <si>
    <t>Servicios del Archipielago San andres islas (Excluidos de I.V.A.)</t>
  </si>
  <si>
    <t>F</t>
  </si>
  <si>
    <t>Servicio de vigilancia física con medio humano, con arma, sin canino, con jornada labora mes /24 horas</t>
  </si>
  <si>
    <t>N.A</t>
  </si>
  <si>
    <t>C</t>
  </si>
  <si>
    <t>Servicio de vigilancia física con medio humano, sin arma, sin canino, con jornada de 12 horas (7:00 a.m. a  7:00 p.m.) de lunes a viernes laborales. Y jornada de 6 horas (7:00 am a 1:00 pm) los sábados</t>
  </si>
  <si>
    <t>Servicios de Cartagena y Municipios de Bolivar</t>
  </si>
  <si>
    <t>Servicio de vigilancia física con medio humano, sin arma, sin canino, con jornada de 12 horas (7:00 a.m. a  7:00 p.m.) de lunes a viernes laborales.</t>
  </si>
  <si>
    <t>D</t>
  </si>
  <si>
    <t>E</t>
  </si>
  <si>
    <r>
      <t xml:space="preserve">Servicio de vigilancia física con medio humano, </t>
    </r>
    <r>
      <rPr>
        <b/>
        <sz val="7"/>
        <color rgb="FF000000"/>
        <rFont val="Arial"/>
        <family val="2"/>
      </rPr>
      <t>Sin</t>
    </r>
    <r>
      <rPr>
        <sz val="7"/>
        <color rgb="FF000000"/>
        <rFont val="Arial"/>
        <family val="2"/>
      </rPr>
      <t xml:space="preserve"> arma, sin canino, con jornada labora mes /24 horas</t>
    </r>
  </si>
  <si>
    <t>G</t>
  </si>
  <si>
    <t>Servicio de vigilancia física con medio humano, sin arma, sin canino, con jornada de 15 horas (7:00 a.m. a  10:00 p.m.) de lunes a viernes laborales. Y jornada de 6 horas (7:00 am a 1:00 pm) los sábados</t>
  </si>
  <si>
    <t>Total</t>
  </si>
  <si>
    <t>Nota 1:</t>
  </si>
  <si>
    <t>Los Servicios de Vigilancia a contratar en el archipielago de San andres islas estan excluidos del Impuesto a las ventas según lo establecido en el ART.22 Ley 47 de 1993</t>
  </si>
  <si>
    <t xml:space="preserve">Nota 2: </t>
  </si>
  <si>
    <t>del 20 al 31 de diciembre de 2026 , se suspende un (01) Servicio de vigilancia física con medio humano, sin arma, sin canino, con jornada de 12 horas (7:00 a.m. a  7:00 p.m.) de lunes a viernes laborales.</t>
  </si>
  <si>
    <t>Nota 3:</t>
  </si>
  <si>
    <t>del 20 al 31 de diciembre de 2026 , se suspende cuatro (04) Servicio de vigilancia física con medio humano, sin arma, sin canino, con jornada de 12 horas (7:00 a.m. a  7:00 p.m.) de lunes a viernes laborales. Y jornada de 6 horas (7:00 am a 1:00 pm) los sábados</t>
  </si>
  <si>
    <t>Nota 4:</t>
  </si>
  <si>
    <t>del 01 al 12 de enero de 2027, se suspende un (01) Servicio de vigilancia física con medio humano, sin arma, sin canino, con jornada de 12 horas (7:00 a.m. a  7:00 p.m.) de lunes a viernes laborales.</t>
  </si>
  <si>
    <t>Nota 5:</t>
  </si>
  <si>
    <t>del 01 al 12 de enero de 2027 , se suspende cuatro (04) Servicio de vigilancia física con medio humano, sin arma, sin canino, con jornada de 12 horas (7:00 a.m. a  7:00 p.m.) de lunes a viernes laborales. Y jornada de 6 horas (7:00 am a 1:00 pm) los sábados</t>
  </si>
  <si>
    <t>Nota 6:</t>
  </si>
  <si>
    <t>del 22 de Marzo de 2027 al 28 de Marzo de 2027, se suspende dos (02) Servicio de vigilancia física con medio humano, sin arma, sin canino, con jornada de 12 horas (7:00 a.m. a  7:00 p.m.) de lunes a viernes laborales.</t>
  </si>
  <si>
    <t>Nota 7:</t>
  </si>
  <si>
    <t>del 22 de Marzo de 2027 al 28 de Marzo de 2027 , se suspende cinco (05) Servicio de vigilancia física con medio humano, sin arma, sin canino, con jornada de 12 horas (7:00 a.m. a  7:00 p.m.) de lunes a viernes laborales. Y jornada de 6 horas (7:00 am a 1:00 pm) los sábados</t>
  </si>
  <si>
    <t>Nota 8:</t>
  </si>
  <si>
    <t>del 20 al 31 de diciembre de 2027 , se suspende un (01) Servicio de vigilancia física con medio humano, sin arma, sin canino, con jornada de 12 horas (7:00 a.m. a  7:00 p.m.) de lunes a viernes laborales.</t>
  </si>
  <si>
    <t>Nota 9:</t>
  </si>
  <si>
    <t>del 20 al 31 de diciembre de 2027 , se suspende cuatro (04) Servicio de vigilancia física con medio humano, sin arma, sin canino, con jornada de 12 horas (7:00 a.m. a  7:00 p.m.) de lunes a viernes laborales. Y jornada de 6 horas (7:00 am a 1:00 pm) los sábados</t>
  </si>
  <si>
    <t>Nota 10:</t>
  </si>
  <si>
    <t>del 01 al 10 de enero de 2028, se suspende un (01) Servicio de vigilancia física con medio humano, sin arma, sin canino, con jornada de 12 horas (7:00 a.m. a  7:00 p.m.) de lunes a viernes laborales.</t>
  </si>
  <si>
    <t>Nota 11:</t>
  </si>
  <si>
    <t>del 01 al 10 de enero de 2028 , se suspende cuatro (04) Servicio de vigilancia física con medio humano, sin arma, sin canino, con jornada de 12 horas (7:00 a.m. a  7:00 p.m.) de lunes a viernes laborales. Y jornada de 6 horas (7:00 am a 1:00 pm) los sábados</t>
  </si>
  <si>
    <t>Nota 12:</t>
  </si>
  <si>
    <t>del 10 de Abril de 2028 al 16 de abril de 2027, se suspende dos (02) Servicio de vigilancia física con medio humano, sin arma, sin canino, con jornada de 12 horas (7:00 a.m. a  7:00 p.m.) de lunes a viernes laborales.</t>
  </si>
  <si>
    <t>Nota 13:</t>
  </si>
  <si>
    <t>del 10 de Abril de 2028 al 16 de Abril de 2028 , se suspende cinco (05) Servicio de vigilancia física con medio humano, sin arma, sin canino, con jornada de 12 horas (7:00 a.m. a  7:00 p.m.) de lunes a viernes laborales. Y jornada de 6 horas (7:00 am a 1:00 pm) los sábados</t>
  </si>
  <si>
    <t>Nota 14:</t>
  </si>
  <si>
    <t>del 20 al 31 de diciembre de 2028 , se suspende un (01) Servicio de vigilancia física con medio humano, sin arma, sin canino, con jornada de 12 horas (7:00 a.m. a  7:00 p.m.) de lunes a viernes laborales.</t>
  </si>
  <si>
    <t>Nota 15:</t>
  </si>
  <si>
    <t>del 20 al 31 de diciembre de 2028 , se suspende cuatro (04) Servicio de vigilancia física con medio humano, sin arma, sin canino, con jornada de 12 horas (7:00 a.m. a  7:00 p.m.) de lunes a viernes laborales. Y jornada de 6 horas (7:00 am a 1:00 pm) los sábados</t>
  </si>
  <si>
    <t>Nota 16:</t>
  </si>
  <si>
    <t>del 01 al 10 de enero de 2029, se suspende un (01) Servicio de vigilancia física con medio humano, sin arma, sin canino, con jornada de 12 horas (7:00 a.m. a  7:00 p.m.) de lunes a viernes laborales.</t>
  </si>
  <si>
    <t>Nota 17:</t>
  </si>
  <si>
    <t>del 01 al 10 de enero de 2029 , se suspende cuatro (04) Servicio de vigilancia física con medio humano, sin arma, sin canino, con jornada de 12 horas (7:00 a.m. a  7:00 p.m.) de lunes a viernes laborales. Y jornada de 6 horas (7:00 am a 1:00 pm) los sábados</t>
  </si>
  <si>
    <t>Nota 18:</t>
  </si>
  <si>
    <t>del 26 de Marzo de 2029 al 01 de abril de 2029, se suspende dos (02) Servicio de vigilancia física con medio humano, sin arma, sin canino, con jornada de 12 horas (7:00 a.m. a  7:00 p.m.) de lunes a viernes laborales.</t>
  </si>
  <si>
    <t>Nota 19:</t>
  </si>
  <si>
    <t>del 26 de Marzo de 2029 al 01 de Abril de 2029 , se suspende cinco (05) Servicio de vigilancia física con medio humano, sin arma, sin canino, con jornada de 12 horas (7:00 a.m. a  7:00 p.m.) de lunes a viernes laborales. Y jornada de 6 horas (7:00 am a 1:00 pm) los sábados</t>
  </si>
  <si>
    <t>Nota 20:</t>
  </si>
  <si>
    <t>del 20 al 31 de diciembre de 2029 , se suspende un (01) Servicio de vigilancia física con medio humano, sin arma, sin canino, con jornada de 12 horas (7:00 a.m. a  7:00 p.m.) de lunes a viernes laborales.</t>
  </si>
  <si>
    <t>Nota 21:</t>
  </si>
  <si>
    <t>del 20 al 31 de diciembre de 2029 , se suspende cuatro (04) Servicio de vigilancia física con medio humano, sin arma, sin canino, con jornada de 12 horas (7:00 a.m. a  7:00 p.m.) de lunes a viernes laborales. Y jornada de 6 horas (7:00 am a 1:00 pm) los sábados</t>
  </si>
  <si>
    <t>Nota 22:</t>
  </si>
  <si>
    <t>del 01 al 10 de enero de 2030, se suspende un (01) Servicio de vigilancia física con medio humano, sin arma, sin canino, con jornada de 12 horas (7:00 a.m. a  7:00 p.m.) de lunes a viernes laborales.</t>
  </si>
  <si>
    <t>Nota 23:</t>
  </si>
  <si>
    <t>del 01 al 10 de enero de 2030 , se suspende cuatro (04) Servicio de vigilancia física con medio humano, sin arma, sin canino, con jornada de 12 horas (7:00 a.m. a  7:00 p.m.) de lunes a viernes laborales. Y jornada de 6 horas (7:00 am a 1:00 pm) los sábados</t>
  </si>
  <si>
    <t>Nota 24:</t>
  </si>
  <si>
    <t>del 15 de Abril de 2030 al 21 de abril de 2030, se suspende dos (02) Servicio de vigilancia física con medio humano, sin arma, sin canino, con jornada de 12 horas (7:00 a.m. a  7:00 p.m.) de lunes a viernes laborales.</t>
  </si>
  <si>
    <t>Nota 25:</t>
  </si>
  <si>
    <t>del 15 de Abril de 2030 al 21 de abril de 2030 , se suspende cinco (05) Servicio de vigilancia física con medio humano, sin arma, sin canino, con jornada de 12 horas (7:00 a.m. a  7:00 p.m.) de lunes a viernes laborales. Y jornada de 6 horas (7:00 am a 1:00 pm) los sábados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</si>
</sst>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quot;$&quot;\ * #,##0.00_-;\-&quot;$&quot;\ * #,##0.00_-;_-&quot;$&quot;\ * &quot;-&quot;??_-;_-@_-"/>
    <numFmt numFmtId="165" formatCode="0.0%"/>
    <numFmt numFmtId="166" formatCode="_-* #,##0_-;\-* #,##0_-;_-* &quot;-&quot;??_-;_-@_-"/>
    <numFmt numFmtId="167" formatCode="_(&quot;$&quot;\ * #,##0_);_(&quot;$&quot;\ * \(#,##0\);_(&quot;$&quot;\ * &quot;-&quot;??_);_(@_)"/>
    <numFmt numFmtId="168" formatCode="_-* #,##0.0000000000_-;\-* #,##0.0000000000_-;_-* &quot;-&quot;??_-;_-@_-"/>
    <numFmt numFmtId="169" formatCode="_ &quot;$&quot;\ * #,##0_ ;_ &quot;$&quot;\ * \-#,##0_ ;_ &quot;$&quot;\ * &quot;-&quot;??_ ;_ @_ "/>
    <numFmt numFmtId="170" formatCode="0.0000000000000000"/>
    <numFmt numFmtId="171" formatCode="_-* #,##0.00000000000000000_-;\-* #,##0.00000000000000000_-;_-* &quot;-&quot;??_-;_-@_-"/>
    <numFmt numFmtId="172" formatCode="_-* #,##0.0000000000000000_-;\-* #,##0.0000000000000000_-;_-* &quot;-&quot;??_-;_-@_-"/>
    <numFmt numFmtId="173" formatCode="_-* #,##0.00000_-;\-* #,##0.00000_-;_-* &quot;-&quot;??_-;_-@_-"/>
    <numFmt numFmtId="174" formatCode="_-* #,##0.0000000000000_-;\-* #,##0.0000000000000_-;_-* &quot;-&quot;??_-;_-@_-"/>
    <numFmt numFmtId="175" formatCode="_-* #,##0.000000_-;\-* #,##0.000000_-;_-* &quot;-&quot;??_-;_-@_-"/>
    <numFmt numFmtId="176" formatCode="0.00000000000"/>
    <numFmt numFmtId="177" formatCode="_-* #,##0.00000_-;\-* #,##0.00000_-;_-* &quot;-&quot;?????_-;_-@_-"/>
  </numFmts>
  <fonts count="17"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rial"/>
      <family val="2"/>
    </font>
    <font>
      <b/>
      <sz val="22"/>
      <name val="Arial"/>
      <family val="2"/>
    </font>
    <font>
      <b/>
      <i/>
      <sz val="10"/>
      <name val="Times New Roman"/>
      <family val="1"/>
    </font>
    <font>
      <b/>
      <sz val="10"/>
      <name val="Arial"/>
      <family val="2"/>
    </font>
    <font>
      <b/>
      <sz val="8"/>
      <name val="Arial"/>
      <family val="2"/>
    </font>
    <font>
      <b/>
      <sz val="12"/>
      <color theme="1"/>
      <name val="Aptos Narrow"/>
      <family val="2"/>
      <scheme val="minor"/>
    </font>
    <font>
      <b/>
      <sz val="12"/>
      <name val="Arial"/>
      <family val="2"/>
    </font>
    <font>
      <sz val="7"/>
      <color rgb="FF000000"/>
      <name val="Arial"/>
      <family val="2"/>
    </font>
    <font>
      <b/>
      <sz val="8"/>
      <color indexed="8"/>
      <name val="Arial"/>
      <family val="2"/>
    </font>
    <font>
      <sz val="8"/>
      <color indexed="8"/>
      <name val="Arial"/>
      <family val="2"/>
    </font>
    <font>
      <sz val="10"/>
      <name val="Arial"/>
      <family val="2"/>
    </font>
    <font>
      <sz val="8"/>
      <color theme="1"/>
      <name val="Arial"/>
      <family val="2"/>
    </font>
    <font>
      <b/>
      <sz val="7"/>
      <color rgb="FF000000"/>
      <name val="Arial"/>
      <family val="2"/>
    </font>
    <font>
      <sz val="7"/>
      <name val="Arial"/>
      <family val="2"/>
    </font>
  </fonts>
  <fills count="3">
    <fill>
      <patternFill patternType="none"/>
    </fill>
    <fill>
      <patternFill patternType="gray125"/>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3" fillId="0" borderId="0"/>
  </cellStyleXfs>
  <cellXfs count="94">
    <xf numFmtId="0" fontId="0" fillId="0" borderId="0" xfId="0"/>
    <xf numFmtId="0" fontId="3" fillId="0" borderId="0" xfId="0" applyFont="1"/>
    <xf numFmtId="0" fontId="3" fillId="0" borderId="0" xfId="0" applyFont="1" applyProtection="1">
      <protection locked="0"/>
    </xf>
    <xf numFmtId="0" fontId="5" fillId="0" borderId="0" xfId="0" applyFont="1" applyAlignment="1">
      <alignment wrapText="1"/>
    </xf>
    <xf numFmtId="0" fontId="7" fillId="0" borderId="1" xfId="0" applyFont="1" applyBorder="1" applyAlignment="1">
      <alignment horizontal="center" vertical="center"/>
    </xf>
    <xf numFmtId="0" fontId="7" fillId="0" borderId="0" xfId="0" applyFont="1" applyAlignment="1">
      <alignment horizontal="center" vertical="center"/>
    </xf>
    <xf numFmtId="0" fontId="3" fillId="0" borderId="1" xfId="0" applyFont="1" applyBorder="1" applyAlignment="1">
      <alignment horizontal="center" vertical="center" wrapText="1"/>
    </xf>
    <xf numFmtId="1" fontId="3" fillId="0" borderId="1" xfId="0" applyNumberFormat="1" applyFont="1" applyBorder="1" applyAlignment="1">
      <alignment horizontal="center"/>
    </xf>
    <xf numFmtId="0" fontId="3" fillId="0" borderId="0" xfId="0" applyFont="1" applyAlignment="1">
      <alignment horizontal="center"/>
    </xf>
    <xf numFmtId="2" fontId="3" fillId="0" borderId="1" xfId="0" applyNumberFormat="1" applyFont="1" applyBorder="1" applyAlignment="1">
      <alignment horizontal="center"/>
    </xf>
    <xf numFmtId="9" fontId="3" fillId="0" borderId="1" xfId="0" applyNumberFormat="1" applyFont="1" applyBorder="1" applyAlignment="1">
      <alignment horizontal="center"/>
    </xf>
    <xf numFmtId="9" fontId="3" fillId="0" borderId="0" xfId="0" applyNumberFormat="1" applyFont="1" applyAlignment="1">
      <alignment horizontal="center"/>
    </xf>
    <xf numFmtId="10" fontId="3" fillId="0" borderId="2" xfId="0" applyNumberFormat="1" applyFont="1" applyBorder="1" applyAlignment="1" applyProtection="1">
      <alignment horizontal="center"/>
      <protection hidden="1"/>
    </xf>
    <xf numFmtId="165" fontId="3" fillId="0" borderId="0" xfId="0" applyNumberFormat="1" applyFont="1" applyAlignment="1" applyProtection="1">
      <alignment horizontal="center"/>
      <protection hidden="1"/>
    </xf>
    <xf numFmtId="0" fontId="7" fillId="0" borderId="1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pplyProtection="1">
      <alignment horizontal="center" vertical="center" wrapText="1"/>
      <protection locked="0"/>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0" xfId="0" applyFont="1" applyProtection="1">
      <protection locked="0"/>
    </xf>
    <xf numFmtId="0" fontId="3" fillId="0" borderId="1" xfId="0" applyFont="1" applyBorder="1" applyAlignment="1">
      <alignment vertical="center" wrapText="1"/>
    </xf>
    <xf numFmtId="43" fontId="3" fillId="0" borderId="1" xfId="1" applyFont="1" applyFill="1" applyBorder="1" applyAlignment="1">
      <alignment vertical="center" wrapText="1"/>
    </xf>
    <xf numFmtId="0" fontId="3" fillId="0" borderId="4" xfId="0" applyFont="1" applyBorder="1" applyAlignment="1">
      <alignment vertical="center" wrapText="1"/>
    </xf>
    <xf numFmtId="0" fontId="3" fillId="0" borderId="1" xfId="0" applyFont="1" applyBorder="1" applyAlignment="1">
      <alignment horizontal="center"/>
    </xf>
    <xf numFmtId="0" fontId="3" fillId="0" borderId="1" xfId="0" applyFont="1" applyBorder="1" applyAlignment="1">
      <alignment horizontal="center" wrapText="1"/>
    </xf>
    <xf numFmtId="0" fontId="10" fillId="0" borderId="1" xfId="3" applyFont="1" applyBorder="1" applyAlignment="1">
      <alignment vertical="center" wrapText="1"/>
    </xf>
    <xf numFmtId="9" fontId="3" fillId="0" borderId="1" xfId="2" applyFont="1" applyFill="1" applyBorder="1" applyAlignment="1" applyProtection="1">
      <alignment horizontal="center" wrapText="1"/>
    </xf>
    <xf numFmtId="166" fontId="3" fillId="2" borderId="1" xfId="1" applyNumberFormat="1" applyFont="1" applyFill="1" applyBorder="1" applyAlignment="1" applyProtection="1">
      <alignment vertical="center" wrapText="1"/>
      <protection locked="0"/>
    </xf>
    <xf numFmtId="166" fontId="3" fillId="0" borderId="1" xfId="1" applyNumberFormat="1" applyFont="1" applyFill="1" applyBorder="1" applyAlignment="1">
      <alignment vertical="center" wrapText="1"/>
    </xf>
    <xf numFmtId="166" fontId="12" fillId="0" borderId="1" xfId="1" applyNumberFormat="1" applyFont="1" applyFill="1" applyBorder="1" applyAlignment="1">
      <alignment wrapText="1"/>
    </xf>
    <xf numFmtId="0" fontId="3" fillId="0" borderId="1" xfId="4" applyFont="1" applyBorder="1" applyAlignment="1">
      <alignment horizontal="center" vertical="center" wrapText="1"/>
    </xf>
    <xf numFmtId="166" fontId="14" fillId="2" borderId="1" xfId="1" applyNumberFormat="1" applyFont="1" applyFill="1" applyBorder="1" applyAlignment="1" applyProtection="1">
      <alignment horizontal="center" vertical="center" wrapText="1"/>
      <protection locked="0"/>
    </xf>
    <xf numFmtId="0" fontId="3" fillId="0" borderId="1" xfId="0" applyFont="1" applyBorder="1"/>
    <xf numFmtId="0" fontId="7" fillId="0" borderId="1" xfId="0" applyFont="1" applyBorder="1"/>
    <xf numFmtId="43" fontId="3" fillId="0" borderId="1" xfId="1" applyFont="1" applyFill="1" applyBorder="1" applyProtection="1">
      <protection locked="0"/>
    </xf>
    <xf numFmtId="167" fontId="3" fillId="0" borderId="1" xfId="0" applyNumberFormat="1" applyFont="1" applyBorder="1" applyProtection="1">
      <protection locked="0"/>
    </xf>
    <xf numFmtId="166" fontId="7" fillId="0" borderId="4" xfId="1" applyNumberFormat="1" applyFont="1" applyFill="1" applyBorder="1" applyAlignment="1">
      <alignment vertical="center"/>
    </xf>
    <xf numFmtId="43" fontId="3" fillId="0" borderId="0" xfId="1" applyFont="1" applyFill="1" applyProtection="1">
      <protection locked="0"/>
    </xf>
    <xf numFmtId="164" fontId="3" fillId="0" borderId="0" xfId="0" applyNumberFormat="1" applyFont="1"/>
    <xf numFmtId="166" fontId="3" fillId="0" borderId="0" xfId="1" applyNumberFormat="1" applyFont="1" applyFill="1"/>
    <xf numFmtId="166" fontId="3" fillId="0" borderId="0" xfId="1" applyNumberFormat="1" applyFont="1" applyFill="1" applyProtection="1">
      <protection locked="0"/>
    </xf>
    <xf numFmtId="168" fontId="3" fillId="0" borderId="0" xfId="1" applyNumberFormat="1" applyFont="1" applyFill="1" applyProtection="1">
      <protection locked="0"/>
    </xf>
    <xf numFmtId="169" fontId="3" fillId="0" borderId="0" xfId="0" applyNumberFormat="1" applyFont="1" applyProtection="1">
      <protection locked="0"/>
    </xf>
    <xf numFmtId="170" fontId="3" fillId="0" borderId="0" xfId="0" applyNumberFormat="1" applyFont="1" applyProtection="1">
      <protection locked="0"/>
    </xf>
    <xf numFmtId="171" fontId="3" fillId="0" borderId="0" xfId="0" applyNumberFormat="1" applyFont="1" applyProtection="1">
      <protection locked="0"/>
    </xf>
    <xf numFmtId="166" fontId="3" fillId="0" borderId="0" xfId="0" applyNumberFormat="1" applyFont="1" applyProtection="1">
      <protection locked="0"/>
    </xf>
    <xf numFmtId="166" fontId="3" fillId="0" borderId="0" xfId="1" applyNumberFormat="1" applyFont="1" applyProtection="1">
      <protection locked="0"/>
    </xf>
    <xf numFmtId="10" fontId="3" fillId="0" borderId="0" xfId="2" applyNumberFormat="1" applyFont="1" applyFill="1" applyProtection="1">
      <protection locked="0"/>
    </xf>
    <xf numFmtId="172" fontId="3" fillId="0" borderId="0" xfId="0" applyNumberFormat="1" applyFont="1" applyProtection="1">
      <protection locked="0"/>
    </xf>
    <xf numFmtId="166" fontId="3" fillId="0" borderId="0" xfId="2" applyNumberFormat="1" applyFont="1" applyFill="1" applyProtection="1">
      <protection locked="0"/>
    </xf>
    <xf numFmtId="9" fontId="3" fillId="0" borderId="0" xfId="2" applyFont="1" applyFill="1" applyProtection="1">
      <protection locked="0"/>
    </xf>
    <xf numFmtId="43" fontId="3" fillId="0" borderId="0" xfId="0" applyNumberFormat="1" applyFont="1" applyProtection="1">
      <protection locked="0"/>
    </xf>
    <xf numFmtId="173" fontId="3" fillId="0" borderId="0" xfId="0" applyNumberFormat="1" applyFont="1" applyProtection="1">
      <protection locked="0"/>
    </xf>
    <xf numFmtId="174" fontId="3" fillId="0" borderId="0" xfId="0" applyNumberFormat="1" applyFont="1" applyProtection="1">
      <protection locked="0"/>
    </xf>
    <xf numFmtId="0" fontId="16" fillId="0" borderId="0" xfId="0" applyFont="1" applyProtection="1">
      <protection locked="0"/>
    </xf>
    <xf numFmtId="175" fontId="3" fillId="0" borderId="0" xfId="0" applyNumberFormat="1" applyFont="1" applyProtection="1">
      <protection locked="0"/>
    </xf>
    <xf numFmtId="176" fontId="3" fillId="0" borderId="0" xfId="0" applyNumberFormat="1" applyFont="1" applyProtection="1">
      <protection locked="0"/>
    </xf>
    <xf numFmtId="177" fontId="3" fillId="0" borderId="0" xfId="0" applyNumberFormat="1" applyFont="1" applyProtection="1">
      <protection locked="0"/>
    </xf>
    <xf numFmtId="1" fontId="3" fillId="0" borderId="0" xfId="0" applyNumberFormat="1" applyFont="1" applyProtection="1">
      <protection locked="0"/>
    </xf>
    <xf numFmtId="0" fontId="11" fillId="0" borderId="5" xfId="0" applyFont="1" applyBorder="1" applyAlignment="1">
      <alignment horizontal="center" wrapText="1"/>
    </xf>
    <xf numFmtId="0" fontId="11" fillId="0" borderId="6" xfId="0" applyFont="1" applyBorder="1" applyAlignment="1">
      <alignment horizontal="center" wrapText="1"/>
    </xf>
    <xf numFmtId="0" fontId="11" fillId="0" borderId="7" xfId="0" applyFont="1" applyBorder="1" applyAlignment="1">
      <alignment horizont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3" fillId="0" borderId="1" xfId="0" applyFont="1" applyBorder="1" applyAlignment="1">
      <alignment horizontal="left"/>
    </xf>
    <xf numFmtId="0" fontId="0" fillId="0" borderId="1" xfId="0" applyBorder="1"/>
    <xf numFmtId="0" fontId="3" fillId="0" borderId="5" xfId="0" applyFont="1" applyBorder="1" applyAlignment="1">
      <alignment horizontal="left"/>
    </xf>
    <xf numFmtId="0" fontId="3" fillId="0" borderId="6" xfId="0" applyFont="1" applyBorder="1" applyAlignment="1">
      <alignment horizontal="left"/>
    </xf>
    <xf numFmtId="0" fontId="3" fillId="0" borderId="7" xfId="0" applyFont="1" applyBorder="1" applyAlignment="1">
      <alignment horizontal="left"/>
    </xf>
    <xf numFmtId="0" fontId="7" fillId="0" borderId="8" xfId="0" applyFont="1" applyBorder="1" applyAlignment="1">
      <alignment horizontal="center"/>
    </xf>
    <xf numFmtId="0" fontId="7" fillId="0" borderId="9" xfId="0" applyFont="1" applyBorder="1" applyAlignment="1">
      <alignment horizontal="center"/>
    </xf>
    <xf numFmtId="0" fontId="7" fillId="0" borderId="10" xfId="0" applyFont="1" applyBorder="1" applyAlignment="1">
      <alignment horizontal="center"/>
    </xf>
    <xf numFmtId="0" fontId="7" fillId="0" borderId="8" xfId="0" applyFont="1" applyBorder="1" applyAlignment="1" applyProtection="1">
      <alignment horizontal="center"/>
      <protection locked="0"/>
    </xf>
    <xf numFmtId="0" fontId="7" fillId="0" borderId="9" xfId="0" applyFont="1" applyBorder="1" applyAlignment="1" applyProtection="1">
      <alignment horizontal="center"/>
      <protection locked="0"/>
    </xf>
    <xf numFmtId="0" fontId="7" fillId="0" borderId="10" xfId="0" applyFont="1" applyBorder="1" applyAlignment="1" applyProtection="1">
      <alignment horizontal="center"/>
      <protection locked="0"/>
    </xf>
    <xf numFmtId="0" fontId="4" fillId="0" borderId="0" xfId="0" applyFont="1" applyAlignment="1">
      <alignment horizontal="center"/>
    </xf>
    <xf numFmtId="0" fontId="6" fillId="0" borderId="0" xfId="0" applyFont="1" applyAlignment="1">
      <alignment horizontal="center" vertical="center" wrapText="1"/>
    </xf>
    <xf numFmtId="0" fontId="7" fillId="0" borderId="1" xfId="0" applyFont="1" applyBorder="1" applyAlignment="1">
      <alignment horizontal="center" vertical="center"/>
    </xf>
    <xf numFmtId="0" fontId="0" fillId="0" borderId="1" xfId="0" applyBorder="1" applyAlignment="1">
      <alignment vertical="center"/>
    </xf>
    <xf numFmtId="0" fontId="7" fillId="0" borderId="1" xfId="0" applyFont="1" applyBorder="1" applyAlignment="1">
      <alignment horizontal="left" wrapText="1"/>
    </xf>
    <xf numFmtId="0" fontId="2" fillId="0" borderId="1" xfId="0" applyFont="1" applyBorder="1" applyAlignment="1">
      <alignment wrapText="1"/>
    </xf>
    <xf numFmtId="0" fontId="8" fillId="2" borderId="2" xfId="0" applyFont="1" applyFill="1" applyBorder="1" applyAlignment="1">
      <alignment horizontal="center"/>
    </xf>
    <xf numFmtId="0" fontId="8" fillId="2" borderId="3" xfId="0" applyFont="1" applyFill="1" applyBorder="1" applyAlignment="1">
      <alignment horizontal="center"/>
    </xf>
    <xf numFmtId="0" fontId="8" fillId="2" borderId="4" xfId="0" applyFont="1" applyFill="1" applyBorder="1" applyAlignment="1">
      <alignment horizontal="center"/>
    </xf>
    <xf numFmtId="0" fontId="9" fillId="0" borderId="1" xfId="0" applyFont="1" applyBorder="1" applyAlignment="1">
      <alignment horizontal="left" vertical="center" wrapText="1"/>
    </xf>
    <xf numFmtId="0" fontId="8" fillId="0" borderId="1" xfId="0" applyFont="1" applyBorder="1"/>
  </cellXfs>
  <cellStyles count="5">
    <cellStyle name="Millares" xfId="1" builtinId="3"/>
    <cellStyle name="Normal" xfId="0" builtinId="0"/>
    <cellStyle name="Normal 11 2" xfId="3" xr:uid="{951E8BD5-62C0-492E-9C90-26EDD9D517E3}"/>
    <cellStyle name="Normal 3 2" xfId="4" xr:uid="{22DBF0DB-B870-4D27-9AEF-72C8E27FFB5D}"/>
    <cellStyle name="Porcentaje" xfId="2" builtinId="5"/>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114300</xdr:rowOff>
    </xdr:from>
    <xdr:ext cx="2228850" cy="495300"/>
    <xdr:pic>
      <xdr:nvPicPr>
        <xdr:cNvPr id="2" name="Imagen 2" descr="Logo CSJ RGB_01">
          <a:extLst>
            <a:ext uri="{FF2B5EF4-FFF2-40B4-BE49-F238E27FC236}">
              <a16:creationId xmlns:a16="http://schemas.microsoft.com/office/drawing/2014/main" id="{D85F215A-A306-4035-A0E6-D332B8CA6D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4300"/>
          <a:ext cx="222885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ocs.supersalud.gov.co/Users/ana.cipagauta/Desktop/ana/CATALOGO%20Ago%202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afiliaciones\Users\Users\Usuario\Desktop\PLANTILLA%20CARGA%20MASIVA%20INGRESO%20TRABAJADOR%200807201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Yulieth/AppData/Local/Temp/Rar$DIa6844.49260/ASEOS%20COLOMBIANOS%20ASEOCOLBA.xlsb" TargetMode="External"/><Relationship Id="rId1" Type="http://schemas.openxmlformats.org/officeDocument/2006/relationships/externalLinkPath" Target="/Users/Yulieth/AppData/Local/Temp/Rar$DIa6844.49260/ASEOS%20COLOMBIANOS%20ASEOCOLBA.xlsb"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RAMA%20JUDICIAL%202019\SERVICIO%20DE%20VIGILANCIA\ESTUDIO%20DE%20MERCADO%202019-2021%20SERVICIO%20DE%20VIGILANCI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ROVIG"/>
      <sheetName val="Hoja1"/>
      <sheetName val="Vigentes"/>
      <sheetName val="Eliminados"/>
      <sheetName val="Hoja2"/>
      <sheetName val="Hoja3"/>
      <sheetName val="041"/>
      <sheetName val="Hoja4"/>
      <sheetName val="054"/>
      <sheetName val="543_548"/>
      <sheetName val="Hoja6"/>
      <sheetName val="544-547"/>
      <sheetName val="Hoja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ILLA"/>
      <sheetName val="ACTIVIDADES ECONOMICAS"/>
      <sheetName val="EPS"/>
      <sheetName val="AFP"/>
      <sheetName val="TIPO Y SUBTIPO COTIZANTE"/>
      <sheetName val="MUNICIPIOS-DEPARTAMENTOS"/>
      <sheetName val="OTROS"/>
      <sheetName val="Hoja1"/>
    </sheetNames>
    <sheetDataSet>
      <sheetData sheetId="0" refreshError="1"/>
      <sheetData sheetId="1" refreshError="1"/>
      <sheetData sheetId="2">
        <row r="2">
          <cell r="E2" t="str">
            <v>153-A.I.C- ASOCIACIÓN INDÍGENA DEL CAUCA</v>
          </cell>
        </row>
        <row r="3">
          <cell r="E3" t="str">
            <v>001-ALIANSALUD ENTIDAD PROMOTORA DE SALUD S.A.</v>
          </cell>
        </row>
        <row r="4">
          <cell r="E4" t="str">
            <v>144-AMBUQ - ASOC. MUTUAL BARRIOS UNIDOS QUIBDÓ E.S.S.</v>
          </cell>
        </row>
        <row r="5">
          <cell r="E5" t="str">
            <v>154-ANAS WAYUU - ENTIDAD PROMOTORA DE SALUD</v>
          </cell>
        </row>
        <row r="6">
          <cell r="E6" t="str">
            <v>143-ASMET SALUD - ASOCIACIÓN MUTUAL LA ESPERANZA</v>
          </cell>
        </row>
        <row r="7">
          <cell r="E7" t="str">
            <v>150-ASOCIACIÓN MUTUAL SER EMPRESA SOLIDARIA SALUD ESS</v>
          </cell>
        </row>
        <row r="8">
          <cell r="E8" t="str">
            <v>027-BARRANQUILLA SANA  E P S</v>
          </cell>
        </row>
        <row r="9">
          <cell r="E9" t="str">
            <v>003-CAFESALUD EPS</v>
          </cell>
        </row>
        <row r="10">
          <cell r="E10" t="str">
            <v>135-CAJA DE COMPENSACIÓN FAMILIAR CAFAM EPS</v>
          </cell>
        </row>
        <row r="11">
          <cell r="E11" t="str">
            <v>142-CAJACOPI ATLANTICO - CCF</v>
          </cell>
        </row>
        <row r="12">
          <cell r="E12" t="str">
            <v>024-CAJANAL  E P S</v>
          </cell>
        </row>
        <row r="13">
          <cell r="E13" t="str">
            <v>028-CALISALUD  E P S</v>
          </cell>
        </row>
        <row r="14">
          <cell r="E14" t="str">
            <v>159-CAPITAL SALUD EPSS S.A.S..</v>
          </cell>
        </row>
        <row r="15">
          <cell r="E15" t="str">
            <v>020-CAPRECOM - CAJA DE PREVISIÓN SOCIAL DE COMUNIC EPS</v>
          </cell>
        </row>
        <row r="16">
          <cell r="E16" t="str">
            <v>025-CAPRESOCA EPS</v>
          </cell>
        </row>
        <row r="17">
          <cell r="E17" t="str">
            <v>011-COLSEGUROS  E P S</v>
          </cell>
        </row>
        <row r="18">
          <cell r="E18" t="str">
            <v>146-COLSUBSIDIO EPS - CAJA CBIANA DE SUBSIDIO FAMILIAR</v>
          </cell>
        </row>
        <row r="19">
          <cell r="E19" t="str">
            <v>133-COMFABOY EPS-CCF DE BOYACÁ</v>
          </cell>
        </row>
        <row r="20">
          <cell r="E20" t="str">
            <v>147-COMFACHOCO-CCF DEL CHOCÓ</v>
          </cell>
        </row>
        <row r="21">
          <cell r="E21" t="str">
            <v>134-COMFACOR EPS-CCF DE CÓRDOBA</v>
          </cell>
        </row>
        <row r="22">
          <cell r="E22" t="str">
            <v>141-COMFACUNDI - CCF DE CUNDINAMARCA</v>
          </cell>
        </row>
        <row r="23">
          <cell r="E23" t="str">
            <v>163-COMFAMILIAR CARTAGENA</v>
          </cell>
        </row>
        <row r="24">
          <cell r="E24" t="str">
            <v>136-COMFAMILIAR DE LA GUAJIRA EPS-CCF</v>
          </cell>
        </row>
        <row r="25">
          <cell r="E25" t="str">
            <v>137-COMFAMILIAR HUILA EPS-CCF</v>
          </cell>
        </row>
        <row r="26">
          <cell r="E26" t="str">
            <v>139-COMFAMILIAR NARIÑO EPS-CCF</v>
          </cell>
        </row>
        <row r="27">
          <cell r="E27" t="str">
            <v>140-COMFASUCRE EPS-CCF DE SUCRE</v>
          </cell>
        </row>
        <row r="28">
          <cell r="E28" t="str">
            <v>009-COMFENALCO ANTIOQUIA  E P S</v>
          </cell>
        </row>
        <row r="29">
          <cell r="E29" t="str">
            <v>032-COMFENALCO QUINDIO</v>
          </cell>
        </row>
        <row r="30">
          <cell r="E30" t="str">
            <v>012-COMFENALCO VALLE EPS</v>
          </cell>
        </row>
        <row r="31">
          <cell r="E31" t="str">
            <v>149-COMPARTA - COOPERATIVA DE SALUD COMUNITARIA</v>
          </cell>
        </row>
        <row r="32">
          <cell r="E32" t="str">
            <v>008-COMPENSAR ENTIDAD PROMOTORA DE SALUD</v>
          </cell>
        </row>
        <row r="33">
          <cell r="E33" t="str">
            <v>999-CONSORCIO FISALUD(FOSYGA)</v>
          </cell>
        </row>
        <row r="34">
          <cell r="E34" t="str">
            <v>022-CONVIDA  - ENTIDAD ADM DE RÉGIMEN SUBSIDIADO</v>
          </cell>
        </row>
        <row r="35">
          <cell r="E35" t="str">
            <v>016-COOMEVA EPS. S.A.</v>
          </cell>
        </row>
        <row r="36">
          <cell r="E36" t="str">
            <v>138-COOSALUD E.S.S. COOP.SALUD Y DLLO INT.  CARTAGENA</v>
          </cell>
        </row>
        <row r="37">
          <cell r="E37" t="str">
            <v>023-CRUZ BLANCA ENTIDAD PROMOTORA DE SALUD S.A.</v>
          </cell>
        </row>
        <row r="38">
          <cell r="E38" t="str">
            <v>151-DUSAKAWI- ASOCIACIÓN  CABILDOS INDÍGENAS DEL CESAR</v>
          </cell>
        </row>
        <row r="39">
          <cell r="E39" t="str">
            <v>030-E P S  CONDOR  S A</v>
          </cell>
        </row>
        <row r="40">
          <cell r="E40" t="str">
            <v>029-E P S  DE CALDAS  S A</v>
          </cell>
        </row>
        <row r="41">
          <cell r="E41" t="str">
            <v>145-ECOOPSOS -ENTIDAD COOPERATIVA SOLIDARIA DE SALUD</v>
          </cell>
        </row>
        <row r="42">
          <cell r="E42" t="str">
            <v>131-EMDISALUD ESS - EMPRESA MUTUAL DLLO INT. SALUD</v>
          </cell>
        </row>
        <row r="43">
          <cell r="E43" t="str">
            <v>148-EMSSANAR E.S.S. EMPRESA SOLIDARIA DE SALUD NARINO</v>
          </cell>
        </row>
        <row r="44">
          <cell r="E44" t="str">
            <v>155-ENTIDAD PROMOTORA DE SALUD MALLAMAS EPSI</v>
          </cell>
        </row>
        <row r="45">
          <cell r="E45" t="str">
            <v xml:space="preserve"> C02-EPS ALIANZA MEDELLIN ANTIOQUIA E.P.S. SAS </v>
          </cell>
        </row>
        <row r="46">
          <cell r="E46" t="str">
            <v>041-EPS COLPATRIA</v>
          </cell>
        </row>
        <row r="47">
          <cell r="E47" t="str">
            <v>017-EPS FAMISANAR LTDA</v>
          </cell>
        </row>
        <row r="48">
          <cell r="E48" t="str">
            <v>040-EPS PROGRAMA DE SALUD U DE A</v>
          </cell>
        </row>
        <row r="49">
          <cell r="E49" t="str">
            <v>127-FONDO DE PASIVO SOCIAL FERROCARRILES NACIONALES DE</v>
          </cell>
        </row>
        <row r="50">
          <cell r="E50" t="str">
            <v>039-GOLDEN GROUP S.A. ENTIDAD PROMOTORA DE SALUD</v>
          </cell>
        </row>
        <row r="51">
          <cell r="E51" t="str">
            <v>014-HUMANA VIVIR S A  E P S</v>
          </cell>
        </row>
        <row r="52">
          <cell r="E52" t="str">
            <v>006-ISS  E P S</v>
          </cell>
        </row>
        <row r="53">
          <cell r="E53" t="str">
            <v>152-MANEXKA - ASOC. CABILDOS INDÍG.  RESGUARDO ZENÚ</v>
          </cell>
        </row>
        <row r="54">
          <cell r="E54" t="str">
            <v>045-MEDIMAS EPS S.A.S</v>
          </cell>
        </row>
        <row r="55">
          <cell r="E55" t="str">
            <v>044-MEDIMAS EPS S.A.S</v>
          </cell>
        </row>
        <row r="56">
          <cell r="E56" t="str">
            <v>038-MULTIMÉDICAS EPS</v>
          </cell>
        </row>
        <row r="57">
          <cell r="E57" t="str">
            <v>088-MUNICIPIO DE MEDELLIN</v>
          </cell>
        </row>
        <row r="58">
          <cell r="E58" t="str">
            <v>000-NINGUNA EPS</v>
          </cell>
        </row>
        <row r="59">
          <cell r="E59" t="str">
            <v>037-NUEVA EPS S.A.</v>
          </cell>
        </row>
        <row r="60">
          <cell r="E60" t="str">
            <v>156-PIJAOSALUD EPSI - ENTIDAD PROMOTORA DE SALUD</v>
          </cell>
        </row>
        <row r="61">
          <cell r="E61" t="str">
            <v>035-RED SALUD</v>
          </cell>
        </row>
        <row r="62">
          <cell r="E62" t="str">
            <v>019-RISARALDA  E P S</v>
          </cell>
        </row>
        <row r="63">
          <cell r="E63" t="str">
            <v>034-SALUD COLOMBIA - REGIMEN CONTRIBUTIVO</v>
          </cell>
        </row>
        <row r="64">
          <cell r="E64" t="str">
            <v>015-SALUD COLPATRIA  E P S</v>
          </cell>
        </row>
        <row r="65">
          <cell r="E65" t="str">
            <v>002-SALUD TOTAL S.A. ENTIDAD PROMOTORA DE SALUD</v>
          </cell>
        </row>
        <row r="66">
          <cell r="E66" t="str">
            <v>033-SALUD VIDA S.A. ENTIDAD PROMOTORA DE SALUD</v>
          </cell>
        </row>
        <row r="67">
          <cell r="E67" t="str">
            <v>013-SALUDCOOP EPS</v>
          </cell>
        </row>
        <row r="68">
          <cell r="E68" t="str">
            <v>161-SANIDAD FUERZAS MILITARES</v>
          </cell>
        </row>
        <row r="69">
          <cell r="E69" t="str">
            <v>005-SANITAS  EPS - ENTIDAD PROMOTORA DE SALUD SANITAS</v>
          </cell>
        </row>
        <row r="70">
          <cell r="E70" t="str">
            <v>130-SAVIA SALUD EPS  (COMFAMA)</v>
          </cell>
        </row>
        <row r="71">
          <cell r="E71" t="str">
            <v>031-SELVASALUD S A   E P S</v>
          </cell>
        </row>
        <row r="72">
          <cell r="E72" t="str">
            <v>624-SERVICIO MEDICO Y ODONTOLOGICO EAAB-ESP</v>
          </cell>
        </row>
        <row r="73">
          <cell r="E73" t="str">
            <v>105-SISTEMA UNIVERSITARIO DE SALUD</v>
          </cell>
        </row>
        <row r="74">
          <cell r="E74" t="str">
            <v>026-SOLSALUD  E P S</v>
          </cell>
        </row>
        <row r="75">
          <cell r="E75" t="str">
            <v>018-SOS EPS (OCCIDENTAL DE SALUD S.A)</v>
          </cell>
        </row>
        <row r="76">
          <cell r="E76" t="str">
            <v>036-SSS EMPRESAS PUBLICAS DE MED SERVICIOS MEDICOS</v>
          </cell>
        </row>
        <row r="77">
          <cell r="E77" t="str">
            <v>010-SURA EPS</v>
          </cell>
        </row>
        <row r="78">
          <cell r="E78" t="str">
            <v>007-UNIMEC  E P S</v>
          </cell>
        </row>
        <row r="79">
          <cell r="E79" t="str">
            <v>121-UNISALUD</v>
          </cell>
        </row>
      </sheetData>
      <sheetData sheetId="3">
        <row r="2">
          <cell r="D2" t="str">
            <v>010-COLFONDOS</v>
          </cell>
        </row>
        <row r="3">
          <cell r="D3" t="str">
            <v>004-COLMENA</v>
          </cell>
        </row>
        <row r="4">
          <cell r="D4" t="str">
            <v>001-COLPATRIA</v>
          </cell>
        </row>
        <row r="5">
          <cell r="D5" t="str">
            <v>031-COLPENSIONES</v>
          </cell>
        </row>
        <row r="6">
          <cell r="D6" t="str">
            <v>005-HORIZONTES</v>
          </cell>
        </row>
        <row r="7">
          <cell r="D7" t="str">
            <v>008-ING FONDO DE PENSIONES</v>
          </cell>
        </row>
        <row r="8">
          <cell r="D8" t="str">
            <v>011-INVERTIR</v>
          </cell>
        </row>
        <row r="9">
          <cell r="D9" t="str">
            <v>023-ISS</v>
          </cell>
        </row>
        <row r="10">
          <cell r="D10" t="str">
            <v xml:space="preserve">000-NINGUNA </v>
          </cell>
        </row>
        <row r="11">
          <cell r="D11" t="str">
            <v>009-OLD MUTUAL - SKANDIA</v>
          </cell>
        </row>
        <row r="12">
          <cell r="D12" t="str">
            <v>019-PENSIONAR</v>
          </cell>
        </row>
        <row r="13">
          <cell r="D13" t="str">
            <v>003-PORVENIR</v>
          </cell>
        </row>
        <row r="14">
          <cell r="D14" t="str">
            <v>002-PROTECCION</v>
          </cell>
        </row>
        <row r="15">
          <cell r="D15" t="str">
            <v>027-SSS CAPRECOM</v>
          </cell>
        </row>
        <row r="16">
          <cell r="D16" t="str">
            <v>026-SSS FONDO DE PREVISION SOCIAL DEL CONGRESO</v>
          </cell>
        </row>
        <row r="17">
          <cell r="D17" t="str">
            <v>028-SSS PENSIONES DE ANTIOQUIA</v>
          </cell>
        </row>
      </sheetData>
      <sheetData sheetId="4" refreshError="1"/>
      <sheetData sheetId="5" refreshError="1"/>
      <sheetData sheetId="6">
        <row r="6">
          <cell r="E6" t="str">
            <v>M-MASCULINO</v>
          </cell>
        </row>
        <row r="7">
          <cell r="E7" t="str">
            <v>F-FEMENINO</v>
          </cell>
        </row>
      </sheetData>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olicitud de Cotización General"/>
      <sheetName val="Detalle Bienes de Aseo y Caf"/>
      <sheetName val="Detalle Especificaciones"/>
      <sheetName val="Resumen - CSV"/>
      <sheetName val="Cotizacion Bienes de Aseo y Ca"/>
      <sheetName val="Cotizacion"/>
      <sheetName val="ConsolidadoServicios"/>
      <sheetName val="solCotizacionCSV_es"/>
      <sheetName val="Listas"/>
      <sheetName val="ClasifiPersonal"/>
      <sheetName val="TablaDinamica"/>
      <sheetName val="temp"/>
      <sheetName val="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2">
          <cell r="E2" t="str">
            <v>Sí</v>
          </cell>
        </row>
        <row r="3">
          <cell r="E3" t="str">
            <v>No</v>
          </cell>
        </row>
      </sheetData>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SUMEN VIGILANCIAOK (2)"/>
      <sheetName val="Prueba oferta redondeado modelo"/>
      <sheetName val="ppto oficial"/>
      <sheetName val="ESTUDIO"/>
      <sheetName val="Nª SERVICIOS"/>
      <sheetName val="DETALLE"/>
      <sheetName val="RESUMEN VIGILANCIAOK"/>
      <sheetName val="SEVICOL"/>
      <sheetName val="COVISUR"/>
      <sheetName val="AMCOVIT"/>
      <sheetName val="Hoja3"/>
    </sheetNames>
    <sheetDataSet>
      <sheetData sheetId="0" refreshError="1"/>
      <sheetData sheetId="1" refreshError="1"/>
      <sheetData sheetId="2" refreshError="1"/>
      <sheetData sheetId="3" refreshError="1"/>
      <sheetData sheetId="4" refreshError="1">
        <row r="5">
          <cell r="A5" t="str">
            <v>A</v>
          </cell>
        </row>
        <row r="6">
          <cell r="A6" t="str">
            <v>B</v>
          </cell>
        </row>
        <row r="14">
          <cell r="E14">
            <v>3</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F16A5-DD45-47F0-BDE5-6BD2295CA5F3}">
  <sheetPr>
    <tabColor rgb="FFFF0000"/>
    <pageSetUpPr fitToPage="1"/>
  </sheetPr>
  <dimension ref="A1:AV56"/>
  <sheetViews>
    <sheetView tabSelected="1" topLeftCell="A4" zoomScale="96" zoomScaleNormal="96" workbookViewId="0">
      <pane xSplit="6" ySplit="2" topLeftCell="G23" activePane="bottomRight" state="frozen"/>
      <selection activeCell="F71" sqref="F71"/>
      <selection pane="topRight" activeCell="F71" sqref="F71"/>
      <selection pane="bottomLeft" activeCell="F71" sqref="F71"/>
      <selection pane="bottomRight" activeCell="J26" sqref="J26"/>
    </sheetView>
  </sheetViews>
  <sheetFormatPr baseColWidth="10" defaultColWidth="11.42578125" defaultRowHeight="11.25" x14ac:dyDescent="0.2"/>
  <cols>
    <col min="1" max="1" width="7.5703125" style="2" bestFit="1" customWidth="1"/>
    <col min="2" max="2" width="8.5703125" style="2" customWidth="1"/>
    <col min="3" max="3" width="21.5703125" style="2" customWidth="1"/>
    <col min="4" max="5" width="7.7109375" style="2" customWidth="1"/>
    <col min="6" max="8" width="8.140625" style="2" customWidth="1"/>
    <col min="9" max="9" width="5.85546875" style="2" bestFit="1" customWidth="1"/>
    <col min="10" max="10" width="16.42578125" style="2" customWidth="1"/>
    <col min="11" max="11" width="15.7109375" style="2" customWidth="1"/>
    <col min="12" max="12" width="14" style="2" customWidth="1"/>
    <col min="13" max="13" width="21.7109375" style="2" customWidth="1"/>
    <col min="14" max="14" width="12.7109375" style="2" customWidth="1"/>
    <col min="15" max="15" width="16.7109375" style="2" customWidth="1"/>
    <col min="16" max="16" width="16.42578125" style="2" customWidth="1"/>
    <col min="17" max="17" width="15" style="2" customWidth="1"/>
    <col min="18" max="19" width="15.7109375" style="2" customWidth="1"/>
    <col min="20" max="20" width="16.5703125" style="2" customWidth="1"/>
    <col min="21" max="21" width="16.28515625" style="2" customWidth="1"/>
    <col min="22" max="22" width="13.7109375" style="2" customWidth="1"/>
    <col min="23" max="23" width="14.140625" style="2" customWidth="1"/>
    <col min="24" max="24" width="13.5703125" style="2" customWidth="1"/>
    <col min="25" max="25" width="13.7109375" style="2" bestFit="1" customWidth="1"/>
    <col min="26" max="26" width="13" style="2" customWidth="1"/>
    <col min="27" max="27" width="16.85546875" style="2" customWidth="1"/>
    <col min="28" max="28" width="15.7109375" style="2" customWidth="1"/>
    <col min="29" max="31" width="14" style="2" customWidth="1"/>
    <col min="32" max="32" width="14.42578125" style="2" bestFit="1" customWidth="1"/>
    <col min="33" max="42" width="14.42578125" style="2" customWidth="1"/>
    <col min="43" max="43" width="16.42578125" style="2" bestFit="1" customWidth="1"/>
    <col min="44" max="44" width="17.5703125" style="2" bestFit="1" customWidth="1"/>
    <col min="45" max="47" width="17.5703125" style="2" customWidth="1"/>
    <col min="48" max="48" width="15.28515625" style="2" bestFit="1" customWidth="1"/>
    <col min="49" max="16384" width="11.42578125" style="2"/>
  </cols>
  <sheetData>
    <row r="1" spans="1:48" ht="27.75" x14ac:dyDescent="0.4">
      <c r="A1" s="1"/>
      <c r="B1" s="1"/>
      <c r="C1" s="1"/>
      <c r="D1" s="83" t="s">
        <v>0</v>
      </c>
      <c r="E1" s="83"/>
      <c r="F1" s="83"/>
      <c r="G1" s="83"/>
      <c r="H1" s="83"/>
      <c r="I1" s="83"/>
      <c r="J1" s="83"/>
      <c r="K1" s="83"/>
      <c r="L1" s="83"/>
      <c r="M1" s="83"/>
      <c r="N1" s="83"/>
      <c r="O1" s="83"/>
      <c r="P1" s="83"/>
      <c r="Q1" s="83"/>
      <c r="R1" s="83"/>
      <c r="S1" s="83"/>
      <c r="T1" s="83"/>
      <c r="U1" s="83"/>
    </row>
    <row r="2" spans="1:48" ht="13.5" x14ac:dyDescent="0.25">
      <c r="A2" s="3"/>
      <c r="B2" s="3"/>
      <c r="C2" s="3"/>
      <c r="D2" s="84" t="s">
        <v>1</v>
      </c>
      <c r="E2" s="84"/>
      <c r="F2" s="84"/>
      <c r="G2" s="84"/>
      <c r="H2" s="84"/>
      <c r="I2" s="84"/>
      <c r="J2" s="84"/>
      <c r="K2" s="84"/>
      <c r="L2" s="84"/>
      <c r="M2" s="84"/>
      <c r="N2" s="84"/>
      <c r="O2" s="84"/>
      <c r="P2" s="84"/>
      <c r="Q2" s="84"/>
      <c r="R2" s="84"/>
      <c r="S2" s="84"/>
      <c r="T2" s="84"/>
      <c r="U2" s="84"/>
    </row>
    <row r="3" spans="1:48" ht="13.5" x14ac:dyDescent="0.25">
      <c r="A3" s="3"/>
      <c r="B3" s="3"/>
      <c r="C3" s="3"/>
      <c r="D3" s="84"/>
      <c r="E3" s="84"/>
      <c r="F3" s="84"/>
      <c r="G3" s="84"/>
      <c r="H3" s="84"/>
      <c r="I3" s="84"/>
      <c r="J3" s="84"/>
      <c r="K3" s="84"/>
      <c r="L3" s="84"/>
      <c r="M3" s="84"/>
      <c r="N3" s="84"/>
      <c r="O3" s="84"/>
      <c r="P3" s="84"/>
      <c r="Q3" s="84"/>
      <c r="R3" s="84"/>
      <c r="S3" s="84"/>
      <c r="T3" s="84"/>
      <c r="U3" s="84"/>
    </row>
    <row r="4" spans="1:48" ht="13.5" x14ac:dyDescent="0.25">
      <c r="A4" s="3"/>
      <c r="B4" s="3"/>
      <c r="C4" s="3"/>
      <c r="D4" s="84"/>
      <c r="E4" s="84"/>
      <c r="F4" s="84"/>
      <c r="G4" s="84"/>
      <c r="H4" s="84"/>
      <c r="I4" s="84"/>
      <c r="J4" s="84"/>
      <c r="K4" s="84"/>
      <c r="L4" s="84"/>
      <c r="M4" s="84"/>
      <c r="N4" s="84"/>
      <c r="O4" s="84"/>
      <c r="P4" s="84"/>
      <c r="Q4" s="84"/>
      <c r="R4" s="84"/>
      <c r="S4" s="84"/>
      <c r="T4" s="84"/>
      <c r="U4" s="84"/>
    </row>
    <row r="5" spans="1:48" ht="13.5" x14ac:dyDescent="0.25">
      <c r="A5" s="3"/>
      <c r="B5" s="3"/>
      <c r="C5" s="3"/>
      <c r="D5" s="84"/>
      <c r="E5" s="84"/>
      <c r="F5" s="84"/>
      <c r="G5" s="84"/>
      <c r="H5" s="84"/>
      <c r="I5" s="84"/>
      <c r="J5" s="84"/>
      <c r="K5" s="84"/>
      <c r="L5" s="84"/>
      <c r="M5" s="84"/>
      <c r="N5" s="84"/>
      <c r="O5" s="84"/>
      <c r="P5" s="84"/>
      <c r="Q5" s="84"/>
      <c r="R5" s="84"/>
      <c r="S5" s="84"/>
      <c r="T5" s="84"/>
      <c r="U5" s="84"/>
    </row>
    <row r="6" spans="1:48" x14ac:dyDescent="0.2">
      <c r="A6" s="1"/>
      <c r="B6" s="1"/>
      <c r="C6" s="1"/>
      <c r="D6" s="1"/>
      <c r="E6" s="1"/>
      <c r="F6" s="1"/>
      <c r="G6" s="1"/>
      <c r="H6" s="1"/>
      <c r="I6" s="1"/>
      <c r="J6" s="1"/>
      <c r="K6" s="1"/>
      <c r="L6" s="1"/>
      <c r="M6" s="1"/>
      <c r="N6" s="1"/>
      <c r="O6" s="1"/>
      <c r="P6" s="1"/>
      <c r="Q6" s="1"/>
      <c r="R6" s="1"/>
      <c r="S6" s="1"/>
      <c r="T6" s="1"/>
      <c r="U6" s="1"/>
    </row>
    <row r="7" spans="1:48" ht="15" x14ac:dyDescent="0.2">
      <c r="A7" s="85" t="s">
        <v>2</v>
      </c>
      <c r="B7" s="85"/>
      <c r="C7" s="85"/>
      <c r="D7" s="85"/>
      <c r="E7" s="85"/>
      <c r="F7" s="86"/>
      <c r="G7" s="86"/>
      <c r="H7" s="86"/>
      <c r="I7" s="86"/>
      <c r="J7" s="4" t="s">
        <v>3</v>
      </c>
      <c r="K7" s="5"/>
      <c r="L7" s="5"/>
      <c r="M7" s="5"/>
      <c r="N7" s="1"/>
      <c r="O7" s="1"/>
      <c r="P7" s="1"/>
      <c r="Q7" s="1"/>
      <c r="R7" s="1"/>
      <c r="S7" s="1"/>
      <c r="T7" s="1"/>
      <c r="U7" s="1"/>
    </row>
    <row r="8" spans="1:48" ht="33.75" x14ac:dyDescent="0.25">
      <c r="A8" s="87" t="s">
        <v>4</v>
      </c>
      <c r="B8" s="87"/>
      <c r="C8" s="87"/>
      <c r="D8" s="87"/>
      <c r="E8" s="87"/>
      <c r="F8" s="88"/>
      <c r="G8" s="88"/>
      <c r="H8" s="88"/>
      <c r="I8" s="88"/>
      <c r="J8" s="6" t="s">
        <v>5</v>
      </c>
      <c r="K8" s="5"/>
      <c r="L8" s="5"/>
      <c r="M8" s="5"/>
      <c r="N8" s="1"/>
      <c r="O8" s="1"/>
      <c r="P8" s="1"/>
      <c r="Q8" s="1"/>
      <c r="R8" s="1"/>
      <c r="S8" s="1"/>
      <c r="T8" s="1"/>
      <c r="U8" s="1"/>
    </row>
    <row r="9" spans="1:48" ht="15" x14ac:dyDescent="0.25">
      <c r="A9" s="72" t="s">
        <v>6</v>
      </c>
      <c r="B9" s="72"/>
      <c r="C9" s="72"/>
      <c r="D9" s="72"/>
      <c r="E9" s="72"/>
      <c r="F9" s="73"/>
      <c r="G9" s="73"/>
      <c r="H9" s="73"/>
      <c r="I9" s="73"/>
      <c r="J9" s="7">
        <v>1</v>
      </c>
      <c r="K9" s="8"/>
      <c r="L9" s="8"/>
      <c r="M9" s="8"/>
      <c r="N9" s="1"/>
      <c r="O9" s="1"/>
      <c r="P9" s="1"/>
      <c r="Q9" s="1"/>
      <c r="R9" s="1"/>
      <c r="S9" s="1"/>
      <c r="T9" s="1"/>
      <c r="U9" s="1"/>
    </row>
    <row r="10" spans="1:48" ht="15" customHeight="1" x14ac:dyDescent="0.25">
      <c r="A10" s="72" t="s">
        <v>7</v>
      </c>
      <c r="B10" s="72"/>
      <c r="C10" s="72"/>
      <c r="D10" s="72"/>
      <c r="E10" s="72"/>
      <c r="F10" s="73"/>
      <c r="G10" s="73"/>
      <c r="H10" s="73"/>
      <c r="I10" s="73"/>
      <c r="J10" s="9">
        <v>12</v>
      </c>
      <c r="K10" s="8"/>
      <c r="L10" s="8"/>
      <c r="M10" s="8"/>
      <c r="N10" s="1"/>
      <c r="O10" s="89"/>
      <c r="P10" s="92" t="s">
        <v>8</v>
      </c>
      <c r="Q10" s="92"/>
      <c r="R10" s="93"/>
      <c r="S10" s="93"/>
      <c r="T10" s="93"/>
      <c r="U10" s="93"/>
    </row>
    <row r="11" spans="1:48" ht="15" customHeight="1" x14ac:dyDescent="0.25">
      <c r="A11" s="72" t="s">
        <v>9</v>
      </c>
      <c r="B11" s="72"/>
      <c r="C11" s="72"/>
      <c r="D11" s="72"/>
      <c r="E11" s="72"/>
      <c r="F11" s="73"/>
      <c r="G11" s="73"/>
      <c r="H11" s="73"/>
      <c r="I11" s="73"/>
      <c r="J11" s="9">
        <v>12</v>
      </c>
      <c r="K11" s="8"/>
      <c r="L11" s="8"/>
      <c r="M11" s="8"/>
      <c r="N11" s="1"/>
      <c r="O11" s="90"/>
      <c r="P11" s="92"/>
      <c r="Q11" s="92"/>
      <c r="R11" s="93"/>
      <c r="S11" s="93"/>
      <c r="T11" s="93"/>
      <c r="U11" s="93"/>
    </row>
    <row r="12" spans="1:48" ht="15" customHeight="1" x14ac:dyDescent="0.25">
      <c r="A12" s="72" t="s">
        <v>10</v>
      </c>
      <c r="B12" s="72"/>
      <c r="C12" s="72"/>
      <c r="D12" s="72"/>
      <c r="E12" s="72"/>
      <c r="F12" s="73"/>
      <c r="G12" s="73"/>
      <c r="H12" s="73"/>
      <c r="I12" s="73"/>
      <c r="J12" s="9">
        <v>12</v>
      </c>
      <c r="K12" s="8"/>
      <c r="L12" s="8"/>
      <c r="M12" s="8"/>
      <c r="N12" s="1"/>
      <c r="O12" s="90"/>
      <c r="P12" s="92"/>
      <c r="Q12" s="92"/>
      <c r="R12" s="93"/>
      <c r="S12" s="93"/>
      <c r="T12" s="93"/>
      <c r="U12" s="93"/>
    </row>
    <row r="13" spans="1:48" ht="15" customHeight="1" x14ac:dyDescent="0.25">
      <c r="A13" s="72" t="s">
        <v>11</v>
      </c>
      <c r="B13" s="72"/>
      <c r="C13" s="72"/>
      <c r="D13" s="72"/>
      <c r="E13" s="72"/>
      <c r="F13" s="73"/>
      <c r="G13" s="73"/>
      <c r="H13" s="73"/>
      <c r="I13" s="73"/>
      <c r="J13" s="9">
        <v>7</v>
      </c>
      <c r="K13" s="8"/>
      <c r="L13" s="8"/>
      <c r="M13" s="8"/>
      <c r="N13" s="1"/>
      <c r="O13" s="90"/>
      <c r="P13" s="92"/>
      <c r="Q13" s="92"/>
      <c r="R13" s="93"/>
      <c r="S13" s="93"/>
      <c r="T13" s="93"/>
      <c r="U13" s="93"/>
    </row>
    <row r="14" spans="1:48" ht="15" customHeight="1" x14ac:dyDescent="0.25">
      <c r="A14" s="72" t="s">
        <v>12</v>
      </c>
      <c r="B14" s="72"/>
      <c r="C14" s="72"/>
      <c r="D14" s="72"/>
      <c r="E14" s="72"/>
      <c r="F14" s="73"/>
      <c r="G14" s="73"/>
      <c r="H14" s="73"/>
      <c r="I14" s="73"/>
      <c r="J14" s="10">
        <v>0.19</v>
      </c>
      <c r="K14" s="11"/>
      <c r="L14" s="11"/>
      <c r="M14" s="11"/>
      <c r="N14" s="1"/>
      <c r="O14" s="91"/>
      <c r="P14" s="93"/>
      <c r="Q14" s="93"/>
      <c r="R14" s="93"/>
      <c r="S14" s="93"/>
      <c r="T14" s="93"/>
      <c r="U14" s="93"/>
    </row>
    <row r="15" spans="1:48" ht="15" customHeight="1" thickBot="1" x14ac:dyDescent="0.25">
      <c r="A15" s="74" t="s">
        <v>13</v>
      </c>
      <c r="B15" s="75"/>
      <c r="C15" s="75"/>
      <c r="D15" s="75"/>
      <c r="E15" s="75"/>
      <c r="F15" s="75"/>
      <c r="G15" s="75"/>
      <c r="H15" s="75"/>
      <c r="I15" s="76"/>
      <c r="J15" s="12">
        <v>4.8000000000000001E-2</v>
      </c>
      <c r="K15" s="1" t="s">
        <v>14</v>
      </c>
      <c r="L15" s="13"/>
      <c r="M15" s="13"/>
      <c r="O15" s="1"/>
      <c r="P15" s="1"/>
      <c r="Q15" s="1"/>
      <c r="R15" s="1"/>
      <c r="S15" s="1"/>
      <c r="T15" s="1"/>
      <c r="U15" s="1"/>
    </row>
    <row r="16" spans="1:48" ht="62.25" customHeight="1" thickBot="1" x14ac:dyDescent="0.25">
      <c r="A16" s="1"/>
      <c r="B16" s="1"/>
      <c r="C16" s="1"/>
      <c r="D16" s="1"/>
      <c r="E16" s="1"/>
      <c r="F16" s="1"/>
      <c r="G16" s="1"/>
      <c r="H16" s="1"/>
      <c r="I16" s="1"/>
      <c r="J16" s="77" t="s">
        <v>15</v>
      </c>
      <c r="K16" s="78"/>
      <c r="L16" s="78"/>
      <c r="M16" s="78"/>
      <c r="N16" s="78"/>
      <c r="O16" s="78"/>
      <c r="P16" s="79"/>
      <c r="Q16" s="80" t="s">
        <v>16</v>
      </c>
      <c r="R16" s="81"/>
      <c r="S16" s="81"/>
      <c r="T16" s="81"/>
      <c r="U16" s="82"/>
      <c r="V16" s="14" t="s">
        <v>17</v>
      </c>
      <c r="W16" s="63" t="s">
        <v>18</v>
      </c>
      <c r="X16" s="64"/>
      <c r="Y16" s="64"/>
      <c r="Z16" s="64"/>
      <c r="AA16" s="64"/>
      <c r="AB16" s="65"/>
      <c r="AC16" s="63" t="s">
        <v>19</v>
      </c>
      <c r="AD16" s="64"/>
      <c r="AE16" s="64"/>
      <c r="AF16" s="64"/>
      <c r="AG16" s="65"/>
      <c r="AH16" s="63" t="s">
        <v>20</v>
      </c>
      <c r="AI16" s="64"/>
      <c r="AJ16" s="64"/>
      <c r="AK16" s="64"/>
      <c r="AL16" s="65"/>
      <c r="AM16" s="63" t="s">
        <v>21</v>
      </c>
      <c r="AN16" s="64"/>
      <c r="AO16" s="64"/>
      <c r="AP16" s="65"/>
      <c r="AQ16" s="66" t="s">
        <v>22</v>
      </c>
      <c r="AR16" s="64"/>
      <c r="AS16" s="64"/>
      <c r="AT16" s="64"/>
      <c r="AU16" s="65"/>
      <c r="AV16" s="67" t="s">
        <v>23</v>
      </c>
    </row>
    <row r="17" spans="1:48" s="20" customFormat="1" ht="79.5" thickBot="1" x14ac:dyDescent="0.25">
      <c r="A17" s="15" t="s">
        <v>24</v>
      </c>
      <c r="B17" s="15" t="s">
        <v>25</v>
      </c>
      <c r="C17" s="15" t="s">
        <v>26</v>
      </c>
      <c r="D17" s="15" t="s">
        <v>27</v>
      </c>
      <c r="E17" s="15" t="s">
        <v>28</v>
      </c>
      <c r="F17" s="15" t="s">
        <v>29</v>
      </c>
      <c r="G17" s="15" t="s">
        <v>30</v>
      </c>
      <c r="H17" s="15" t="s">
        <v>31</v>
      </c>
      <c r="I17" s="15" t="s">
        <v>32</v>
      </c>
      <c r="J17" s="16" t="s">
        <v>33</v>
      </c>
      <c r="K17" s="16" t="s">
        <v>34</v>
      </c>
      <c r="L17" s="16" t="s">
        <v>35</v>
      </c>
      <c r="M17" s="16" t="s">
        <v>36</v>
      </c>
      <c r="N17" s="17" t="s">
        <v>37</v>
      </c>
      <c r="O17" s="17" t="s">
        <v>38</v>
      </c>
      <c r="P17" s="17" t="s">
        <v>39</v>
      </c>
      <c r="Q17" s="18" t="s">
        <v>40</v>
      </c>
      <c r="R17" s="17" t="s">
        <v>41</v>
      </c>
      <c r="S17" s="17" t="s">
        <v>42</v>
      </c>
      <c r="T17" s="17" t="s">
        <v>43</v>
      </c>
      <c r="U17" s="17" t="s">
        <v>44</v>
      </c>
      <c r="V17" s="17" t="s">
        <v>45</v>
      </c>
      <c r="W17" s="17" t="s">
        <v>46</v>
      </c>
      <c r="X17" s="17" t="s">
        <v>47</v>
      </c>
      <c r="Y17" s="17" t="s">
        <v>48</v>
      </c>
      <c r="Z17" s="17" t="s">
        <v>49</v>
      </c>
      <c r="AA17" s="17" t="s">
        <v>50</v>
      </c>
      <c r="AB17" s="17" t="s">
        <v>51</v>
      </c>
      <c r="AC17" s="17" t="s">
        <v>52</v>
      </c>
      <c r="AD17" s="17" t="s">
        <v>53</v>
      </c>
      <c r="AE17" s="17" t="s">
        <v>54</v>
      </c>
      <c r="AF17" s="17" t="s">
        <v>55</v>
      </c>
      <c r="AG17" s="17" t="s">
        <v>56</v>
      </c>
      <c r="AH17" s="17" t="s">
        <v>57</v>
      </c>
      <c r="AI17" s="17" t="s">
        <v>58</v>
      </c>
      <c r="AJ17" s="17" t="s">
        <v>59</v>
      </c>
      <c r="AK17" s="17" t="s">
        <v>60</v>
      </c>
      <c r="AL17" s="17" t="s">
        <v>61</v>
      </c>
      <c r="AM17" s="17" t="s">
        <v>62</v>
      </c>
      <c r="AN17" s="17" t="s">
        <v>63</v>
      </c>
      <c r="AO17" s="17" t="s">
        <v>64</v>
      </c>
      <c r="AP17" s="17" t="s">
        <v>65</v>
      </c>
      <c r="AQ17" s="17" t="s">
        <v>66</v>
      </c>
      <c r="AR17" s="17" t="s">
        <v>67</v>
      </c>
      <c r="AS17" s="17" t="s">
        <v>68</v>
      </c>
      <c r="AT17" s="17" t="s">
        <v>69</v>
      </c>
      <c r="AU17" s="19" t="s">
        <v>70</v>
      </c>
      <c r="AV17" s="68"/>
    </row>
    <row r="18" spans="1:48" ht="17.25" customHeight="1" x14ac:dyDescent="0.2">
      <c r="A18" s="69" t="s">
        <v>71</v>
      </c>
      <c r="B18" s="70"/>
      <c r="C18" s="70"/>
      <c r="D18" s="70"/>
      <c r="E18" s="70"/>
      <c r="F18" s="70"/>
      <c r="G18" s="70"/>
      <c r="H18" s="70"/>
      <c r="I18" s="7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2"/>
      <c r="AR18" s="22"/>
      <c r="AS18" s="22"/>
      <c r="AT18" s="22"/>
      <c r="AU18" s="22"/>
      <c r="AV18" s="23"/>
    </row>
    <row r="19" spans="1:48" ht="36" x14ac:dyDescent="0.2">
      <c r="A19" s="24">
        <v>1</v>
      </c>
      <c r="B19" s="25" t="s">
        <v>72</v>
      </c>
      <c r="C19" s="26" t="s">
        <v>73</v>
      </c>
      <c r="D19" s="25">
        <v>1</v>
      </c>
      <c r="E19" s="25">
        <v>1</v>
      </c>
      <c r="F19" s="25">
        <v>1</v>
      </c>
      <c r="G19" s="25">
        <v>1</v>
      </c>
      <c r="H19" s="25">
        <v>1</v>
      </c>
      <c r="I19" s="27">
        <v>0.1</v>
      </c>
      <c r="J19" s="28"/>
      <c r="K19" s="28"/>
      <c r="L19" s="29">
        <f>+J19+K19</f>
        <v>0</v>
      </c>
      <c r="M19" s="29">
        <f>+L19*I19</f>
        <v>0</v>
      </c>
      <c r="N19" s="29" t="s">
        <v>74</v>
      </c>
      <c r="O19" s="29" t="s">
        <v>74</v>
      </c>
      <c r="P19" s="29">
        <f>ROUND((L19+M19),0)</f>
        <v>0</v>
      </c>
      <c r="Q19" s="29">
        <f>+P19*1.048</f>
        <v>0</v>
      </c>
      <c r="R19" s="29">
        <f>+Q19*1.01664635477463</f>
        <v>0</v>
      </c>
      <c r="S19" s="29">
        <f>ROUND((R19*1.04800001),0)</f>
        <v>0</v>
      </c>
      <c r="T19" s="29">
        <f>ROUND((S19*1.04799995),0)</f>
        <v>0</v>
      </c>
      <c r="U19" s="29">
        <f>ROUND((T19*1.048),0)</f>
        <v>0</v>
      </c>
      <c r="V19" s="29">
        <f>+D19*P19</f>
        <v>0</v>
      </c>
      <c r="W19" s="29">
        <f>ROUND((Q19*E19),0)</f>
        <v>0</v>
      </c>
      <c r="X19" s="29">
        <f>ROUND((Q19*E19),0)</f>
        <v>0</v>
      </c>
      <c r="Y19" s="29">
        <f>ROUND((Q19*E19),0)</f>
        <v>0</v>
      </c>
      <c r="Z19" s="29">
        <f>ROUND((Q19*E19),0)*3</f>
        <v>0</v>
      </c>
      <c r="AA19" s="29">
        <f>ROUND((R19*E19),0)*5</f>
        <v>0</v>
      </c>
      <c r="AB19" s="29">
        <f>ROUND((R19*E19),0)</f>
        <v>0</v>
      </c>
      <c r="AC19" s="29">
        <f>ROUND((S19*F19),0)</f>
        <v>0</v>
      </c>
      <c r="AD19" s="29">
        <f>ROUND((S19*F19),0)*2</f>
        <v>0</v>
      </c>
      <c r="AE19" s="29">
        <f>ROUND((S19*F19),0)*1</f>
        <v>0</v>
      </c>
      <c r="AF19" s="29">
        <f>ROUND((S19*F19),0)*7</f>
        <v>0</v>
      </c>
      <c r="AG19" s="29">
        <f>ROUND((S19*F19),0)*1</f>
        <v>0</v>
      </c>
      <c r="AH19" s="29">
        <f>ROUND((T19*G19),0)*1</f>
        <v>0</v>
      </c>
      <c r="AI19" s="29">
        <f>ROUND((T19*G19),0)*1</f>
        <v>0</v>
      </c>
      <c r="AJ19" s="29">
        <f>ROUND((T19*G19),0)*1</f>
        <v>0</v>
      </c>
      <c r="AK19" s="29">
        <f>ROUND((T19*G19),0)*8</f>
        <v>0</v>
      </c>
      <c r="AL19" s="29">
        <f>ROUND((T19*G19),0)</f>
        <v>0</v>
      </c>
      <c r="AM19" s="29">
        <f>ROUND((U19*H19),0)</f>
        <v>0</v>
      </c>
      <c r="AN19" s="29">
        <f t="shared" ref="AN19:AN26" si="0">ROUND((U19*H19),0)*2</f>
        <v>0</v>
      </c>
      <c r="AO19" s="29">
        <f>ROUND((U19*H19),0)</f>
        <v>0</v>
      </c>
      <c r="AP19" s="29">
        <f t="shared" ref="AP19:AP26" si="1">ROUND((U19*H19),0)*3</f>
        <v>0</v>
      </c>
      <c r="AQ19" s="29">
        <f>+V19</f>
        <v>0</v>
      </c>
      <c r="AR19" s="29">
        <f>ROUND((SUM(W19:AB19)),0)</f>
        <v>0</v>
      </c>
      <c r="AS19" s="29">
        <f>SUM(AC19:AG19)</f>
        <v>0</v>
      </c>
      <c r="AT19" s="29">
        <f>SUM(AH19:AL19)</f>
        <v>0</v>
      </c>
      <c r="AU19" s="29">
        <f>SUM(AM19:AP19)</f>
        <v>0</v>
      </c>
      <c r="AV19" s="29">
        <f>+AR19+AQ19+AS19+AT19+AU19</f>
        <v>0</v>
      </c>
    </row>
    <row r="20" spans="1:48" ht="63" x14ac:dyDescent="0.2">
      <c r="A20" s="6">
        <v>3</v>
      </c>
      <c r="B20" s="6" t="s">
        <v>75</v>
      </c>
      <c r="C20" s="26" t="s">
        <v>76</v>
      </c>
      <c r="D20" s="25">
        <v>1</v>
      </c>
      <c r="E20" s="25">
        <v>1</v>
      </c>
      <c r="F20" s="25">
        <v>1</v>
      </c>
      <c r="G20" s="25">
        <v>1</v>
      </c>
      <c r="H20" s="25">
        <v>1</v>
      </c>
      <c r="I20" s="27">
        <v>0.08</v>
      </c>
      <c r="J20" s="28"/>
      <c r="K20" s="28"/>
      <c r="L20" s="29">
        <f>+J20+K20</f>
        <v>0</v>
      </c>
      <c r="M20" s="29">
        <f>+L20*I20</f>
        <v>0</v>
      </c>
      <c r="N20" s="29" t="s">
        <v>74</v>
      </c>
      <c r="O20" s="29" t="s">
        <v>74</v>
      </c>
      <c r="P20" s="29">
        <f>ROUND((L20+M20),0)</f>
        <v>0</v>
      </c>
      <c r="Q20" s="29">
        <f>+P20*1.048</f>
        <v>0</v>
      </c>
      <c r="R20" s="29">
        <f>+Q20*1.01664474560819</f>
        <v>0</v>
      </c>
      <c r="S20" s="29">
        <f>ROUND((R20*1.0479999),0)</f>
        <v>0</v>
      </c>
      <c r="T20" s="29">
        <f>ROUND((S20*1.048),0)</f>
        <v>0</v>
      </c>
      <c r="U20" s="29">
        <f>ROUND((T20*1.048),0)</f>
        <v>0</v>
      </c>
      <c r="V20" s="29">
        <f>+D20*P20</f>
        <v>0</v>
      </c>
      <c r="W20" s="29">
        <f>ROUND((Q20*E20),0)</f>
        <v>0</v>
      </c>
      <c r="X20" s="29">
        <f>ROUND((Q20*E20),0)</f>
        <v>0</v>
      </c>
      <c r="Y20" s="29">
        <f>ROUND((Q20*E20),0)</f>
        <v>0</v>
      </c>
      <c r="Z20" s="29">
        <f>ROUND((Q20*E20),0)*3</f>
        <v>0</v>
      </c>
      <c r="AA20" s="29">
        <f>ROUND((R20*E20),0)*5</f>
        <v>0</v>
      </c>
      <c r="AB20" s="29">
        <f>ROUND((R20*E20),0)</f>
        <v>0</v>
      </c>
      <c r="AC20" s="29">
        <f>ROUND((S20*F20),0)</f>
        <v>0</v>
      </c>
      <c r="AD20" s="29">
        <f>ROUND((S20*F20),0)*2</f>
        <v>0</v>
      </c>
      <c r="AE20" s="29">
        <f>ROUND((S20*F20),0)*1</f>
        <v>0</v>
      </c>
      <c r="AF20" s="29">
        <f>ROUND((S20*F20),0)*7</f>
        <v>0</v>
      </c>
      <c r="AG20" s="29">
        <f>ROUND((S20*F20),0)*1</f>
        <v>0</v>
      </c>
      <c r="AH20" s="29">
        <f>ROUND((T20*G20),0)*1</f>
        <v>0</v>
      </c>
      <c r="AI20" s="29">
        <f>ROUND((T20*G20),0)*1</f>
        <v>0</v>
      </c>
      <c r="AJ20" s="29">
        <f>ROUND((T20*G20),0)*1</f>
        <v>0</v>
      </c>
      <c r="AK20" s="29">
        <f>ROUND((T20*G20),0)*8</f>
        <v>0</v>
      </c>
      <c r="AL20" s="29">
        <f>ROUND((T20*G20),0)</f>
        <v>0</v>
      </c>
      <c r="AM20" s="29">
        <f>ROUND((U20*H20),0)</f>
        <v>0</v>
      </c>
      <c r="AN20" s="29">
        <f t="shared" si="0"/>
        <v>0</v>
      </c>
      <c r="AO20" s="29">
        <f>ROUND((U20*H20),0)</f>
        <v>0</v>
      </c>
      <c r="AP20" s="29">
        <f t="shared" si="1"/>
        <v>0</v>
      </c>
      <c r="AQ20" s="29">
        <f t="shared" ref="AQ20:AQ26" si="2">+V20</f>
        <v>0</v>
      </c>
      <c r="AR20" s="29">
        <f>ROUND((SUM(W20:AB20)),0)</f>
        <v>0</v>
      </c>
      <c r="AS20" s="29">
        <f t="shared" ref="AS20:AS26" si="3">SUM(AC20:AG20)</f>
        <v>0</v>
      </c>
      <c r="AT20" s="29">
        <f t="shared" ref="AT20:AT26" si="4">SUM(AH20:AL20)</f>
        <v>0</v>
      </c>
      <c r="AU20" s="29">
        <f t="shared" ref="AU20:AU26" si="5">SUM(AM20:AP20)</f>
        <v>0</v>
      </c>
      <c r="AV20" s="29">
        <f t="shared" ref="AV20:AV26" si="6">+AR20+AQ20+AS20+AT20+AU20</f>
        <v>0</v>
      </c>
    </row>
    <row r="21" spans="1:48" ht="11.25" customHeight="1" x14ac:dyDescent="0.2">
      <c r="A21" s="60" t="s">
        <v>77</v>
      </c>
      <c r="B21" s="61"/>
      <c r="C21" s="61"/>
      <c r="D21" s="61"/>
      <c r="E21" s="61"/>
      <c r="F21" s="61"/>
      <c r="G21" s="61"/>
      <c r="H21" s="61"/>
      <c r="I21" s="62"/>
      <c r="J21" s="30"/>
      <c r="K21" s="30"/>
      <c r="L21" s="30"/>
      <c r="M21" s="30"/>
      <c r="N21" s="30"/>
      <c r="O21" s="30"/>
      <c r="P21" s="30"/>
      <c r="Q21" s="30"/>
      <c r="R21" s="30"/>
      <c r="S21" s="30"/>
      <c r="T21" s="30"/>
      <c r="U21" s="30"/>
      <c r="V21" s="29"/>
      <c r="W21" s="29"/>
      <c r="X21" s="29"/>
      <c r="Y21" s="29"/>
      <c r="Z21" s="29"/>
      <c r="AA21" s="29"/>
      <c r="AB21" s="29"/>
      <c r="AC21" s="29"/>
      <c r="AD21" s="29"/>
      <c r="AE21" s="29"/>
      <c r="AF21" s="29"/>
      <c r="AG21" s="29"/>
      <c r="AH21" s="29"/>
      <c r="AI21" s="29"/>
      <c r="AJ21" s="29"/>
      <c r="AK21" s="29"/>
      <c r="AL21" s="29"/>
      <c r="AM21" s="29">
        <f>ROUND((U21*H21),0)</f>
        <v>0</v>
      </c>
      <c r="AN21" s="29">
        <f t="shared" si="0"/>
        <v>0</v>
      </c>
      <c r="AO21" s="29">
        <f>ROUND((U21*H21),0)</f>
        <v>0</v>
      </c>
      <c r="AP21" s="29">
        <f t="shared" si="1"/>
        <v>0</v>
      </c>
      <c r="AQ21" s="29">
        <f t="shared" si="2"/>
        <v>0</v>
      </c>
      <c r="AR21" s="29"/>
      <c r="AS21" s="29">
        <f t="shared" si="3"/>
        <v>0</v>
      </c>
      <c r="AT21" s="29">
        <f t="shared" si="4"/>
        <v>0</v>
      </c>
      <c r="AU21" s="29">
        <f t="shared" si="5"/>
        <v>0</v>
      </c>
      <c r="AV21" s="29">
        <f t="shared" si="6"/>
        <v>0</v>
      </c>
    </row>
    <row r="22" spans="1:48" ht="45" x14ac:dyDescent="0.2">
      <c r="A22" s="6">
        <v>2</v>
      </c>
      <c r="B22" s="6" t="str">
        <f>+[4]ESTUDIO!A5</f>
        <v>A</v>
      </c>
      <c r="C22" s="26" t="s">
        <v>78</v>
      </c>
      <c r="D22" s="31">
        <f>+[4]ESTUDIO!E14</f>
        <v>3</v>
      </c>
      <c r="E22" s="31">
        <v>3</v>
      </c>
      <c r="F22" s="31">
        <v>3</v>
      </c>
      <c r="G22" s="31">
        <v>3</v>
      </c>
      <c r="H22" s="31">
        <v>3</v>
      </c>
      <c r="I22" s="27">
        <v>0.08</v>
      </c>
      <c r="J22" s="28"/>
      <c r="K22" s="28"/>
      <c r="L22" s="29">
        <f>+J22+K22</f>
        <v>0</v>
      </c>
      <c r="M22" s="29">
        <f>+L22*I22</f>
        <v>0</v>
      </c>
      <c r="N22" s="29">
        <f>(L22+M22)*10%</f>
        <v>0</v>
      </c>
      <c r="O22" s="29">
        <f>N22*$J$14</f>
        <v>0</v>
      </c>
      <c r="P22" s="29">
        <f>ROUND((L22+M22+O22),0)</f>
        <v>0</v>
      </c>
      <c r="Q22" s="29">
        <f>ROUND((P22*1.048),0)</f>
        <v>0</v>
      </c>
      <c r="R22" s="29">
        <f>+Q22*1.01664435587821</f>
        <v>0</v>
      </c>
      <c r="S22" s="29">
        <f t="shared" ref="S22:U26" si="7">ROUND((R22*1.048),0)</f>
        <v>0</v>
      </c>
      <c r="T22" s="29">
        <f t="shared" si="7"/>
        <v>0</v>
      </c>
      <c r="U22" s="29">
        <f t="shared" si="7"/>
        <v>0</v>
      </c>
      <c r="V22" s="29">
        <f>+P22*2.6499940577036</f>
        <v>0</v>
      </c>
      <c r="W22" s="22">
        <f>ROUND((Q22*2.69997579629995),0)</f>
        <v>0</v>
      </c>
      <c r="X22" s="29">
        <f>ROUND((Q22*E22),0)</f>
        <v>0</v>
      </c>
      <c r="Y22" s="29">
        <f>ROUND((Q22*2.79990318563625),0)</f>
        <v>0</v>
      </c>
      <c r="Z22" s="29">
        <f>ROUND((Q22*E22),0)*3</f>
        <v>0</v>
      </c>
      <c r="AA22" s="29">
        <f>ROUND((R22*E22),0)*5</f>
        <v>0</v>
      </c>
      <c r="AB22" s="29">
        <f>ROUND((R22*2.60001188738252),0)</f>
        <v>0</v>
      </c>
      <c r="AC22" s="29">
        <f>ROUND((S22*2.74997028309605),0)</f>
        <v>0</v>
      </c>
      <c r="AD22" s="29">
        <f>ROUND((S22*F22),0)*2</f>
        <v>0</v>
      </c>
      <c r="AE22" s="29">
        <f>ROUND((S22*2.50001204214409),0)*1</f>
        <v>0</v>
      </c>
      <c r="AF22" s="29">
        <f>ROUND((S22*F22),0)*7</f>
        <v>0</v>
      </c>
      <c r="AG22" s="29">
        <f>ROUND((S22*2.60001187122333),0)</f>
        <v>0</v>
      </c>
      <c r="AH22" s="29">
        <f>ROUND((T22*2.74997027271706),0)*1</f>
        <v>0</v>
      </c>
      <c r="AI22" s="29">
        <f>ROUND((T22*G22),0)*1</f>
        <v>0</v>
      </c>
      <c r="AJ22" s="29">
        <f>ROUND((T22*2.60002378182636),0)*1</f>
        <v>0</v>
      </c>
      <c r="AK22" s="29">
        <f>ROUND((T22*G22),0)*8</f>
        <v>0</v>
      </c>
      <c r="AL22" s="29">
        <f>ROUND((T22*2.64999408419656),0)</f>
        <v>0</v>
      </c>
      <c r="AM22" s="29">
        <f>ROUND((U22*2.74997032562865),0)</f>
        <v>0</v>
      </c>
      <c r="AN22" s="29">
        <f t="shared" si="0"/>
        <v>0</v>
      </c>
      <c r="AO22" s="29">
        <f>ROUND((U22*2.6999406795523),0)</f>
        <v>0</v>
      </c>
      <c r="AP22" s="29">
        <f t="shared" si="1"/>
        <v>0</v>
      </c>
      <c r="AQ22" s="29">
        <f t="shared" si="2"/>
        <v>0</v>
      </c>
      <c r="AR22" s="29">
        <f t="shared" ref="AR22:AR26" si="8">ROUND((SUM(W22:AB22)),0)</f>
        <v>0</v>
      </c>
      <c r="AS22" s="29">
        <f t="shared" si="3"/>
        <v>0</v>
      </c>
      <c r="AT22" s="29">
        <f t="shared" si="4"/>
        <v>0</v>
      </c>
      <c r="AU22" s="29">
        <f t="shared" si="5"/>
        <v>0</v>
      </c>
      <c r="AV22" s="29">
        <f t="shared" si="6"/>
        <v>0</v>
      </c>
    </row>
    <row r="23" spans="1:48" ht="63" x14ac:dyDescent="0.2">
      <c r="A23" s="6">
        <v>3</v>
      </c>
      <c r="B23" s="6" t="str">
        <f>+[4]ESTUDIO!A6</f>
        <v>B</v>
      </c>
      <c r="C23" s="26" t="s">
        <v>76</v>
      </c>
      <c r="D23" s="31">
        <v>8</v>
      </c>
      <c r="E23" s="31">
        <v>8</v>
      </c>
      <c r="F23" s="31">
        <v>8</v>
      </c>
      <c r="G23" s="31">
        <v>8</v>
      </c>
      <c r="H23" s="31">
        <v>8</v>
      </c>
      <c r="I23" s="27">
        <v>0.08</v>
      </c>
      <c r="J23" s="28"/>
      <c r="K23" s="28"/>
      <c r="L23" s="29">
        <f>+J23+K23</f>
        <v>0</v>
      </c>
      <c r="M23" s="29">
        <f>+L23*I23</f>
        <v>0</v>
      </c>
      <c r="N23" s="29">
        <f>(L23+M23)*10%</f>
        <v>0</v>
      </c>
      <c r="O23" s="29">
        <f>N23*$J$14</f>
        <v>0</v>
      </c>
      <c r="P23" s="29">
        <f>ROUND((L23+M23+O23),0)</f>
        <v>0</v>
      </c>
      <c r="Q23" s="29">
        <f>ROUND((P23*1.048),0)</f>
        <v>0</v>
      </c>
      <c r="R23" s="29">
        <f>+Q23*1.01664477324049</f>
        <v>0</v>
      </c>
      <c r="S23" s="29">
        <f t="shared" si="7"/>
        <v>0</v>
      </c>
      <c r="T23" s="29">
        <f t="shared" si="7"/>
        <v>0</v>
      </c>
      <c r="U23" s="29">
        <f>ROUND((T23*1.0479999),0)</f>
        <v>0</v>
      </c>
      <c r="V23" s="29">
        <f>+P23*6.63632886429298</f>
        <v>0</v>
      </c>
      <c r="W23" s="29">
        <f>ROUND((Q23*6.8180855),0)</f>
        <v>0</v>
      </c>
      <c r="X23" s="29">
        <f>ROUND((Q23*E23),0)</f>
        <v>0</v>
      </c>
      <c r="Y23" s="29">
        <f>ROUND((Q23*7.31793890349454),0)</f>
        <v>0</v>
      </c>
      <c r="Z23" s="29">
        <f>ROUND((Q23*E23),0)*3</f>
        <v>0</v>
      </c>
      <c r="AA23" s="29">
        <f>ROUND((R23*E23),0)*5</f>
        <v>0</v>
      </c>
      <c r="AB23" s="29">
        <f>ROUND((R23*6.45457157699276),0)</f>
        <v>0</v>
      </c>
      <c r="AC23" s="29">
        <f>ROUND((S23*6.99984461380598),0)</f>
        <v>0</v>
      </c>
      <c r="AD23" s="29">
        <f>ROUND((S23*F23),0)*2</f>
        <v>0</v>
      </c>
      <c r="AE23" s="29">
        <f>ROUND((S23*6.63635138525379),0)*1</f>
        <v>0</v>
      </c>
      <c r="AF23" s="29">
        <f>ROUND((S23*F23),0)*7</f>
        <v>0</v>
      </c>
      <c r="AG23" s="29">
        <f>ROUND((S23*6.4545718573566),0)</f>
        <v>0</v>
      </c>
      <c r="AH23" s="29">
        <f>ROUND((T23*6.99988879805525),0)*1</f>
        <v>0</v>
      </c>
      <c r="AI23" s="29">
        <f>ROUND((T23*G23),0)*1</f>
        <v>0</v>
      </c>
      <c r="AJ23" s="29">
        <f>ROUND((T23*6.90912105308916),0)</f>
        <v>0</v>
      </c>
      <c r="AK23" s="29">
        <f>ROUND((T23*G23),0)*8</f>
        <v>0</v>
      </c>
      <c r="AL23" s="29">
        <f>ROUND((T23*6.63632933837539),0)</f>
        <v>0</v>
      </c>
      <c r="AM23" s="29">
        <f>ROUND((U23*6.99988926106261),0)</f>
        <v>0</v>
      </c>
      <c r="AN23" s="29">
        <f t="shared" si="0"/>
        <v>0</v>
      </c>
      <c r="AO23" s="29">
        <f>ROUND((U23*7.0453061159919),0)</f>
        <v>0</v>
      </c>
      <c r="AP23" s="29">
        <f t="shared" si="1"/>
        <v>0</v>
      </c>
      <c r="AQ23" s="29">
        <f t="shared" si="2"/>
        <v>0</v>
      </c>
      <c r="AR23" s="29">
        <f t="shared" si="8"/>
        <v>0</v>
      </c>
      <c r="AS23" s="29">
        <f t="shared" si="3"/>
        <v>0</v>
      </c>
      <c r="AT23" s="29">
        <f t="shared" si="4"/>
        <v>0</v>
      </c>
      <c r="AU23" s="29">
        <f t="shared" si="5"/>
        <v>0</v>
      </c>
      <c r="AV23" s="29">
        <f t="shared" si="6"/>
        <v>0</v>
      </c>
    </row>
    <row r="24" spans="1:48" ht="36" x14ac:dyDescent="0.2">
      <c r="A24" s="6">
        <v>4</v>
      </c>
      <c r="B24" s="6" t="s">
        <v>79</v>
      </c>
      <c r="C24" s="26" t="s">
        <v>73</v>
      </c>
      <c r="D24" s="31">
        <v>4</v>
      </c>
      <c r="E24" s="31">
        <v>4</v>
      </c>
      <c r="F24" s="31">
        <v>4</v>
      </c>
      <c r="G24" s="31">
        <v>4</v>
      </c>
      <c r="H24" s="31">
        <v>4</v>
      </c>
      <c r="I24" s="27">
        <v>0.1</v>
      </c>
      <c r="J24" s="32"/>
      <c r="K24" s="32"/>
      <c r="L24" s="29">
        <f>+J24+K24</f>
        <v>0</v>
      </c>
      <c r="M24" s="29">
        <f>+(J24+K24)*I24</f>
        <v>0</v>
      </c>
      <c r="N24" s="29">
        <f>(L24+M24)*10%</f>
        <v>0</v>
      </c>
      <c r="O24" s="29">
        <f>N24*$J$14</f>
        <v>0</v>
      </c>
      <c r="P24" s="29">
        <f>ROUND((L24+M24+O24),0)</f>
        <v>0</v>
      </c>
      <c r="Q24" s="29">
        <f>ROUND((P24*1.04800001),0)</f>
        <v>0</v>
      </c>
      <c r="R24" s="29">
        <f>+Q24*1.01664638881599</f>
        <v>0</v>
      </c>
      <c r="S24" s="29">
        <f>ROUND((R24*1.04799999),0)</f>
        <v>0</v>
      </c>
      <c r="T24" s="29">
        <f>ROUND((S24*1.04800001),0)</f>
        <v>0</v>
      </c>
      <c r="U24" s="29">
        <f>ROUND((T24*1.04799998),0)</f>
        <v>0</v>
      </c>
      <c r="V24" s="29">
        <f>+P24*D24</f>
        <v>0</v>
      </c>
      <c r="W24" s="22">
        <f>ROUND((Q24*E24),0)</f>
        <v>0</v>
      </c>
      <c r="X24" s="29">
        <f>ROUND((Q24*E24),0)</f>
        <v>0</v>
      </c>
      <c r="Y24" s="29">
        <f>Q24*E24</f>
        <v>0</v>
      </c>
      <c r="Z24" s="29">
        <f>ROUND((Q24*E24),0)*3</f>
        <v>0</v>
      </c>
      <c r="AA24" s="29">
        <f>ROUND((R24*E24),0)*5</f>
        <v>0</v>
      </c>
      <c r="AB24" s="29">
        <f t="shared" ref="AB24:AC26" si="9">ROUND((R24*E24),0)</f>
        <v>0</v>
      </c>
      <c r="AC24" s="29">
        <f t="shared" si="9"/>
        <v>0</v>
      </c>
      <c r="AD24" s="29">
        <f>ROUND((S24*F24),0)*2</f>
        <v>0</v>
      </c>
      <c r="AE24" s="29">
        <f>ROUND((S24*F24),0)*1</f>
        <v>0</v>
      </c>
      <c r="AF24" s="29">
        <f>ROUND((S24*F24),0)*7</f>
        <v>0</v>
      </c>
      <c r="AG24" s="29">
        <f t="shared" ref="AG24:AH26" si="10">ROUND((S24*F24),0)*1</f>
        <v>0</v>
      </c>
      <c r="AH24" s="29">
        <f t="shared" si="10"/>
        <v>0</v>
      </c>
      <c r="AI24" s="29">
        <f>ROUND((T24*G24),0)*1</f>
        <v>0</v>
      </c>
      <c r="AJ24" s="29">
        <f>ROUND((T24*G24),0)*1</f>
        <v>0</v>
      </c>
      <c r="AK24" s="29">
        <f>ROUND((T24*G24),0)*8</f>
        <v>0</v>
      </c>
      <c r="AL24" s="29">
        <f t="shared" ref="AL24:AM26" si="11">ROUND((T24*G24),0)</f>
        <v>0</v>
      </c>
      <c r="AM24" s="29">
        <f t="shared" si="11"/>
        <v>0</v>
      </c>
      <c r="AN24" s="29">
        <f t="shared" si="0"/>
        <v>0</v>
      </c>
      <c r="AO24" s="29">
        <f>ROUND((U24*H24),0)</f>
        <v>0</v>
      </c>
      <c r="AP24" s="29">
        <f t="shared" si="1"/>
        <v>0</v>
      </c>
      <c r="AQ24" s="29">
        <f t="shared" si="2"/>
        <v>0</v>
      </c>
      <c r="AR24" s="29">
        <f t="shared" si="8"/>
        <v>0</v>
      </c>
      <c r="AS24" s="29">
        <f t="shared" si="3"/>
        <v>0</v>
      </c>
      <c r="AT24" s="29">
        <f t="shared" si="4"/>
        <v>0</v>
      </c>
      <c r="AU24" s="29">
        <f t="shared" si="5"/>
        <v>0</v>
      </c>
      <c r="AV24" s="29">
        <f t="shared" si="6"/>
        <v>0</v>
      </c>
    </row>
    <row r="25" spans="1:48" ht="36" x14ac:dyDescent="0.2">
      <c r="A25" s="6">
        <v>5</v>
      </c>
      <c r="B25" s="6" t="s">
        <v>80</v>
      </c>
      <c r="C25" s="26" t="s">
        <v>81</v>
      </c>
      <c r="D25" s="31">
        <v>1</v>
      </c>
      <c r="E25" s="31">
        <v>1</v>
      </c>
      <c r="F25" s="31">
        <v>1</v>
      </c>
      <c r="G25" s="31">
        <v>1</v>
      </c>
      <c r="H25" s="31">
        <v>1</v>
      </c>
      <c r="I25" s="27">
        <v>0.08</v>
      </c>
      <c r="J25" s="32"/>
      <c r="K25" s="32"/>
      <c r="L25" s="29">
        <f>+J25+K25</f>
        <v>0</v>
      </c>
      <c r="M25" s="29">
        <f>+(J25+K25)*I25</f>
        <v>0</v>
      </c>
      <c r="N25" s="29">
        <f>(L25+M25)*10%</f>
        <v>0</v>
      </c>
      <c r="O25" s="29">
        <f>N25*$J$14</f>
        <v>0</v>
      </c>
      <c r="P25" s="29">
        <f>ROUND((L25+M25+O25),0)</f>
        <v>0</v>
      </c>
      <c r="Q25" s="29">
        <f>+P25*1.048</f>
        <v>0</v>
      </c>
      <c r="R25" s="29">
        <f>+Q25*1.01664637847922</f>
        <v>0</v>
      </c>
      <c r="S25" s="29">
        <f t="shared" si="7"/>
        <v>0</v>
      </c>
      <c r="T25" s="29">
        <f t="shared" si="7"/>
        <v>0</v>
      </c>
      <c r="U25" s="29">
        <f t="shared" si="7"/>
        <v>0</v>
      </c>
      <c r="V25" s="29">
        <f>+P25*D25</f>
        <v>0</v>
      </c>
      <c r="W25" s="22">
        <f>ROUND((Q25*E25),0)</f>
        <v>0</v>
      </c>
      <c r="X25" s="29">
        <f>ROUND((Q25*E25),0)</f>
        <v>0</v>
      </c>
      <c r="Y25" s="29">
        <f>Q25*E25</f>
        <v>0</v>
      </c>
      <c r="Z25" s="29">
        <f>ROUND((Q25*E25),0)*3</f>
        <v>0</v>
      </c>
      <c r="AA25" s="29">
        <f>ROUND((R25*E25),0)*5</f>
        <v>0</v>
      </c>
      <c r="AB25" s="29">
        <f t="shared" si="9"/>
        <v>0</v>
      </c>
      <c r="AC25" s="29">
        <f t="shared" si="9"/>
        <v>0</v>
      </c>
      <c r="AD25" s="29">
        <f>ROUND((S25*F25),0)*2</f>
        <v>0</v>
      </c>
      <c r="AE25" s="29">
        <f>ROUND((S25*F25),0)*1</f>
        <v>0</v>
      </c>
      <c r="AF25" s="29">
        <f>ROUND((S25*F25),0)*7</f>
        <v>0</v>
      </c>
      <c r="AG25" s="29">
        <f t="shared" si="10"/>
        <v>0</v>
      </c>
      <c r="AH25" s="29">
        <f t="shared" si="10"/>
        <v>0</v>
      </c>
      <c r="AI25" s="29">
        <f>ROUND((T25*G25),0)*1</f>
        <v>0</v>
      </c>
      <c r="AJ25" s="29">
        <f>ROUND((T25*G25),0)*1</f>
        <v>0</v>
      </c>
      <c r="AK25" s="29">
        <f>ROUND((T25*G25),0)*8</f>
        <v>0</v>
      </c>
      <c r="AL25" s="29">
        <f t="shared" si="11"/>
        <v>0</v>
      </c>
      <c r="AM25" s="29">
        <f t="shared" si="11"/>
        <v>0</v>
      </c>
      <c r="AN25" s="29">
        <f t="shared" si="0"/>
        <v>0</v>
      </c>
      <c r="AO25" s="29">
        <f>ROUND((U25*H25),0)</f>
        <v>0</v>
      </c>
      <c r="AP25" s="29">
        <f t="shared" si="1"/>
        <v>0</v>
      </c>
      <c r="AQ25" s="29">
        <f t="shared" si="2"/>
        <v>0</v>
      </c>
      <c r="AR25" s="29">
        <f t="shared" si="8"/>
        <v>0</v>
      </c>
      <c r="AS25" s="29">
        <f t="shared" si="3"/>
        <v>0</v>
      </c>
      <c r="AT25" s="29">
        <f t="shared" si="4"/>
        <v>0</v>
      </c>
      <c r="AU25" s="29">
        <f t="shared" si="5"/>
        <v>0</v>
      </c>
      <c r="AV25" s="29">
        <f t="shared" si="6"/>
        <v>0</v>
      </c>
    </row>
    <row r="26" spans="1:48" ht="63" x14ac:dyDescent="0.2">
      <c r="A26" s="6">
        <v>6</v>
      </c>
      <c r="B26" s="6" t="s">
        <v>82</v>
      </c>
      <c r="C26" s="26" t="s">
        <v>83</v>
      </c>
      <c r="D26" s="31">
        <v>1</v>
      </c>
      <c r="E26" s="31">
        <v>1</v>
      </c>
      <c r="F26" s="31">
        <v>1</v>
      </c>
      <c r="G26" s="31">
        <v>1</v>
      </c>
      <c r="H26" s="31">
        <v>1</v>
      </c>
      <c r="I26" s="27">
        <v>0.08</v>
      </c>
      <c r="J26" s="32"/>
      <c r="K26" s="28"/>
      <c r="L26" s="29">
        <f>+J26+K26</f>
        <v>0</v>
      </c>
      <c r="M26" s="29">
        <f>+(J26+K26)*I26</f>
        <v>0</v>
      </c>
      <c r="N26" s="29">
        <f>(L26+M26)*10%</f>
        <v>0</v>
      </c>
      <c r="O26" s="29">
        <f>N26*$J$14</f>
        <v>0</v>
      </c>
      <c r="P26" s="29">
        <f>ROUND((L26+M26+O26),0)</f>
        <v>0</v>
      </c>
      <c r="Q26" s="29">
        <f t="shared" ref="Q26" si="12">+P26*1.048</f>
        <v>0</v>
      </c>
      <c r="R26" s="29">
        <f>+Q26*1.01664563421692</f>
        <v>0</v>
      </c>
      <c r="S26" s="29">
        <f t="shared" si="7"/>
        <v>0</v>
      </c>
      <c r="T26" s="29">
        <f t="shared" si="7"/>
        <v>0</v>
      </c>
      <c r="U26" s="29">
        <f t="shared" si="7"/>
        <v>0</v>
      </c>
      <c r="V26" s="29">
        <f>+P26*D26</f>
        <v>0</v>
      </c>
      <c r="W26" s="22">
        <f>ROUND((Q26*E26),0)</f>
        <v>0</v>
      </c>
      <c r="X26" s="29">
        <f>ROUND((Q26*E26),0)</f>
        <v>0</v>
      </c>
      <c r="Y26" s="29">
        <f>Q26*E26</f>
        <v>0</v>
      </c>
      <c r="Z26" s="29">
        <f>ROUND((Q26*E26),0)*3</f>
        <v>0</v>
      </c>
      <c r="AA26" s="29">
        <f>ROUND((R26*E26),0)*5</f>
        <v>0</v>
      </c>
      <c r="AB26" s="29">
        <f t="shared" si="9"/>
        <v>0</v>
      </c>
      <c r="AC26" s="29">
        <f t="shared" si="9"/>
        <v>0</v>
      </c>
      <c r="AD26" s="29">
        <f>ROUND((S26*F26),0)*2</f>
        <v>0</v>
      </c>
      <c r="AE26" s="29">
        <f>ROUND((S26*F26),0)*1</f>
        <v>0</v>
      </c>
      <c r="AF26" s="29">
        <f>ROUND((S26*F26),0)*7</f>
        <v>0</v>
      </c>
      <c r="AG26" s="29">
        <f t="shared" si="10"/>
        <v>0</v>
      </c>
      <c r="AH26" s="29">
        <f t="shared" si="10"/>
        <v>0</v>
      </c>
      <c r="AI26" s="29">
        <f>ROUND((T26*G26),0)*1</f>
        <v>0</v>
      </c>
      <c r="AJ26" s="29">
        <f>ROUND((T26*G26),0)*1</f>
        <v>0</v>
      </c>
      <c r="AK26" s="29">
        <f>ROUND((T26*G26),0)*8</f>
        <v>0</v>
      </c>
      <c r="AL26" s="29">
        <f t="shared" si="11"/>
        <v>0</v>
      </c>
      <c r="AM26" s="29">
        <f t="shared" si="11"/>
        <v>0</v>
      </c>
      <c r="AN26" s="29">
        <f t="shared" si="0"/>
        <v>0</v>
      </c>
      <c r="AO26" s="29">
        <f>ROUND((U26*H26),0)</f>
        <v>0</v>
      </c>
      <c r="AP26" s="29">
        <f t="shared" si="1"/>
        <v>0</v>
      </c>
      <c r="AQ26" s="29">
        <f t="shared" si="2"/>
        <v>0</v>
      </c>
      <c r="AR26" s="29">
        <f t="shared" si="8"/>
        <v>0</v>
      </c>
      <c r="AS26" s="29">
        <f t="shared" si="3"/>
        <v>0</v>
      </c>
      <c r="AT26" s="29">
        <f t="shared" si="4"/>
        <v>0</v>
      </c>
      <c r="AU26" s="29">
        <f t="shared" si="5"/>
        <v>0</v>
      </c>
      <c r="AV26" s="29">
        <f t="shared" si="6"/>
        <v>0</v>
      </c>
    </row>
    <row r="27" spans="1:48" x14ac:dyDescent="0.2">
      <c r="A27" s="33"/>
      <c r="B27" s="34" t="s">
        <v>84</v>
      </c>
      <c r="C27" s="34"/>
      <c r="D27" s="24">
        <f>SUM(D19:D26)</f>
        <v>19</v>
      </c>
      <c r="E27" s="24">
        <f t="shared" ref="E27:H27" si="13">SUM(E19:E26)</f>
        <v>19</v>
      </c>
      <c r="F27" s="24">
        <f t="shared" si="13"/>
        <v>19</v>
      </c>
      <c r="G27" s="24">
        <f t="shared" si="13"/>
        <v>19</v>
      </c>
      <c r="H27" s="24">
        <f t="shared" si="13"/>
        <v>19</v>
      </c>
      <c r="I27" s="24"/>
      <c r="J27" s="35"/>
      <c r="K27" s="36"/>
      <c r="L27" s="36"/>
      <c r="M27" s="36"/>
      <c r="N27" s="33"/>
      <c r="O27" s="33"/>
      <c r="P27" s="37">
        <f t="shared" ref="P27:AV27" si="14">SUM(P19:P26)</f>
        <v>0</v>
      </c>
      <c r="Q27" s="37">
        <f t="shared" si="14"/>
        <v>0</v>
      </c>
      <c r="R27" s="37">
        <f t="shared" si="14"/>
        <v>0</v>
      </c>
      <c r="S27" s="37">
        <f t="shared" si="14"/>
        <v>0</v>
      </c>
      <c r="T27" s="37">
        <f t="shared" si="14"/>
        <v>0</v>
      </c>
      <c r="U27" s="37">
        <f t="shared" si="14"/>
        <v>0</v>
      </c>
      <c r="V27" s="37">
        <f t="shared" si="14"/>
        <v>0</v>
      </c>
      <c r="W27" s="37">
        <f t="shared" si="14"/>
        <v>0</v>
      </c>
      <c r="X27" s="37">
        <f t="shared" si="14"/>
        <v>0</v>
      </c>
      <c r="Y27" s="37">
        <f t="shared" si="14"/>
        <v>0</v>
      </c>
      <c r="Z27" s="37">
        <f t="shared" si="14"/>
        <v>0</v>
      </c>
      <c r="AA27" s="37">
        <f t="shared" si="14"/>
        <v>0</v>
      </c>
      <c r="AB27" s="37">
        <f t="shared" si="14"/>
        <v>0</v>
      </c>
      <c r="AC27" s="37">
        <f t="shared" si="14"/>
        <v>0</v>
      </c>
      <c r="AD27" s="37">
        <f t="shared" si="14"/>
        <v>0</v>
      </c>
      <c r="AE27" s="37">
        <f t="shared" si="14"/>
        <v>0</v>
      </c>
      <c r="AF27" s="37">
        <f t="shared" si="14"/>
        <v>0</v>
      </c>
      <c r="AG27" s="37">
        <f t="shared" si="14"/>
        <v>0</v>
      </c>
      <c r="AH27" s="37">
        <f t="shared" si="14"/>
        <v>0</v>
      </c>
      <c r="AI27" s="37">
        <f t="shared" si="14"/>
        <v>0</v>
      </c>
      <c r="AJ27" s="37">
        <f t="shared" si="14"/>
        <v>0</v>
      </c>
      <c r="AK27" s="37">
        <f t="shared" si="14"/>
        <v>0</v>
      </c>
      <c r="AL27" s="37">
        <f t="shared" si="14"/>
        <v>0</v>
      </c>
      <c r="AM27" s="37">
        <f t="shared" si="14"/>
        <v>0</v>
      </c>
      <c r="AN27" s="37">
        <f>SUM(AN19:AN26)</f>
        <v>0</v>
      </c>
      <c r="AO27" s="37">
        <f t="shared" si="14"/>
        <v>0</v>
      </c>
      <c r="AP27" s="37">
        <f t="shared" si="14"/>
        <v>0</v>
      </c>
      <c r="AQ27" s="37">
        <f t="shared" si="14"/>
        <v>0</v>
      </c>
      <c r="AR27" s="37">
        <f t="shared" si="14"/>
        <v>0</v>
      </c>
      <c r="AS27" s="37">
        <f t="shared" si="14"/>
        <v>0</v>
      </c>
      <c r="AT27" s="37">
        <f t="shared" si="14"/>
        <v>0</v>
      </c>
      <c r="AU27" s="37">
        <f t="shared" si="14"/>
        <v>0</v>
      </c>
      <c r="AV27" s="37">
        <f t="shared" si="14"/>
        <v>0</v>
      </c>
    </row>
    <row r="28" spans="1:48" ht="30" customHeight="1" x14ac:dyDescent="0.2">
      <c r="J28" s="38"/>
      <c r="K28" s="38"/>
      <c r="L28" s="38"/>
      <c r="M28" s="38"/>
      <c r="N28" s="39"/>
      <c r="O28" s="39"/>
      <c r="P28" s="39"/>
      <c r="Q28" s="39"/>
      <c r="R28" s="40"/>
      <c r="S28" s="40"/>
      <c r="T28" s="40"/>
      <c r="U28" s="40"/>
      <c r="AQ28" s="41"/>
      <c r="AR28" s="41"/>
      <c r="AS28" s="41"/>
      <c r="AT28" s="41"/>
      <c r="AU28" s="41"/>
    </row>
    <row r="29" spans="1:48" x14ac:dyDescent="0.2">
      <c r="J29" s="38"/>
      <c r="K29" s="38"/>
      <c r="L29" s="42"/>
      <c r="M29" s="38"/>
      <c r="N29" s="42"/>
      <c r="R29" s="43"/>
      <c r="S29" s="43"/>
      <c r="T29" s="43"/>
      <c r="U29" s="43"/>
      <c r="V29" s="44"/>
      <c r="Y29" s="45"/>
      <c r="AA29" s="46"/>
      <c r="AB29" s="46"/>
      <c r="AC29" s="46"/>
      <c r="AD29" s="46"/>
      <c r="AE29" s="46"/>
      <c r="AF29" s="46"/>
      <c r="AG29" s="46"/>
      <c r="AH29" s="46"/>
      <c r="AI29" s="46"/>
      <c r="AJ29" s="46"/>
      <c r="AK29" s="46"/>
      <c r="AL29" s="46"/>
      <c r="AM29" s="46"/>
      <c r="AN29" s="46"/>
      <c r="AO29" s="46"/>
      <c r="AP29" s="46"/>
    </row>
    <row r="30" spans="1:48" x14ac:dyDescent="0.2">
      <c r="J30" s="38"/>
      <c r="K30" s="38"/>
      <c r="L30" s="38"/>
      <c r="M30" s="38"/>
      <c r="N30" s="43"/>
      <c r="S30" s="47"/>
      <c r="U30" s="48"/>
      <c r="V30" s="49"/>
      <c r="X30" s="49"/>
      <c r="Y30" s="45"/>
      <c r="AA30" s="50"/>
      <c r="AB30" s="51"/>
      <c r="AC30" s="51"/>
      <c r="AD30" s="51"/>
      <c r="AE30" s="51"/>
      <c r="AF30" s="51"/>
      <c r="AG30" s="51"/>
      <c r="AH30" s="51"/>
      <c r="AI30" s="51"/>
      <c r="AJ30" s="51"/>
      <c r="AK30" s="51"/>
      <c r="AL30" s="51"/>
      <c r="AM30" s="51"/>
      <c r="AN30" s="51"/>
      <c r="AO30" s="51"/>
      <c r="AP30" s="51"/>
    </row>
    <row r="31" spans="1:48" x14ac:dyDescent="0.2">
      <c r="J31" s="38"/>
      <c r="K31" s="38"/>
      <c r="L31" s="38"/>
      <c r="M31" s="38"/>
      <c r="N31" s="52"/>
      <c r="O31" s="53"/>
      <c r="V31" s="54"/>
      <c r="X31" s="49"/>
      <c r="AA31" s="41"/>
      <c r="AB31" s="45"/>
      <c r="AC31" s="45"/>
      <c r="AD31" s="45"/>
      <c r="AE31" s="45"/>
      <c r="AF31" s="45"/>
      <c r="AG31" s="45"/>
      <c r="AH31" s="45"/>
      <c r="AI31" s="45"/>
      <c r="AJ31" s="45"/>
      <c r="AK31" s="45"/>
      <c r="AL31" s="45"/>
      <c r="AM31" s="45"/>
      <c r="AN31" s="45"/>
      <c r="AO31" s="45"/>
      <c r="AP31" s="45"/>
      <c r="AV31" s="38"/>
    </row>
    <row r="32" spans="1:48" x14ac:dyDescent="0.2">
      <c r="A32" s="2" t="s">
        <v>85</v>
      </c>
      <c r="B32" s="55" t="s">
        <v>86</v>
      </c>
      <c r="V32" s="54"/>
      <c r="AA32" s="45"/>
      <c r="AB32" s="45"/>
      <c r="AC32" s="45"/>
      <c r="AD32" s="45"/>
      <c r="AE32" s="45"/>
      <c r="AF32" s="45"/>
      <c r="AG32" s="45"/>
      <c r="AH32" s="45"/>
      <c r="AI32" s="45"/>
      <c r="AJ32" s="45"/>
      <c r="AK32" s="45"/>
      <c r="AL32" s="45"/>
      <c r="AM32" s="45"/>
      <c r="AN32" s="45"/>
      <c r="AO32" s="45"/>
      <c r="AP32" s="45"/>
      <c r="AQ32" s="46"/>
      <c r="AR32" s="46"/>
      <c r="AS32" s="46"/>
      <c r="AT32" s="46"/>
      <c r="AU32" s="46"/>
    </row>
    <row r="33" spans="1:48" x14ac:dyDescent="0.2">
      <c r="A33" s="2" t="s">
        <v>87</v>
      </c>
      <c r="B33" s="55" t="s">
        <v>88</v>
      </c>
      <c r="V33" s="54"/>
      <c r="AA33" s="45"/>
      <c r="AB33" s="45"/>
      <c r="AC33" s="45"/>
      <c r="AD33" s="45"/>
      <c r="AE33" s="45"/>
      <c r="AF33" s="45"/>
      <c r="AG33" s="45"/>
      <c r="AH33" s="45"/>
      <c r="AI33" s="45"/>
      <c r="AJ33" s="45"/>
      <c r="AK33" s="45"/>
      <c r="AL33" s="45"/>
      <c r="AM33" s="45"/>
      <c r="AN33" s="45"/>
      <c r="AO33" s="45"/>
      <c r="AP33" s="45"/>
      <c r="AV33" s="41"/>
    </row>
    <row r="34" spans="1:48" x14ac:dyDescent="0.2">
      <c r="A34" s="2" t="s">
        <v>89</v>
      </c>
      <c r="B34" s="55" t="s">
        <v>90</v>
      </c>
      <c r="N34" s="43"/>
      <c r="V34" s="54"/>
      <c r="AA34" s="45"/>
      <c r="AB34" s="45"/>
      <c r="AC34" s="45"/>
      <c r="AD34" s="45"/>
      <c r="AE34" s="45"/>
      <c r="AF34" s="45"/>
      <c r="AG34" s="45"/>
      <c r="AH34" s="45"/>
      <c r="AI34" s="45"/>
      <c r="AJ34" s="45"/>
      <c r="AK34" s="45"/>
      <c r="AL34" s="45"/>
      <c r="AM34" s="45"/>
      <c r="AN34" s="45"/>
      <c r="AO34" s="45"/>
      <c r="AP34" s="45"/>
    </row>
    <row r="35" spans="1:48" x14ac:dyDescent="0.2">
      <c r="A35" s="2" t="s">
        <v>91</v>
      </c>
      <c r="B35" s="55" t="s">
        <v>92</v>
      </c>
      <c r="V35" s="54"/>
      <c r="AV35" s="41"/>
    </row>
    <row r="36" spans="1:48" x14ac:dyDescent="0.2">
      <c r="A36" s="2" t="s">
        <v>93</v>
      </c>
      <c r="B36" s="55" t="s">
        <v>94</v>
      </c>
      <c r="K36" s="53"/>
      <c r="L36" s="53"/>
      <c r="M36" s="56"/>
      <c r="R36" s="57"/>
      <c r="S36" s="57"/>
      <c r="T36" s="57"/>
      <c r="U36" s="57"/>
      <c r="V36" s="54"/>
    </row>
    <row r="37" spans="1:48" x14ac:dyDescent="0.2">
      <c r="A37" s="2" t="s">
        <v>95</v>
      </c>
      <c r="B37" s="55" t="s">
        <v>96</v>
      </c>
      <c r="K37" s="58"/>
      <c r="M37" s="56"/>
      <c r="V37" s="54"/>
    </row>
    <row r="38" spans="1:48" x14ac:dyDescent="0.2">
      <c r="A38" s="2" t="s">
        <v>97</v>
      </c>
      <c r="B38" s="55" t="s">
        <v>98</v>
      </c>
      <c r="AR38" s="41"/>
      <c r="AS38" s="41"/>
      <c r="AT38" s="41"/>
      <c r="AU38" s="41"/>
      <c r="AV38" s="59"/>
    </row>
    <row r="39" spans="1:48" x14ac:dyDescent="0.2">
      <c r="A39" s="2" t="s">
        <v>99</v>
      </c>
      <c r="B39" s="55" t="s">
        <v>100</v>
      </c>
    </row>
    <row r="40" spans="1:48" x14ac:dyDescent="0.2">
      <c r="A40" s="2" t="s">
        <v>101</v>
      </c>
      <c r="B40" s="55" t="s">
        <v>102</v>
      </c>
    </row>
    <row r="41" spans="1:48" x14ac:dyDescent="0.2">
      <c r="A41" s="2" t="s">
        <v>103</v>
      </c>
      <c r="B41" s="55" t="s">
        <v>104</v>
      </c>
    </row>
    <row r="42" spans="1:48" x14ac:dyDescent="0.2">
      <c r="A42" s="2" t="s">
        <v>105</v>
      </c>
      <c r="B42" s="55" t="s">
        <v>106</v>
      </c>
    </row>
    <row r="43" spans="1:48" x14ac:dyDescent="0.2">
      <c r="A43" s="2" t="s">
        <v>107</v>
      </c>
      <c r="B43" s="55" t="s">
        <v>108</v>
      </c>
    </row>
    <row r="44" spans="1:48" x14ac:dyDescent="0.2">
      <c r="A44" s="2" t="s">
        <v>109</v>
      </c>
      <c r="B44" s="55" t="s">
        <v>110</v>
      </c>
    </row>
    <row r="45" spans="1:48" x14ac:dyDescent="0.2">
      <c r="A45" s="2" t="s">
        <v>111</v>
      </c>
      <c r="B45" s="55" t="s">
        <v>112</v>
      </c>
    </row>
    <row r="46" spans="1:48" x14ac:dyDescent="0.2">
      <c r="A46" s="2" t="s">
        <v>113</v>
      </c>
      <c r="B46" s="55" t="s">
        <v>114</v>
      </c>
    </row>
    <row r="47" spans="1:48" x14ac:dyDescent="0.2">
      <c r="A47" s="2" t="s">
        <v>115</v>
      </c>
      <c r="B47" s="55" t="s">
        <v>116</v>
      </c>
    </row>
    <row r="48" spans="1:48" x14ac:dyDescent="0.2">
      <c r="A48" s="2" t="s">
        <v>117</v>
      </c>
      <c r="B48" s="55" t="s">
        <v>118</v>
      </c>
    </row>
    <row r="49" spans="1:2" x14ac:dyDescent="0.2">
      <c r="A49" s="2" t="s">
        <v>119</v>
      </c>
      <c r="B49" s="55" t="s">
        <v>120</v>
      </c>
    </row>
    <row r="50" spans="1:2" x14ac:dyDescent="0.2">
      <c r="A50" s="2" t="s">
        <v>121</v>
      </c>
      <c r="B50" s="55" t="s">
        <v>122</v>
      </c>
    </row>
    <row r="51" spans="1:2" x14ac:dyDescent="0.2">
      <c r="A51" s="2" t="s">
        <v>123</v>
      </c>
      <c r="B51" s="55" t="s">
        <v>124</v>
      </c>
    </row>
    <row r="52" spans="1:2" x14ac:dyDescent="0.2">
      <c r="A52" s="2" t="s">
        <v>125</v>
      </c>
      <c r="B52" s="55" t="s">
        <v>126</v>
      </c>
    </row>
    <row r="53" spans="1:2" x14ac:dyDescent="0.2">
      <c r="A53" s="2" t="s">
        <v>127</v>
      </c>
      <c r="B53" s="55" t="s">
        <v>128</v>
      </c>
    </row>
    <row r="54" spans="1:2" x14ac:dyDescent="0.2">
      <c r="A54" s="2" t="s">
        <v>129</v>
      </c>
      <c r="B54" s="55" t="s">
        <v>130</v>
      </c>
    </row>
    <row r="55" spans="1:2" x14ac:dyDescent="0.2">
      <c r="A55" s="2" t="s">
        <v>131</v>
      </c>
      <c r="B55" s="55" t="s">
        <v>132</v>
      </c>
    </row>
    <row r="56" spans="1:2" x14ac:dyDescent="0.2">
      <c r="A56" s="2" t="s">
        <v>133</v>
      </c>
      <c r="B56" s="55" t="s">
        <v>134</v>
      </c>
    </row>
  </sheetData>
  <sheetProtection algorithmName="SHA-512" hashValue="xOlWXTXimlvgjasG0bFtRYT2Tp58BP/4rGRJa6+NkcxQBscBPfBaefQoWq7eI9COxhNUL/cbZRbP8KgAhu6R3w==" saltValue="yuyfI4iRh7Qu+CRhNNP7WA==" spinCount="100000" sheet="1" selectLockedCells="1"/>
  <protectedRanges>
    <protectedRange sqref="M22:M26 J19:K20 M19:M20" name="Rango1"/>
    <protectedRange sqref="L19:L20 J22:L26" name="Rango2"/>
  </protectedRanges>
  <mergeCells count="23">
    <mergeCell ref="A10:I10"/>
    <mergeCell ref="O10:O14"/>
    <mergeCell ref="P10:U14"/>
    <mergeCell ref="A11:I11"/>
    <mergeCell ref="A12:I12"/>
    <mergeCell ref="D1:U1"/>
    <mergeCell ref="D2:U5"/>
    <mergeCell ref="A7:I7"/>
    <mergeCell ref="A8:I8"/>
    <mergeCell ref="A9:I9"/>
    <mergeCell ref="AV16:AV17"/>
    <mergeCell ref="A18:I18"/>
    <mergeCell ref="A13:I13"/>
    <mergeCell ref="A14:I14"/>
    <mergeCell ref="A15:I15"/>
    <mergeCell ref="J16:P16"/>
    <mergeCell ref="Q16:U16"/>
    <mergeCell ref="W16:AB16"/>
    <mergeCell ref="A21:I21"/>
    <mergeCell ref="AC16:AG16"/>
    <mergeCell ref="AH16:AL16"/>
    <mergeCell ref="AM16:AP16"/>
    <mergeCell ref="AQ16:AU16"/>
  </mergeCells>
  <conditionalFormatting sqref="J19:M20 J22:M26">
    <cfRule type="cellIs" dxfId="1" priority="1" stopIfTrue="1" operator="equal">
      <formula>0</formula>
    </cfRule>
  </conditionalFormatting>
  <pageMargins left="0.70866141732283472" right="0.70866141732283472" top="0.74803149606299213" bottom="0.74803149606299213" header="0.31496062992125984" footer="0.31496062992125984"/>
  <pageSetup paperSize="5" scale="2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B941E-BC74-4DB0-BC87-44100288113F}">
  <dimension ref="A1:A8"/>
  <sheetViews>
    <sheetView workbookViewId="0">
      <selection activeCell="A8" sqref="A8"/>
    </sheetView>
  </sheetViews>
  <sheetFormatPr baseColWidth="10" defaultRowHeight="15" x14ac:dyDescent="0.25"/>
  <sheetData>
    <row r="1" spans="1:1" x14ac:dyDescent="0.25">
      <c r="A1" s="28">
        <v>4249.666666666667</v>
      </c>
    </row>
    <row r="2" spans="1:1" x14ac:dyDescent="0.25">
      <c r="A2" s="28">
        <v>1952.3333333333333</v>
      </c>
    </row>
    <row r="3" spans="1:1" x14ac:dyDescent="0.25">
      <c r="A3" s="30"/>
    </row>
    <row r="4" spans="1:1" x14ac:dyDescent="0.25">
      <c r="A4" s="28">
        <v>1901.3333333333333</v>
      </c>
    </row>
    <row r="5" spans="1:1" x14ac:dyDescent="0.25">
      <c r="A5" s="28">
        <v>1952.3333333333333</v>
      </c>
    </row>
    <row r="6" spans="1:1" x14ac:dyDescent="0.25">
      <c r="A6" s="32">
        <v>4249.666666666667</v>
      </c>
    </row>
    <row r="7" spans="1:1" x14ac:dyDescent="0.25">
      <c r="A7" s="32">
        <v>4249.666666666667</v>
      </c>
    </row>
    <row r="8" spans="1:1" x14ac:dyDescent="0.25">
      <c r="A8" s="28">
        <v>2106.3333333333335</v>
      </c>
    </row>
  </sheetData>
  <protectedRanges>
    <protectedRange sqref="A1:A2" name="Rango1"/>
    <protectedRange sqref="A4:A8" name="Rango2"/>
  </protectedRanges>
  <conditionalFormatting sqref="A1:A2 A4:A8">
    <cfRule type="cellIs" dxfId="0" priority="1" stopIfTrue="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6 OE</vt:lpstr>
      <vt:lpstr>Hoja2</vt:lpstr>
    </vt:vector>
  </TitlesOfParts>
  <Company>Consejo Superior de la Judicatura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Epifanio Torres Velez</dc:creator>
  <cp:lastModifiedBy>Miguel Jose Zuleta Carrasquilla</cp:lastModifiedBy>
  <dcterms:created xsi:type="dcterms:W3CDTF">2026-10-09T19:14:44Z</dcterms:created>
  <dcterms:modified xsi:type="dcterms:W3CDTF">2026-10-13T16:42:30Z</dcterms:modified>
</cp:coreProperties>
</file>