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 PERIODO 2024 - 2027\PROYECTOS\PROYECTOS 2026\15.  MANTENIMIENTOS DE INSTITUCIONES 2026   OK\1.  PRESUPUESTO INSTITUCIONES 2026\"/>
    </mc:Choice>
  </mc:AlternateContent>
  <xr:revisionPtr revIDLastSave="0" documentId="13_ncr:1_{40A459E3-9FBF-4B77-96C8-D2363C36BF7E}" xr6:coauthVersionLast="46" xr6:coauthVersionMax="47" xr10:uidLastSave="{00000000-0000-0000-0000-000000000000}"/>
  <bookViews>
    <workbookView xWindow="-108" yWindow="-108" windowWidth="23256" windowHeight="12456" tabRatio="960" firstSheet="1" activeTab="2" xr2:uid="{00000000-000D-0000-FFFF-FFFF00000000}"/>
  </bookViews>
  <sheets>
    <sheet name="PRESUPUESTO  UBS" sheetId="150" state="hidden" r:id="rId1"/>
    <sheet name="PRESUPUESTO" sheetId="153" r:id="rId2"/>
    <sheet name="1. APU INST LA BALSA" sheetId="243" r:id="rId3"/>
    <sheet name="2. APU INST INDAPAZ 24 NOV" sheetId="242" r:id="rId4"/>
    <sheet name="3. APU INST INDAPAZ PRINCIPAL" sheetId="241" r:id="rId5"/>
    <sheet name="4. APU INST SN PRINCIPAL" sheetId="245" r:id="rId6"/>
    <sheet name="5. APU INST SN LAS MARGARITAS" sheetId="244" r:id="rId7"/>
    <sheet name="6. APU INST SN M. AUXILIADORA" sheetId="246" r:id="rId8"/>
    <sheet name="7. APU INST LUIFERGO" sheetId="240" r:id="rId9"/>
    <sheet name="MEMORIAS DE CANTIDADES  " sheetId="238" r:id="rId10"/>
    <sheet name="APU" sheetId="236" r:id="rId11"/>
    <sheet name="SUMA" sheetId="239" state="hidden" r:id="rId12"/>
    <sheet name="MO" sheetId="28" state="hidden" r:id="rId13"/>
    <sheet name="MATERIALES" sheetId="26" state="hidden" r:id="rId14"/>
    <sheet name="CANT" sheetId="169" state="hidden" r:id="rId15"/>
    <sheet name="EQUIPOS" sheetId="27" state="hidden" r:id="rId16"/>
    <sheet name="6.2" sheetId="99" state="hidden" r:id="rId17"/>
    <sheet name="6.3" sheetId="100" state="hidden" r:id="rId18"/>
    <sheet name="8.2" sheetId="77" state="hidden" r:id="rId19"/>
    <sheet name="8.3" sheetId="78" state="hidden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" localSheetId="16">#REF!</definedName>
    <definedName name="_" localSheetId="17">#REF!</definedName>
    <definedName name="_" localSheetId="0">#REF!</definedName>
    <definedName name="_xlnm._FilterDatabase" localSheetId="14" hidden="1">CANT!$L$1:$L$27</definedName>
    <definedName name="A_impresión_IM" localSheetId="16">#REF!</definedName>
    <definedName name="A_impresión_IM" localSheetId="17">#REF!</definedName>
    <definedName name="A_impresión_IM" localSheetId="0">#REF!</definedName>
    <definedName name="Adm" localSheetId="16">#REF!</definedName>
    <definedName name="Adm" localSheetId="17">#REF!</definedName>
    <definedName name="Adm" localSheetId="0">#REF!</definedName>
    <definedName name="_xlnm.Print_Area" localSheetId="10">APU!#REF!</definedName>
    <definedName name="_xlnm.Print_Area" localSheetId="14">CANT!$A$1:$L$22</definedName>
    <definedName name="_xlnm.Print_Area" localSheetId="1">PRESUPUESTO!$B$1:$G$74</definedName>
    <definedName name="_xlnm.Print_Area" localSheetId="0">'PRESUPUESTO  UBS'!$A$1:$G$171</definedName>
    <definedName name="BASE" localSheetId="16">#REF!</definedName>
    <definedName name="BASE" localSheetId="17">#REF!</definedName>
    <definedName name="BASE" localSheetId="0">#REF!</definedName>
    <definedName name="cadenero">MO!$B$10</definedName>
    <definedName name="CDCT" localSheetId="16">#REF!</definedName>
    <definedName name="CDCT" localSheetId="17">#REF!</definedName>
    <definedName name="CDCT" localSheetId="0">#REF!</definedName>
    <definedName name="CeldCanti" localSheetId="16">#REF!</definedName>
    <definedName name="CeldCanti" localSheetId="17">#REF!</definedName>
    <definedName name="CeldCanti" localSheetId="0">#REF!</definedName>
    <definedName name="CELDVRUNIT1" localSheetId="16">#REF!</definedName>
    <definedName name="CELDVRUNIT1" localSheetId="17">#REF!</definedName>
    <definedName name="CELDVRUNIT1" localSheetId="0">#REF!</definedName>
    <definedName name="CIndPresup" localSheetId="16">#REF!</definedName>
    <definedName name="CIndPresup" localSheetId="17">#REF!</definedName>
    <definedName name="CIndPresup" localSheetId="0">#REF!</definedName>
    <definedName name="concreto2500">#REF!</definedName>
    <definedName name="concreto3000">#REF!</definedName>
    <definedName name="COSTIND" localSheetId="16">#REF!</definedName>
    <definedName name="COSTIND" localSheetId="17">#REF!</definedName>
    <definedName name="COSTIND" localSheetId="0">#REF!</definedName>
    <definedName name="CU_BB">[1]CUADRILLAS!$E$37</definedName>
    <definedName name="DescripPpto" localSheetId="16">#REF!</definedName>
    <definedName name="DescripPpto" localSheetId="17">#REF!</definedName>
    <definedName name="DescripPpto" localSheetId="0">#REF!</definedName>
    <definedName name="fecha" localSheetId="2">'1. APU INST LA BALSA'!#REF!</definedName>
    <definedName name="fecha" localSheetId="3">'2. APU INST INDAPAZ 24 NOV'!#REF!</definedName>
    <definedName name="fecha" localSheetId="4">'3. APU INST INDAPAZ PRINCIPAL'!#REF!</definedName>
    <definedName name="fecha" localSheetId="5">'4. APU INST SN PRINCIPAL'!#REF!</definedName>
    <definedName name="fecha" localSheetId="6">'5. APU INST SN LAS MARGARITAS'!#REF!</definedName>
    <definedName name="fecha" localSheetId="7">'6. APU INST SN M. AUXILIADORA'!#REF!</definedName>
    <definedName name="fecha" localSheetId="8">'7. APU INST LUIFERGO'!#REF!</definedName>
    <definedName name="fecha" localSheetId="10">APU!#REF!</definedName>
    <definedName name="fecha">#REF!</definedName>
    <definedName name="FinPpto" localSheetId="16">#REF!</definedName>
    <definedName name="FinPpto" localSheetId="17">#REF!</definedName>
    <definedName name="FinPpto" localSheetId="0">#REF!</definedName>
    <definedName name="FinPpto2" localSheetId="16">#REF!</definedName>
    <definedName name="FinPpto2" localSheetId="17">#REF!</definedName>
    <definedName name="FinPpto2" localSheetId="0">#REF!</definedName>
    <definedName name="FormLinPresup" localSheetId="16">#REF!</definedName>
    <definedName name="FormLinPresup" localSheetId="17">#REF!</definedName>
    <definedName name="FormLinPresup" localSheetId="0">#REF!</definedName>
    <definedName name="gvgg" localSheetId="16">#REF!</definedName>
    <definedName name="gvgg" localSheetId="17">#REF!</definedName>
    <definedName name="gvgg" localSheetId="0">#REF!</definedName>
    <definedName name="hrtfxtfhxg" localSheetId="16">#REF!</definedName>
    <definedName name="hrtfxtfhxg" localSheetId="17">#REF!</definedName>
    <definedName name="hrtfxtfhxg" localSheetId="0">#REF!</definedName>
    <definedName name="Imprev" localSheetId="16">#REF!</definedName>
    <definedName name="Imprev" localSheetId="17">#REF!</definedName>
    <definedName name="Imprev" localSheetId="0">#REF!</definedName>
    <definedName name="INICIOPPTO" localSheetId="16">#REF!</definedName>
    <definedName name="INICIOPPTO" localSheetId="17">#REF!</definedName>
    <definedName name="INICIOPPTO" localSheetId="0">#REF!</definedName>
    <definedName name="instalacion" localSheetId="16">#REF!</definedName>
    <definedName name="instalacion" localSheetId="17">#REF!</definedName>
    <definedName name="instalacion" localSheetId="0">#REF!</definedName>
    <definedName name="item1">#REF!</definedName>
    <definedName name="item10">#REF!</definedName>
    <definedName name="item11">#REF!</definedName>
    <definedName name="item12">#REF!</definedName>
    <definedName name="item13" localSheetId="2">'1. APU INST LA BALSA'!#REF!</definedName>
    <definedName name="item13" localSheetId="3">'2. APU INST INDAPAZ 24 NOV'!#REF!</definedName>
    <definedName name="item13" localSheetId="4">'3. APU INST INDAPAZ PRINCIPAL'!#REF!</definedName>
    <definedName name="item13" localSheetId="5">'4. APU INST SN PRINCIPAL'!#REF!</definedName>
    <definedName name="item13" localSheetId="6">'5. APU INST SN LAS MARGARITAS'!#REF!</definedName>
    <definedName name="item13" localSheetId="7">'6. APU INST SN M. AUXILIADORA'!#REF!</definedName>
    <definedName name="item13" localSheetId="8">'7. APU INST LUIFERGO'!#REF!</definedName>
    <definedName name="item13" localSheetId="10">APU!#REF!</definedName>
    <definedName name="item13" localSheetId="9">'[2]APU TIERRA SANTA'!#REF!</definedName>
    <definedName name="item13">#REF!</definedName>
    <definedName name="ITEM14">#REF!</definedName>
    <definedName name="item2">#REF!</definedName>
    <definedName name="item3">#REF!</definedName>
    <definedName name="item4">#REF!</definedName>
    <definedName name="item5">#REF!</definedName>
    <definedName name="item6">#REF!</definedName>
    <definedName name="item7">#REF!</definedName>
    <definedName name="item8">#REF!</definedName>
    <definedName name="item9">#REF!</definedName>
    <definedName name="iuh" localSheetId="16">#REF!</definedName>
    <definedName name="iuh" localSheetId="17">#REF!</definedName>
    <definedName name="iuh" localSheetId="0">#REF!</definedName>
    <definedName name="IvaSUtl" localSheetId="16">#REF!</definedName>
    <definedName name="IvaSUtl" localSheetId="17">#REF!</definedName>
    <definedName name="IvaSUtl" localSheetId="0">#REF!</definedName>
    <definedName name="LineaPresup" localSheetId="16">#REF!</definedName>
    <definedName name="LineaPresup" localSheetId="17">#REF!</definedName>
    <definedName name="LineaPresup" localSheetId="0">#REF!</definedName>
    <definedName name="m" localSheetId="16">#REF!</definedName>
    <definedName name="m" localSheetId="17">#REF!</definedName>
    <definedName name="m" localSheetId="0">#REF!</definedName>
    <definedName name="machinero">MO!$B$12</definedName>
    <definedName name="maestro">MO!$B$5</definedName>
    <definedName name="MORTERO1.4">#REF!</definedName>
    <definedName name="objeto" localSheetId="9">[2]PRESUPUESTO!$B$1</definedName>
    <definedName name="objeto">PRESUPUESTO!$B$1</definedName>
    <definedName name="obrero">MO!$B$8</definedName>
    <definedName name="oficial">MO!$B$7</definedName>
    <definedName name="oficial1">MO!$B$14</definedName>
    <definedName name="olga" localSheetId="16">#REF!</definedName>
    <definedName name="olga" localSheetId="17">#REF!</definedName>
    <definedName name="olga" localSheetId="0">#REF!</definedName>
    <definedName name="operador">MO!$B$13</definedName>
    <definedName name="PRELIMINARES" localSheetId="16">#REF!</definedName>
    <definedName name="PRELIMINARES" localSheetId="17">#REF!</definedName>
    <definedName name="PRELIMINARES" localSheetId="0">#REF!</definedName>
    <definedName name="q" localSheetId="16">#REF!</definedName>
    <definedName name="q" localSheetId="17">#REF!</definedName>
    <definedName name="q" localSheetId="0">#REF!</definedName>
    <definedName name="RCindPresup" localSheetId="16">#REF!</definedName>
    <definedName name="RCindPresup" localSheetId="17">#REF!</definedName>
    <definedName name="RCindPresup" localSheetId="0">#REF!</definedName>
    <definedName name="REPLANTEO" localSheetId="16">#REF!</definedName>
    <definedName name="REPLANTEO" localSheetId="17">#REF!</definedName>
    <definedName name="REPLANTEO" localSheetId="0">#REF!</definedName>
    <definedName name="ResEquipo" localSheetId="16">#REF!</definedName>
    <definedName name="ResEquipo" localSheetId="17">#REF!</definedName>
    <definedName name="ResEquipo" localSheetId="0">#REF!</definedName>
    <definedName name="ResMateriales" localSheetId="16">#REF!</definedName>
    <definedName name="ResMateriales" localSheetId="17">#REF!</definedName>
    <definedName name="ResMateriales" localSheetId="0">#REF!</definedName>
    <definedName name="ResMO" localSheetId="16">#REF!</definedName>
    <definedName name="ResMO" localSheetId="17">#REF!</definedName>
    <definedName name="ResMO" localSheetId="0">#REF!</definedName>
    <definedName name="ResOtros" localSheetId="16">#REF!</definedName>
    <definedName name="ResOtros" localSheetId="17">#REF!</definedName>
    <definedName name="ResOtros" localSheetId="0">#REF!</definedName>
    <definedName name="ResUnit_CD" localSheetId="16">#REF!</definedName>
    <definedName name="ResUnit_CD" localSheetId="17">#REF!</definedName>
    <definedName name="ResUnit_CD" localSheetId="0">#REF!</definedName>
    <definedName name="rr" localSheetId="16">#REF!</definedName>
    <definedName name="rr" localSheetId="17">#REF!</definedName>
    <definedName name="rr" localSheetId="0">#REF!</definedName>
    <definedName name="SbtPpto" localSheetId="16">#REF!</definedName>
    <definedName name="SbtPpto" localSheetId="17">#REF!</definedName>
    <definedName name="SbtPpto" localSheetId="0">#REF!</definedName>
    <definedName name="serf" localSheetId="16">#REF!</definedName>
    <definedName name="serf" localSheetId="17">#REF!</definedName>
    <definedName name="serf" localSheetId="0">#REF!</definedName>
    <definedName name="soldador">MO!$B$6</definedName>
    <definedName name="_xlnm.Print_Titles" localSheetId="14">CANT!$1:$8</definedName>
    <definedName name="_xlnm.Print_Titles" localSheetId="13">MATERIALES!$1:$4</definedName>
    <definedName name="_xlnm.Print_Titles" localSheetId="1">PRESUPUESTO!$1:$3</definedName>
    <definedName name="_xlnm.Print_Titles" localSheetId="0">'PRESUPUESTO  UBS'!$1:$5</definedName>
    <definedName name="topografo">MO!$B$9</definedName>
    <definedName name="TotalAIU" localSheetId="16">#REF!</definedName>
    <definedName name="TotalAIU" localSheetId="17">#REF!</definedName>
    <definedName name="TotalAIU" localSheetId="0">#REF!</definedName>
    <definedName name="trochero">MO!$B$11</definedName>
    <definedName name="TtlCD" localSheetId="16">#REF!</definedName>
    <definedName name="TtlCD" localSheetId="17">#REF!</definedName>
    <definedName name="TtlCD" localSheetId="0">#REF!</definedName>
    <definedName name="tyuyutyut" localSheetId="16">#REF!</definedName>
    <definedName name="tyuyutyut" localSheetId="17">#REF!</definedName>
    <definedName name="tyuyutyut" localSheetId="0">#REF!</definedName>
    <definedName name="unitarios" localSheetId="16">#REF!</definedName>
    <definedName name="unitarios" localSheetId="17">#REF!</definedName>
    <definedName name="unitarios" localSheetId="0">#REF!</definedName>
    <definedName name="Utilidad" localSheetId="16">#REF!</definedName>
    <definedName name="Utilidad" localSheetId="17">#REF!</definedName>
    <definedName name="Utilidad" localSheetId="0">#REF!</definedName>
    <definedName name="VRTTLUNDS" localSheetId="16">#REF!</definedName>
    <definedName name="VRTTLUNDS" localSheetId="17">#REF!</definedName>
    <definedName name="VRTTLUNDS" localSheetId="0">#REF!</definedName>
    <definedName name="VrUtilidad" localSheetId="16">#REF!</definedName>
    <definedName name="VrUtilidad" localSheetId="17">#REF!</definedName>
    <definedName name="VrUtilidad" localSheetId="0">#REF!</definedName>
    <definedName name="w" localSheetId="16">#REF!</definedName>
    <definedName name="w" localSheetId="17">#REF!</definedName>
    <definedName name="w" localSheetId="0">#REF!</definedName>
    <definedName name="y" localSheetId="16">#REF!</definedName>
    <definedName name="y" localSheetId="17">#REF!</definedName>
    <definedName name="y" localSheetId="0">#REF!</definedName>
  </definedNames>
  <calcPr calcId="191029" concurrentCalc="0"/>
</workbook>
</file>

<file path=xl/calcChain.xml><?xml version="1.0" encoding="utf-8"?>
<calcChain xmlns="http://schemas.openxmlformats.org/spreadsheetml/2006/main">
  <c r="C239" i="240" l="1"/>
  <c r="C190" i="240"/>
  <c r="C126" i="240"/>
  <c r="C76" i="240"/>
  <c r="C15" i="240"/>
  <c r="C245" i="246"/>
  <c r="C189" i="246"/>
  <c r="C128" i="246"/>
  <c r="C67" i="246"/>
  <c r="C15" i="246"/>
  <c r="C173" i="244"/>
  <c r="C121" i="244"/>
  <c r="C15" i="244"/>
  <c r="C537" i="245"/>
  <c r="C434" i="245"/>
  <c r="C383" i="245"/>
  <c r="C332" i="245"/>
  <c r="C280" i="245"/>
  <c r="C229" i="245"/>
  <c r="C176" i="245"/>
  <c r="C124" i="245"/>
  <c r="C66" i="245"/>
  <c r="C15" i="245"/>
  <c r="C72" i="241"/>
  <c r="C15" i="241"/>
  <c r="C323" i="242"/>
  <c r="B366" i="242"/>
  <c r="B369" i="242"/>
  <c r="F392" i="242"/>
  <c r="H392" i="242"/>
  <c r="D346" i="242"/>
  <c r="D393" i="242"/>
  <c r="F393" i="242"/>
  <c r="H393" i="242"/>
  <c r="H395" i="242"/>
  <c r="G375" i="242"/>
  <c r="H375" i="242"/>
  <c r="G376" i="242"/>
  <c r="H376" i="242"/>
  <c r="H378" i="242"/>
  <c r="D381" i="242"/>
  <c r="G381" i="242"/>
  <c r="H381" i="242"/>
  <c r="D382" i="242"/>
  <c r="G382" i="242"/>
  <c r="H382" i="242"/>
  <c r="H384" i="242"/>
  <c r="H389" i="242"/>
  <c r="H397" i="242"/>
  <c r="B414" i="242"/>
  <c r="B417" i="242"/>
  <c r="D440" i="242"/>
  <c r="F440" i="242"/>
  <c r="H440" i="242"/>
  <c r="D441" i="242"/>
  <c r="F441" i="242"/>
  <c r="H441" i="242"/>
  <c r="H443" i="242"/>
  <c r="G423" i="242"/>
  <c r="H423" i="242"/>
  <c r="H426" i="242"/>
  <c r="D429" i="242"/>
  <c r="G429" i="242"/>
  <c r="H429" i="242"/>
  <c r="G431" i="242"/>
  <c r="H431" i="242"/>
  <c r="H432" i="242"/>
  <c r="H437" i="242"/>
  <c r="H445" i="242"/>
  <c r="B466" i="242"/>
  <c r="B469" i="242"/>
  <c r="D495" i="242"/>
  <c r="F495" i="242"/>
  <c r="H495" i="242"/>
  <c r="D496" i="242"/>
  <c r="F496" i="242"/>
  <c r="H496" i="242"/>
  <c r="H498" i="242"/>
  <c r="G475" i="242"/>
  <c r="H475" i="242"/>
  <c r="H478" i="242"/>
  <c r="G481" i="242"/>
  <c r="H481" i="242"/>
  <c r="G482" i="242"/>
  <c r="H482" i="242"/>
  <c r="G483" i="242"/>
  <c r="H483" i="242"/>
  <c r="D484" i="242"/>
  <c r="H484" i="242"/>
  <c r="E485" i="242"/>
  <c r="G485" i="242"/>
  <c r="H485" i="242"/>
  <c r="H487" i="242"/>
  <c r="H492" i="242"/>
  <c r="H500" i="242"/>
  <c r="B518" i="242"/>
  <c r="B521" i="242"/>
  <c r="D552" i="242"/>
  <c r="F552" i="242"/>
  <c r="H552" i="242"/>
  <c r="D553" i="242"/>
  <c r="F553" i="242"/>
  <c r="H553" i="242"/>
  <c r="H555" i="242"/>
  <c r="G527" i="242"/>
  <c r="H527" i="242"/>
  <c r="G528" i="242"/>
  <c r="H528" i="242"/>
  <c r="G529" i="242"/>
  <c r="H529" i="242"/>
  <c r="H530" i="242"/>
  <c r="D533" i="242"/>
  <c r="G533" i="242"/>
  <c r="H533" i="242"/>
  <c r="G534" i="242"/>
  <c r="H534" i="242"/>
  <c r="G535" i="242"/>
  <c r="H535" i="242"/>
  <c r="G536" i="242"/>
  <c r="H536" i="242"/>
  <c r="G537" i="242"/>
  <c r="H537" i="242"/>
  <c r="G538" i="242"/>
  <c r="H538" i="242"/>
  <c r="E539" i="242"/>
  <c r="G539" i="242"/>
  <c r="H539" i="242"/>
  <c r="G540" i="242"/>
  <c r="H540" i="242"/>
  <c r="E542" i="242"/>
  <c r="G542" i="242"/>
  <c r="H542" i="242"/>
  <c r="H544" i="242"/>
  <c r="G547" i="242"/>
  <c r="H547" i="242"/>
  <c r="H549" i="242"/>
  <c r="H557" i="242"/>
  <c r="C272" i="242"/>
  <c r="C222" i="242"/>
  <c r="C171" i="242"/>
  <c r="C119" i="242"/>
  <c r="C66" i="242"/>
  <c r="C15" i="242"/>
  <c r="C687" i="243"/>
  <c r="C634" i="243"/>
  <c r="C583" i="243"/>
  <c r="C530" i="243"/>
  <c r="C477" i="243"/>
  <c r="C424" i="243"/>
  <c r="C373" i="243"/>
  <c r="C323" i="243"/>
  <c r="C268" i="243"/>
  <c r="C165" i="243"/>
  <c r="C218" i="243"/>
  <c r="C116" i="243"/>
  <c r="C64" i="243"/>
  <c r="C15" i="243"/>
  <c r="B12" i="244"/>
  <c r="F47" i="240"/>
  <c r="H47" i="240"/>
  <c r="F48" i="240"/>
  <c r="H48" i="240"/>
  <c r="H50" i="240"/>
  <c r="G18" i="240"/>
  <c r="H18" i="240"/>
  <c r="H21" i="240"/>
  <c r="E24" i="240"/>
  <c r="G24" i="240"/>
  <c r="H24" i="240"/>
  <c r="E25" i="240"/>
  <c r="G25" i="240"/>
  <c r="H25" i="240"/>
  <c r="E26" i="240"/>
  <c r="G26" i="240"/>
  <c r="H26" i="240"/>
  <c r="E27" i="240"/>
  <c r="G27" i="240"/>
  <c r="H27" i="240"/>
  <c r="E28" i="240"/>
  <c r="G28" i="240"/>
  <c r="H28" i="240"/>
  <c r="E29" i="240"/>
  <c r="G29" i="240"/>
  <c r="H29" i="240"/>
  <c r="E30" i="240"/>
  <c r="G30" i="240"/>
  <c r="H30" i="240"/>
  <c r="E31" i="240"/>
  <c r="G31" i="240"/>
  <c r="H31" i="240"/>
  <c r="G32" i="240"/>
  <c r="H32" i="240"/>
  <c r="E33" i="240"/>
  <c r="G33" i="240"/>
  <c r="H33" i="240"/>
  <c r="E34" i="240"/>
  <c r="G34" i="240"/>
  <c r="H34" i="240"/>
  <c r="E35" i="240"/>
  <c r="G35" i="240"/>
  <c r="H35" i="240"/>
  <c r="E36" i="240"/>
  <c r="G36" i="240"/>
  <c r="H36" i="240"/>
  <c r="E37" i="240"/>
  <c r="G37" i="240"/>
  <c r="H37" i="240"/>
  <c r="H39" i="240"/>
  <c r="G42" i="240"/>
  <c r="H42" i="240"/>
  <c r="H44" i="240"/>
  <c r="H52" i="240"/>
  <c r="F58" i="153"/>
  <c r="G58" i="153"/>
  <c r="F96" i="240"/>
  <c r="H96" i="240"/>
  <c r="F97" i="240"/>
  <c r="H97" i="240"/>
  <c r="H99" i="240"/>
  <c r="G79" i="240"/>
  <c r="H79" i="240"/>
  <c r="H82" i="240"/>
  <c r="H88" i="240"/>
  <c r="G91" i="240"/>
  <c r="H91" i="240"/>
  <c r="H93" i="240"/>
  <c r="H101" i="240"/>
  <c r="F59" i="153"/>
  <c r="G59" i="153"/>
  <c r="D154" i="240"/>
  <c r="F154" i="240"/>
  <c r="H154" i="240"/>
  <c r="D155" i="240"/>
  <c r="F155" i="240"/>
  <c r="H155" i="240"/>
  <c r="H157" i="240"/>
  <c r="G129" i="240"/>
  <c r="H129" i="240"/>
  <c r="G130" i="240"/>
  <c r="H130" i="240"/>
  <c r="G131" i="240"/>
  <c r="H131" i="240"/>
  <c r="H132" i="240"/>
  <c r="G135" i="240"/>
  <c r="H135" i="240"/>
  <c r="G136" i="240"/>
  <c r="H136" i="240"/>
  <c r="G137" i="240"/>
  <c r="H137" i="240"/>
  <c r="G138" i="240"/>
  <c r="H138" i="240"/>
  <c r="G139" i="240"/>
  <c r="H139" i="240"/>
  <c r="G140" i="240"/>
  <c r="H140" i="240"/>
  <c r="E141" i="240"/>
  <c r="G141" i="240"/>
  <c r="H141" i="240"/>
  <c r="G142" i="240"/>
  <c r="H142" i="240"/>
  <c r="E144" i="240"/>
  <c r="G144" i="240"/>
  <c r="H144" i="240"/>
  <c r="H146" i="240"/>
  <c r="G149" i="240"/>
  <c r="H149" i="240"/>
  <c r="H151" i="240"/>
  <c r="H159" i="240"/>
  <c r="F60" i="153"/>
  <c r="G60" i="153"/>
  <c r="D210" i="240"/>
  <c r="F210" i="240"/>
  <c r="H210" i="240"/>
  <c r="D211" i="240"/>
  <c r="F211" i="240"/>
  <c r="H211" i="240"/>
  <c r="H213" i="240"/>
  <c r="G193" i="240"/>
  <c r="H193" i="240"/>
  <c r="H196" i="240"/>
  <c r="G199" i="240"/>
  <c r="H199" i="240"/>
  <c r="G201" i="240"/>
  <c r="H201" i="240"/>
  <c r="H202" i="240"/>
  <c r="H207" i="240"/>
  <c r="H215" i="240"/>
  <c r="F61" i="153"/>
  <c r="G61" i="153"/>
  <c r="F259" i="240"/>
  <c r="H259" i="240"/>
  <c r="D260" i="240"/>
  <c r="F260" i="240"/>
  <c r="H260" i="240"/>
  <c r="H262" i="240"/>
  <c r="G242" i="240"/>
  <c r="H242" i="240"/>
  <c r="G243" i="240"/>
  <c r="H243" i="240"/>
  <c r="H245" i="240"/>
  <c r="G248" i="240"/>
  <c r="H248" i="240"/>
  <c r="G249" i="240"/>
  <c r="H249" i="240"/>
  <c r="H251" i="240"/>
  <c r="H256" i="240"/>
  <c r="H264" i="240"/>
  <c r="F62" i="153"/>
  <c r="G62" i="153"/>
  <c r="G63" i="153"/>
  <c r="F35" i="246"/>
  <c r="H35" i="246"/>
  <c r="F36" i="246"/>
  <c r="H36" i="246"/>
  <c r="H38" i="246"/>
  <c r="G18" i="246"/>
  <c r="H18" i="246"/>
  <c r="H21" i="246"/>
  <c r="H27" i="246"/>
  <c r="G30" i="246"/>
  <c r="H30" i="246"/>
  <c r="H32" i="246"/>
  <c r="H40" i="246"/>
  <c r="F51" i="153"/>
  <c r="E51" i="153"/>
  <c r="G51" i="153"/>
  <c r="D93" i="246"/>
  <c r="F93" i="246"/>
  <c r="H93" i="246"/>
  <c r="D94" i="246"/>
  <c r="F94" i="246"/>
  <c r="H94" i="246"/>
  <c r="H96" i="246"/>
  <c r="G70" i="246"/>
  <c r="H70" i="246"/>
  <c r="G71" i="246"/>
  <c r="H71" i="246"/>
  <c r="H73" i="246"/>
  <c r="E76" i="246"/>
  <c r="J75" i="246"/>
  <c r="F76" i="246"/>
  <c r="G76" i="246"/>
  <c r="H76" i="246"/>
  <c r="J80" i="246"/>
  <c r="F77" i="246"/>
  <c r="G77" i="246"/>
  <c r="H77" i="246"/>
  <c r="F78" i="246"/>
  <c r="G78" i="246"/>
  <c r="H78" i="246"/>
  <c r="F79" i="246"/>
  <c r="G79" i="246"/>
  <c r="H79" i="246"/>
  <c r="F80" i="246"/>
  <c r="G80" i="246"/>
  <c r="H80" i="246"/>
  <c r="G81" i="246"/>
  <c r="H81" i="246"/>
  <c r="G83" i="246"/>
  <c r="H83" i="246"/>
  <c r="H85" i="246"/>
  <c r="H90" i="246"/>
  <c r="H98" i="246"/>
  <c r="F52" i="153"/>
  <c r="G52" i="153"/>
  <c r="E53" i="153"/>
  <c r="D156" i="246"/>
  <c r="F156" i="246"/>
  <c r="H156" i="246"/>
  <c r="D157" i="246"/>
  <c r="F157" i="246"/>
  <c r="H157" i="246"/>
  <c r="H159" i="246"/>
  <c r="G131" i="246"/>
  <c r="H131" i="246"/>
  <c r="G132" i="246"/>
  <c r="H132" i="246"/>
  <c r="H134" i="246"/>
  <c r="E137" i="246"/>
  <c r="F137" i="246"/>
  <c r="G137" i="246"/>
  <c r="H137" i="246"/>
  <c r="E138" i="246"/>
  <c r="J145" i="246"/>
  <c r="F138" i="246"/>
  <c r="G138" i="246"/>
  <c r="H138" i="246"/>
  <c r="J138" i="246"/>
  <c r="F139" i="246"/>
  <c r="G139" i="246"/>
  <c r="H139" i="246"/>
  <c r="F140" i="246"/>
  <c r="G140" i="246"/>
  <c r="H140" i="246"/>
  <c r="F141" i="246"/>
  <c r="G141" i="246"/>
  <c r="H141" i="246"/>
  <c r="F142" i="246"/>
  <c r="G142" i="246"/>
  <c r="H142" i="246"/>
  <c r="G143" i="246"/>
  <c r="H143" i="246"/>
  <c r="G144" i="246"/>
  <c r="H144" i="246"/>
  <c r="G145" i="246"/>
  <c r="H145" i="246"/>
  <c r="E146" i="246"/>
  <c r="H146" i="246"/>
  <c r="H148" i="246"/>
  <c r="H153" i="246"/>
  <c r="H161" i="246"/>
  <c r="F53" i="153"/>
  <c r="G53" i="153"/>
  <c r="D216" i="246"/>
  <c r="F216" i="246"/>
  <c r="H216" i="246"/>
  <c r="D217" i="246"/>
  <c r="F217" i="246"/>
  <c r="H217" i="246"/>
  <c r="H219" i="246"/>
  <c r="G192" i="246"/>
  <c r="H192" i="246"/>
  <c r="G193" i="246"/>
  <c r="H193" i="246"/>
  <c r="H195" i="246"/>
  <c r="J199" i="246"/>
  <c r="F199" i="246"/>
  <c r="G199" i="246"/>
  <c r="H199" i="246"/>
  <c r="F200" i="246"/>
  <c r="G200" i="246"/>
  <c r="H200" i="246"/>
  <c r="F201" i="246"/>
  <c r="G201" i="246"/>
  <c r="H201" i="246"/>
  <c r="F202" i="246"/>
  <c r="G202" i="246"/>
  <c r="H202" i="246"/>
  <c r="G203" i="246"/>
  <c r="H203" i="246"/>
  <c r="G204" i="246"/>
  <c r="H204" i="246"/>
  <c r="G205" i="246"/>
  <c r="H205" i="246"/>
  <c r="E206" i="246"/>
  <c r="H206" i="246"/>
  <c r="H208" i="246"/>
  <c r="H213" i="246"/>
  <c r="H221" i="246"/>
  <c r="F54" i="153"/>
  <c r="G54" i="153"/>
  <c r="D273" i="246"/>
  <c r="F273" i="246"/>
  <c r="H273" i="246"/>
  <c r="D274" i="246"/>
  <c r="F274" i="246"/>
  <c r="H274" i="246"/>
  <c r="H276" i="246"/>
  <c r="G248" i="246"/>
  <c r="H248" i="246"/>
  <c r="G249" i="246"/>
  <c r="H249" i="246"/>
  <c r="H251" i="246"/>
  <c r="J256" i="246"/>
  <c r="F256" i="246"/>
  <c r="G256" i="246"/>
  <c r="H256" i="246"/>
  <c r="F257" i="246"/>
  <c r="G257" i="246"/>
  <c r="H257" i="246"/>
  <c r="F258" i="246"/>
  <c r="G258" i="246"/>
  <c r="H258" i="246"/>
  <c r="F259" i="246"/>
  <c r="G259" i="246"/>
  <c r="H259" i="246"/>
  <c r="G260" i="246"/>
  <c r="H260" i="246"/>
  <c r="G261" i="246"/>
  <c r="H261" i="246"/>
  <c r="G262" i="246"/>
  <c r="H262" i="246"/>
  <c r="E263" i="246"/>
  <c r="H263" i="246"/>
  <c r="H265" i="246"/>
  <c r="H270" i="246"/>
  <c r="H278" i="246"/>
  <c r="F55" i="153"/>
  <c r="G55" i="153"/>
  <c r="G56" i="153"/>
  <c r="D204" i="245"/>
  <c r="D43" i="244"/>
  <c r="F43" i="244"/>
  <c r="H43" i="244"/>
  <c r="D205" i="245"/>
  <c r="D44" i="244"/>
  <c r="F44" i="244"/>
  <c r="H44" i="244"/>
  <c r="H46" i="244"/>
  <c r="G18" i="244"/>
  <c r="H18" i="244"/>
  <c r="G19" i="244"/>
  <c r="H19" i="244"/>
  <c r="G20" i="244"/>
  <c r="H20" i="244"/>
  <c r="H21" i="244"/>
  <c r="G24" i="244"/>
  <c r="H24" i="244"/>
  <c r="G25" i="244"/>
  <c r="H25" i="244"/>
  <c r="G26" i="244"/>
  <c r="H26" i="244"/>
  <c r="G27" i="244"/>
  <c r="H27" i="244"/>
  <c r="G28" i="244"/>
  <c r="H28" i="244"/>
  <c r="G29" i="244"/>
  <c r="H29" i="244"/>
  <c r="E30" i="244"/>
  <c r="G30" i="244"/>
  <c r="H30" i="244"/>
  <c r="G31" i="244"/>
  <c r="H31" i="244"/>
  <c r="E33" i="244"/>
  <c r="G33" i="244"/>
  <c r="H33" i="244"/>
  <c r="H35" i="244"/>
  <c r="G38" i="244"/>
  <c r="H38" i="244"/>
  <c r="H40" i="244"/>
  <c r="H48" i="244"/>
  <c r="F46" i="153"/>
  <c r="E46" i="153"/>
  <c r="G46" i="153"/>
  <c r="D303" i="245"/>
  <c r="D144" i="244"/>
  <c r="F144" i="244"/>
  <c r="H144" i="244"/>
  <c r="D304" i="245"/>
  <c r="D145" i="244"/>
  <c r="F145" i="244"/>
  <c r="H145" i="244"/>
  <c r="H147" i="244"/>
  <c r="G124" i="244"/>
  <c r="H124" i="244"/>
  <c r="H127" i="244"/>
  <c r="G130" i="244"/>
  <c r="H130" i="244"/>
  <c r="G131" i="244"/>
  <c r="H131" i="244"/>
  <c r="G132" i="244"/>
  <c r="H132" i="244"/>
  <c r="H133" i="244"/>
  <c r="E134" i="244"/>
  <c r="G134" i="244"/>
  <c r="H134" i="244"/>
  <c r="H136" i="244"/>
  <c r="H141" i="244"/>
  <c r="H149" i="244"/>
  <c r="F47" i="153"/>
  <c r="G47" i="153"/>
  <c r="F196" i="244"/>
  <c r="H196" i="244"/>
  <c r="D197" i="244"/>
  <c r="F197" i="244"/>
  <c r="H197" i="244"/>
  <c r="H199" i="244"/>
  <c r="G176" i="244"/>
  <c r="H176" i="244"/>
  <c r="H179" i="244"/>
  <c r="G182" i="244"/>
  <c r="H182" i="244"/>
  <c r="G183" i="244"/>
  <c r="H183" i="244"/>
  <c r="G184" i="244"/>
  <c r="H184" i="244"/>
  <c r="G185" i="244"/>
  <c r="H185" i="244"/>
  <c r="G186" i="244"/>
  <c r="H186" i="244"/>
  <c r="H188" i="244"/>
  <c r="G191" i="244"/>
  <c r="H191" i="244"/>
  <c r="H193" i="244"/>
  <c r="H201" i="244"/>
  <c r="F48" i="153"/>
  <c r="G48" i="153"/>
  <c r="G49" i="153"/>
  <c r="E34" i="153"/>
  <c r="D35" i="245"/>
  <c r="F35" i="245"/>
  <c r="H35" i="245"/>
  <c r="D36" i="245"/>
  <c r="F36" i="245"/>
  <c r="H36" i="245"/>
  <c r="H38" i="245"/>
  <c r="G18" i="245"/>
  <c r="H18" i="245"/>
  <c r="G19" i="245"/>
  <c r="H19" i="245"/>
  <c r="H21" i="245"/>
  <c r="G24" i="245"/>
  <c r="H24" i="245"/>
  <c r="G25" i="245"/>
  <c r="H25" i="245"/>
  <c r="H27" i="245"/>
  <c r="H32" i="245"/>
  <c r="H40" i="245"/>
  <c r="F34" i="153"/>
  <c r="G34" i="153"/>
  <c r="E35" i="153"/>
  <c r="F91" i="245"/>
  <c r="H91" i="245"/>
  <c r="F92" i="245"/>
  <c r="G92" i="245"/>
  <c r="H92" i="245"/>
  <c r="H94" i="245"/>
  <c r="G69" i="245"/>
  <c r="H69" i="245"/>
  <c r="H72" i="245"/>
  <c r="G75" i="245"/>
  <c r="H75" i="245"/>
  <c r="G76" i="245"/>
  <c r="H76" i="245"/>
  <c r="G77" i="245"/>
  <c r="H77" i="245"/>
  <c r="G78" i="245"/>
  <c r="H78" i="245"/>
  <c r="E81" i="245"/>
  <c r="G81" i="245"/>
  <c r="H81" i="245"/>
  <c r="H83" i="245"/>
  <c r="G86" i="245"/>
  <c r="H86" i="245"/>
  <c r="H88" i="245"/>
  <c r="H96" i="245"/>
  <c r="F35" i="153"/>
  <c r="G35" i="153"/>
  <c r="D146" i="245"/>
  <c r="F146" i="245"/>
  <c r="H146" i="245"/>
  <c r="D147" i="245"/>
  <c r="F147" i="245"/>
  <c r="H147" i="245"/>
  <c r="H149" i="245"/>
  <c r="G127" i="245"/>
  <c r="H127" i="245"/>
  <c r="H130" i="245"/>
  <c r="G133" i="245"/>
  <c r="H133" i="245"/>
  <c r="G134" i="245"/>
  <c r="H134" i="245"/>
  <c r="G135" i="245"/>
  <c r="H135" i="245"/>
  <c r="G136" i="245"/>
  <c r="H136" i="245"/>
  <c r="H138" i="245"/>
  <c r="G141" i="245"/>
  <c r="H141" i="245"/>
  <c r="H143" i="245"/>
  <c r="H151" i="245"/>
  <c r="F36" i="153"/>
  <c r="G36" i="153"/>
  <c r="E37" i="153"/>
  <c r="F204" i="245"/>
  <c r="H204" i="245"/>
  <c r="F205" i="245"/>
  <c r="H205" i="245"/>
  <c r="H207" i="245"/>
  <c r="G179" i="245"/>
  <c r="H179" i="245"/>
  <c r="G180" i="245"/>
  <c r="H180" i="245"/>
  <c r="G181" i="245"/>
  <c r="H181" i="245"/>
  <c r="H182" i="245"/>
  <c r="G185" i="245"/>
  <c r="H185" i="245"/>
  <c r="G186" i="245"/>
  <c r="H186" i="245"/>
  <c r="G187" i="245"/>
  <c r="H187" i="245"/>
  <c r="G188" i="245"/>
  <c r="H188" i="245"/>
  <c r="G189" i="245"/>
  <c r="H189" i="245"/>
  <c r="G190" i="245"/>
  <c r="H190" i="245"/>
  <c r="E191" i="245"/>
  <c r="G191" i="245"/>
  <c r="H191" i="245"/>
  <c r="G192" i="245"/>
  <c r="H192" i="245"/>
  <c r="E194" i="245"/>
  <c r="G194" i="245"/>
  <c r="H194" i="245"/>
  <c r="H196" i="245"/>
  <c r="G199" i="245"/>
  <c r="H199" i="245"/>
  <c r="H201" i="245"/>
  <c r="H209" i="245"/>
  <c r="F37" i="153"/>
  <c r="G37" i="153"/>
  <c r="E38" i="153"/>
  <c r="D249" i="245"/>
  <c r="F249" i="245"/>
  <c r="H249" i="245"/>
  <c r="D250" i="245"/>
  <c r="F250" i="245"/>
  <c r="H250" i="245"/>
  <c r="H252" i="245"/>
  <c r="G232" i="245"/>
  <c r="H232" i="245"/>
  <c r="H235" i="245"/>
  <c r="G238" i="245"/>
  <c r="H238" i="245"/>
  <c r="G239" i="245"/>
  <c r="H239" i="245"/>
  <c r="G240" i="245"/>
  <c r="H240" i="245"/>
  <c r="H241" i="245"/>
  <c r="H246" i="245"/>
  <c r="H254" i="245"/>
  <c r="F38" i="153"/>
  <c r="G38" i="153"/>
  <c r="F303" i="245"/>
  <c r="H303" i="245"/>
  <c r="F304" i="245"/>
  <c r="H304" i="245"/>
  <c r="H306" i="245"/>
  <c r="G283" i="245"/>
  <c r="H283" i="245"/>
  <c r="H286" i="245"/>
  <c r="G289" i="245"/>
  <c r="H289" i="245"/>
  <c r="G290" i="245"/>
  <c r="H290" i="245"/>
  <c r="G291" i="245"/>
  <c r="H291" i="245"/>
  <c r="H292" i="245"/>
  <c r="E293" i="245"/>
  <c r="G293" i="245"/>
  <c r="H293" i="245"/>
  <c r="H295" i="245"/>
  <c r="H300" i="245"/>
  <c r="H308" i="245"/>
  <c r="F39" i="153"/>
  <c r="G39" i="153"/>
  <c r="F355" i="245"/>
  <c r="H355" i="245"/>
  <c r="D356" i="245"/>
  <c r="F356" i="245"/>
  <c r="H356" i="245"/>
  <c r="H358" i="245"/>
  <c r="G335" i="245"/>
  <c r="H335" i="245"/>
  <c r="H338" i="245"/>
  <c r="G341" i="245"/>
  <c r="H341" i="245"/>
  <c r="G342" i="245"/>
  <c r="H342" i="245"/>
  <c r="G343" i="245"/>
  <c r="H343" i="245"/>
  <c r="G344" i="245"/>
  <c r="H344" i="245"/>
  <c r="G345" i="245"/>
  <c r="H345" i="245"/>
  <c r="H347" i="245"/>
  <c r="G350" i="245"/>
  <c r="H350" i="245"/>
  <c r="H352" i="245"/>
  <c r="H360" i="245"/>
  <c r="F40" i="153"/>
  <c r="G40" i="153"/>
  <c r="F405" i="245"/>
  <c r="H405" i="245"/>
  <c r="D406" i="245"/>
  <c r="F406" i="245"/>
  <c r="H406" i="245"/>
  <c r="H408" i="245"/>
  <c r="G386" i="245"/>
  <c r="H386" i="245"/>
  <c r="H389" i="245"/>
  <c r="G392" i="245"/>
  <c r="H392" i="245"/>
  <c r="G393" i="245"/>
  <c r="H393" i="245"/>
  <c r="G394" i="245"/>
  <c r="H394" i="245"/>
  <c r="G395" i="245"/>
  <c r="H395" i="245"/>
  <c r="G396" i="245"/>
  <c r="H396" i="245"/>
  <c r="H397" i="245"/>
  <c r="H402" i="245"/>
  <c r="H410" i="245"/>
  <c r="F41" i="153"/>
  <c r="G41" i="153"/>
  <c r="F455" i="245"/>
  <c r="H455" i="245"/>
  <c r="F456" i="245"/>
  <c r="H456" i="245"/>
  <c r="H458" i="245"/>
  <c r="G437" i="245"/>
  <c r="H437" i="245"/>
  <c r="H440" i="245"/>
  <c r="G443" i="245"/>
  <c r="H443" i="245"/>
  <c r="H447" i="245"/>
  <c r="G450" i="245"/>
  <c r="H450" i="245"/>
  <c r="H452" i="245"/>
  <c r="H460" i="245"/>
  <c r="F42" i="153"/>
  <c r="G42" i="153"/>
  <c r="D557" i="245"/>
  <c r="F557" i="245"/>
  <c r="H557" i="245"/>
  <c r="F558" i="245"/>
  <c r="H558" i="245"/>
  <c r="H560" i="245"/>
  <c r="G540" i="245"/>
  <c r="H540" i="245"/>
  <c r="H543" i="245"/>
  <c r="G546" i="245"/>
  <c r="H546" i="245"/>
  <c r="H549" i="245"/>
  <c r="G552" i="245"/>
  <c r="H552" i="245"/>
  <c r="H554" i="245"/>
  <c r="H562" i="245"/>
  <c r="F43" i="153"/>
  <c r="G43" i="153"/>
  <c r="G44" i="153"/>
  <c r="D43" i="241"/>
  <c r="F43" i="241"/>
  <c r="H43" i="241"/>
  <c r="G44" i="241"/>
  <c r="D44" i="241"/>
  <c r="F44" i="241"/>
  <c r="H44" i="241"/>
  <c r="H46" i="241"/>
  <c r="G18" i="241"/>
  <c r="H18" i="241"/>
  <c r="G19" i="241"/>
  <c r="H19" i="241"/>
  <c r="G20" i="241"/>
  <c r="H20" i="241"/>
  <c r="H21" i="241"/>
  <c r="G24" i="241"/>
  <c r="H24" i="241"/>
  <c r="G25" i="241"/>
  <c r="H25" i="241"/>
  <c r="G26" i="241"/>
  <c r="H26" i="241"/>
  <c r="G27" i="241"/>
  <c r="H27" i="241"/>
  <c r="G28" i="241"/>
  <c r="H28" i="241"/>
  <c r="G29" i="241"/>
  <c r="H29" i="241"/>
  <c r="E30" i="241"/>
  <c r="G30" i="241"/>
  <c r="H30" i="241"/>
  <c r="G31" i="241"/>
  <c r="H31" i="241"/>
  <c r="E33" i="241"/>
  <c r="G33" i="241"/>
  <c r="H33" i="241"/>
  <c r="H35" i="241"/>
  <c r="G38" i="241"/>
  <c r="H38" i="241"/>
  <c r="H40" i="241"/>
  <c r="H48" i="241"/>
  <c r="F31" i="153"/>
  <c r="E31" i="153"/>
  <c r="G31" i="153"/>
  <c r="F30" i="153"/>
  <c r="E30" i="153"/>
  <c r="G30" i="153"/>
  <c r="G32" i="153"/>
  <c r="F35" i="242"/>
  <c r="H35" i="242"/>
  <c r="F36" i="242"/>
  <c r="H36" i="242"/>
  <c r="H38" i="242"/>
  <c r="G18" i="242"/>
  <c r="H18" i="242"/>
  <c r="H21" i="242"/>
  <c r="H27" i="242"/>
  <c r="G30" i="242"/>
  <c r="H30" i="242"/>
  <c r="H32" i="242"/>
  <c r="H40" i="242"/>
  <c r="F21" i="153"/>
  <c r="G21" i="153"/>
  <c r="F86" i="242"/>
  <c r="H86" i="242"/>
  <c r="F87" i="242"/>
  <c r="H87" i="242"/>
  <c r="H89" i="242"/>
  <c r="G69" i="242"/>
  <c r="H69" i="242"/>
  <c r="H72" i="242"/>
  <c r="H78" i="242"/>
  <c r="G81" i="242"/>
  <c r="H81" i="242"/>
  <c r="H83" i="242"/>
  <c r="H91" i="242"/>
  <c r="F22" i="153"/>
  <c r="G22" i="153"/>
  <c r="F140" i="242"/>
  <c r="H140" i="242"/>
  <c r="F141" i="242"/>
  <c r="H141" i="242"/>
  <c r="H143" i="242"/>
  <c r="G122" i="242"/>
  <c r="H122" i="242"/>
  <c r="H125" i="242"/>
  <c r="G128" i="242"/>
  <c r="H128" i="242"/>
  <c r="H132" i="242"/>
  <c r="G135" i="242"/>
  <c r="H135" i="242"/>
  <c r="H137" i="242"/>
  <c r="H145" i="242"/>
  <c r="F23" i="153"/>
  <c r="G23" i="153"/>
  <c r="F192" i="242"/>
  <c r="H192" i="242"/>
  <c r="F193" i="242"/>
  <c r="H193" i="242"/>
  <c r="H195" i="242"/>
  <c r="G174" i="242"/>
  <c r="H174" i="242"/>
  <c r="H177" i="242"/>
  <c r="G180" i="242"/>
  <c r="H180" i="242"/>
  <c r="H184" i="242"/>
  <c r="G187" i="242"/>
  <c r="H187" i="242"/>
  <c r="H189" i="242"/>
  <c r="H197" i="242"/>
  <c r="F24" i="153"/>
  <c r="G24" i="153"/>
  <c r="F242" i="242"/>
  <c r="H242" i="242"/>
  <c r="F243" i="242"/>
  <c r="H243" i="242"/>
  <c r="H245" i="242"/>
  <c r="G225" i="242"/>
  <c r="H225" i="242"/>
  <c r="H228" i="242"/>
  <c r="H234" i="242"/>
  <c r="G237" i="242"/>
  <c r="H237" i="242"/>
  <c r="H239" i="242"/>
  <c r="H247" i="242"/>
  <c r="F25" i="153"/>
  <c r="G25" i="153"/>
  <c r="F295" i="242"/>
  <c r="H295" i="242"/>
  <c r="D296" i="242"/>
  <c r="F296" i="242"/>
  <c r="H296" i="242"/>
  <c r="H298" i="242"/>
  <c r="G275" i="242"/>
  <c r="H275" i="242"/>
  <c r="H278" i="242"/>
  <c r="G281" i="242"/>
  <c r="H281" i="242"/>
  <c r="G282" i="242"/>
  <c r="H282" i="242"/>
  <c r="G283" i="242"/>
  <c r="H283" i="242"/>
  <c r="G284" i="242"/>
  <c r="H284" i="242"/>
  <c r="G285" i="242"/>
  <c r="H285" i="242"/>
  <c r="H287" i="242"/>
  <c r="H292" i="242"/>
  <c r="H300" i="242"/>
  <c r="F26" i="153"/>
  <c r="G26" i="153"/>
  <c r="F345" i="242"/>
  <c r="H345" i="242"/>
  <c r="F346" i="242"/>
  <c r="H346" i="242"/>
  <c r="H348" i="242"/>
  <c r="G326" i="242"/>
  <c r="H326" i="242"/>
  <c r="H329" i="242"/>
  <c r="G332" i="242"/>
  <c r="H332" i="242"/>
  <c r="G333" i="242"/>
  <c r="H333" i="242"/>
  <c r="G334" i="242"/>
  <c r="H334" i="242"/>
  <c r="G335" i="242"/>
  <c r="H335" i="242"/>
  <c r="G336" i="242"/>
  <c r="H336" i="242"/>
  <c r="H337" i="242"/>
  <c r="H342" i="242"/>
  <c r="H350" i="242"/>
  <c r="F27" i="153"/>
  <c r="G27" i="153"/>
  <c r="G28" i="153"/>
  <c r="F35" i="243"/>
  <c r="H35" i="243"/>
  <c r="F36" i="243"/>
  <c r="H36" i="243"/>
  <c r="H38" i="243"/>
  <c r="G18" i="243"/>
  <c r="H18" i="243"/>
  <c r="H21" i="243"/>
  <c r="H27" i="243"/>
  <c r="G30" i="243"/>
  <c r="H30" i="243"/>
  <c r="H32" i="243"/>
  <c r="H40" i="243"/>
  <c r="F5" i="153"/>
  <c r="G5" i="153"/>
  <c r="F84" i="243"/>
  <c r="H84" i="243"/>
  <c r="F85" i="243"/>
  <c r="H85" i="243"/>
  <c r="H87" i="243"/>
  <c r="G67" i="243"/>
  <c r="H67" i="243"/>
  <c r="H70" i="243"/>
  <c r="H76" i="243"/>
  <c r="G79" i="243"/>
  <c r="H79" i="243"/>
  <c r="H81" i="243"/>
  <c r="H89" i="243"/>
  <c r="F6" i="153"/>
  <c r="G6" i="153"/>
  <c r="F136" i="243"/>
  <c r="H136" i="243"/>
  <c r="F137" i="243"/>
  <c r="H137" i="243"/>
  <c r="H139" i="243"/>
  <c r="G119" i="243"/>
  <c r="H119" i="243"/>
  <c r="H122" i="243"/>
  <c r="H128" i="243"/>
  <c r="G131" i="243"/>
  <c r="H131" i="243"/>
  <c r="H133" i="243"/>
  <c r="H141" i="243"/>
  <c r="F7" i="153"/>
  <c r="G7" i="153"/>
  <c r="F186" i="243"/>
  <c r="H186" i="243"/>
  <c r="F187" i="243"/>
  <c r="H187" i="243"/>
  <c r="H189" i="243"/>
  <c r="G168" i="243"/>
  <c r="H168" i="243"/>
  <c r="H171" i="243"/>
  <c r="G174" i="243"/>
  <c r="H174" i="243"/>
  <c r="H178" i="243"/>
  <c r="G181" i="243"/>
  <c r="H181" i="243"/>
  <c r="H183" i="243"/>
  <c r="H191" i="243"/>
  <c r="F8" i="153"/>
  <c r="G8" i="153"/>
  <c r="F239" i="243"/>
  <c r="H239" i="243"/>
  <c r="F240" i="243"/>
  <c r="H240" i="243"/>
  <c r="H242" i="243"/>
  <c r="G221" i="243"/>
  <c r="H221" i="243"/>
  <c r="H224" i="243"/>
  <c r="G227" i="243"/>
  <c r="H227" i="243"/>
  <c r="H231" i="243"/>
  <c r="G234" i="243"/>
  <c r="H234" i="243"/>
  <c r="H236" i="243"/>
  <c r="H244" i="243"/>
  <c r="F9" i="153"/>
  <c r="G9" i="153"/>
  <c r="E10" i="153"/>
  <c r="F293" i="243"/>
  <c r="H293" i="243"/>
  <c r="F294" i="243"/>
  <c r="H294" i="243"/>
  <c r="H296" i="243"/>
  <c r="G271" i="243"/>
  <c r="H271" i="243"/>
  <c r="H274" i="243"/>
  <c r="G277" i="243"/>
  <c r="H277" i="243"/>
  <c r="G278" i="243"/>
  <c r="H278" i="243"/>
  <c r="G279" i="243"/>
  <c r="H279" i="243"/>
  <c r="G280" i="243"/>
  <c r="H280" i="243"/>
  <c r="G281" i="243"/>
  <c r="H281" i="243"/>
  <c r="E282" i="243"/>
  <c r="G282" i="243"/>
  <c r="H282" i="243"/>
  <c r="H285" i="243"/>
  <c r="H288" i="243"/>
  <c r="H290" i="243"/>
  <c r="H298" i="243"/>
  <c r="F10" i="153"/>
  <c r="G10" i="153"/>
  <c r="F343" i="243"/>
  <c r="H343" i="243"/>
  <c r="F344" i="243"/>
  <c r="H344" i="243"/>
  <c r="H346" i="243"/>
  <c r="G326" i="243"/>
  <c r="H326" i="243"/>
  <c r="H329" i="243"/>
  <c r="H335" i="243"/>
  <c r="G338" i="243"/>
  <c r="H338" i="243"/>
  <c r="H340" i="243"/>
  <c r="H348" i="243"/>
  <c r="F11" i="153"/>
  <c r="G11" i="153"/>
  <c r="F396" i="243"/>
  <c r="H396" i="243"/>
  <c r="D397" i="243"/>
  <c r="F397" i="243"/>
  <c r="H397" i="243"/>
  <c r="H399" i="243"/>
  <c r="G376" i="243"/>
  <c r="H376" i="243"/>
  <c r="H379" i="243"/>
  <c r="G382" i="243"/>
  <c r="H382" i="243"/>
  <c r="G383" i="243"/>
  <c r="H383" i="243"/>
  <c r="G384" i="243"/>
  <c r="H384" i="243"/>
  <c r="G385" i="243"/>
  <c r="H385" i="243"/>
  <c r="G386" i="243"/>
  <c r="H386" i="243"/>
  <c r="H388" i="243"/>
  <c r="G391" i="243"/>
  <c r="H391" i="243"/>
  <c r="H393" i="243"/>
  <c r="H401" i="243"/>
  <c r="F12" i="153"/>
  <c r="G12" i="153"/>
  <c r="F446" i="243"/>
  <c r="H446" i="243"/>
  <c r="D447" i="243"/>
  <c r="F447" i="243"/>
  <c r="H447" i="243"/>
  <c r="H449" i="243"/>
  <c r="G427" i="243"/>
  <c r="H427" i="243"/>
  <c r="H430" i="243"/>
  <c r="G433" i="243"/>
  <c r="H433" i="243"/>
  <c r="G434" i="243"/>
  <c r="H434" i="243"/>
  <c r="G435" i="243"/>
  <c r="H435" i="243"/>
  <c r="G436" i="243"/>
  <c r="H436" i="243"/>
  <c r="G437" i="243"/>
  <c r="H437" i="243"/>
  <c r="H438" i="243"/>
  <c r="H443" i="243"/>
  <c r="H451" i="243"/>
  <c r="F13" i="153"/>
  <c r="G13" i="153"/>
  <c r="F499" i="243"/>
  <c r="H499" i="243"/>
  <c r="D500" i="243"/>
  <c r="F500" i="243"/>
  <c r="H500" i="243"/>
  <c r="H502" i="243"/>
  <c r="G480" i="243"/>
  <c r="H480" i="243"/>
  <c r="H483" i="243"/>
  <c r="E486" i="243"/>
  <c r="G486" i="243"/>
  <c r="H486" i="243"/>
  <c r="G487" i="243"/>
  <c r="H487" i="243"/>
  <c r="G488" i="243"/>
  <c r="H488" i="243"/>
  <c r="G489" i="243"/>
  <c r="H489" i="243"/>
  <c r="G490" i="243"/>
  <c r="H490" i="243"/>
  <c r="H491" i="243"/>
  <c r="G494" i="243"/>
  <c r="H494" i="243"/>
  <c r="H496" i="243"/>
  <c r="H504" i="243"/>
  <c r="F14" i="153"/>
  <c r="G14" i="153"/>
  <c r="F550" i="243"/>
  <c r="H550" i="243"/>
  <c r="D551" i="243"/>
  <c r="F551" i="243"/>
  <c r="H551" i="243"/>
  <c r="H553" i="243"/>
  <c r="G533" i="243"/>
  <c r="H533" i="243"/>
  <c r="G534" i="243"/>
  <c r="H534" i="243"/>
  <c r="H536" i="243"/>
  <c r="G539" i="243"/>
  <c r="H539" i="243"/>
  <c r="G540" i="243"/>
  <c r="H540" i="243"/>
  <c r="H542" i="243"/>
  <c r="H547" i="243"/>
  <c r="H555" i="243"/>
  <c r="F15" i="153"/>
  <c r="G15" i="153"/>
  <c r="D603" i="243"/>
  <c r="F603" i="243"/>
  <c r="H603" i="243"/>
  <c r="D604" i="243"/>
  <c r="F604" i="243"/>
  <c r="H604" i="243"/>
  <c r="H606" i="243"/>
  <c r="G586" i="243"/>
  <c r="H586" i="243"/>
  <c r="H589" i="243"/>
  <c r="G592" i="243"/>
  <c r="H592" i="243"/>
  <c r="G594" i="243"/>
  <c r="H594" i="243"/>
  <c r="H595" i="243"/>
  <c r="H600" i="243"/>
  <c r="H608" i="243"/>
  <c r="F16" i="153"/>
  <c r="G16" i="153"/>
  <c r="D657" i="243"/>
  <c r="F657" i="243"/>
  <c r="H657" i="243"/>
  <c r="D658" i="243"/>
  <c r="F658" i="243"/>
  <c r="H658" i="243"/>
  <c r="H660" i="243"/>
  <c r="G637" i="243"/>
  <c r="H637" i="243"/>
  <c r="H640" i="243"/>
  <c r="G643" i="243"/>
  <c r="H643" i="243"/>
  <c r="G644" i="243"/>
  <c r="H644" i="243"/>
  <c r="G645" i="243"/>
  <c r="H645" i="243"/>
  <c r="H646" i="243"/>
  <c r="E647" i="243"/>
  <c r="G647" i="243"/>
  <c r="H647" i="243"/>
  <c r="H649" i="243"/>
  <c r="H654" i="243"/>
  <c r="H662" i="243"/>
  <c r="F17" i="153"/>
  <c r="G17" i="153"/>
  <c r="D715" i="243"/>
  <c r="F715" i="243"/>
  <c r="H715" i="243"/>
  <c r="D716" i="243"/>
  <c r="F716" i="243"/>
  <c r="H716" i="243"/>
  <c r="H718" i="243"/>
  <c r="G690" i="243"/>
  <c r="H690" i="243"/>
  <c r="G691" i="243"/>
  <c r="H691" i="243"/>
  <c r="G692" i="243"/>
  <c r="H692" i="243"/>
  <c r="H693" i="243"/>
  <c r="G696" i="243"/>
  <c r="H696" i="243"/>
  <c r="G697" i="243"/>
  <c r="H697" i="243"/>
  <c r="G698" i="243"/>
  <c r="H698" i="243"/>
  <c r="G699" i="243"/>
  <c r="H699" i="243"/>
  <c r="G700" i="243"/>
  <c r="H700" i="243"/>
  <c r="G701" i="243"/>
  <c r="H701" i="243"/>
  <c r="E702" i="243"/>
  <c r="G702" i="243"/>
  <c r="H702" i="243"/>
  <c r="G703" i="243"/>
  <c r="H703" i="243"/>
  <c r="E705" i="243"/>
  <c r="G705" i="243"/>
  <c r="H705" i="243"/>
  <c r="H707" i="243"/>
  <c r="G710" i="243"/>
  <c r="H710" i="243"/>
  <c r="H712" i="243"/>
  <c r="H720" i="243"/>
  <c r="F18" i="153"/>
  <c r="G18" i="153"/>
  <c r="G19" i="153"/>
  <c r="B69" i="241"/>
  <c r="B66" i="241"/>
  <c r="F92" i="241"/>
  <c r="H92" i="241"/>
  <c r="F93" i="241"/>
  <c r="H93" i="241"/>
  <c r="H95" i="241"/>
  <c r="G75" i="241"/>
  <c r="H75" i="241"/>
  <c r="H78" i="241"/>
  <c r="H84" i="241"/>
  <c r="G87" i="241"/>
  <c r="H87" i="241"/>
  <c r="H89" i="241"/>
  <c r="H97" i="241"/>
  <c r="D199" i="240"/>
  <c r="B236" i="240"/>
  <c r="B233" i="240"/>
  <c r="D249" i="240"/>
  <c r="D248" i="240"/>
  <c r="B187" i="240"/>
  <c r="B184" i="240"/>
  <c r="D135" i="240"/>
  <c r="B123" i="240"/>
  <c r="B120" i="240"/>
  <c r="B73" i="240"/>
  <c r="B70" i="240"/>
  <c r="B12" i="240"/>
  <c r="B9" i="240"/>
  <c r="B186" i="246"/>
  <c r="B183" i="246"/>
  <c r="E198" i="246"/>
  <c r="E255" i="246"/>
  <c r="J253" i="246"/>
  <c r="F255" i="246"/>
  <c r="F254" i="246"/>
  <c r="E254" i="246"/>
  <c r="G254" i="246"/>
  <c r="H254" i="246"/>
  <c r="G255" i="246"/>
  <c r="H255" i="246"/>
  <c r="B242" i="246"/>
  <c r="B239" i="246"/>
  <c r="J197" i="246"/>
  <c r="F198" i="246"/>
  <c r="G198" i="246"/>
  <c r="H198" i="246"/>
  <c r="B125" i="246"/>
  <c r="B122" i="246"/>
  <c r="D82" i="246"/>
  <c r="B64" i="246"/>
  <c r="B61" i="246"/>
  <c r="B12" i="246"/>
  <c r="B9" i="246"/>
  <c r="B534" i="245"/>
  <c r="B531" i="245"/>
  <c r="B274" i="244"/>
  <c r="B271" i="244"/>
  <c r="F297" i="244"/>
  <c r="H297" i="244"/>
  <c r="F298" i="244"/>
  <c r="H298" i="244"/>
  <c r="H300" i="244"/>
  <c r="G280" i="244"/>
  <c r="H280" i="244"/>
  <c r="H283" i="244"/>
  <c r="G286" i="244"/>
  <c r="H286" i="244"/>
  <c r="G287" i="244"/>
  <c r="H287" i="244"/>
  <c r="H289" i="244"/>
  <c r="G292" i="244"/>
  <c r="H292" i="244"/>
  <c r="H294" i="244"/>
  <c r="H302" i="244"/>
  <c r="F244" i="244"/>
  <c r="H244" i="244"/>
  <c r="D245" i="244"/>
  <c r="F245" i="244"/>
  <c r="H245" i="244"/>
  <c r="H247" i="244"/>
  <c r="G227" i="244"/>
  <c r="H227" i="244"/>
  <c r="G228" i="244"/>
  <c r="H228" i="244"/>
  <c r="H230" i="244"/>
  <c r="G233" i="244"/>
  <c r="H233" i="244"/>
  <c r="G234" i="244"/>
  <c r="H234" i="244"/>
  <c r="H236" i="244"/>
  <c r="H241" i="244"/>
  <c r="H249" i="244"/>
  <c r="B221" i="244"/>
  <c r="B218" i="244"/>
  <c r="D234" i="244"/>
  <c r="D233" i="244"/>
  <c r="B170" i="244"/>
  <c r="B167" i="244"/>
  <c r="B118" i="244"/>
  <c r="B115" i="244"/>
  <c r="D133" i="244"/>
  <c r="D88" i="244"/>
  <c r="F88" i="244"/>
  <c r="H88" i="244"/>
  <c r="D89" i="244"/>
  <c r="F89" i="244"/>
  <c r="H89" i="244"/>
  <c r="H91" i="244"/>
  <c r="G71" i="244"/>
  <c r="H71" i="244"/>
  <c r="H74" i="244"/>
  <c r="G77" i="244"/>
  <c r="H77" i="244"/>
  <c r="G78" i="244"/>
  <c r="H78" i="244"/>
  <c r="G79" i="244"/>
  <c r="H79" i="244"/>
  <c r="H80" i="244"/>
  <c r="H85" i="244"/>
  <c r="H93" i="244"/>
  <c r="B65" i="244"/>
  <c r="B62" i="244"/>
  <c r="B9" i="244"/>
  <c r="D77" i="244"/>
  <c r="D24" i="244"/>
  <c r="F507" i="245"/>
  <c r="H507" i="245"/>
  <c r="F508" i="245"/>
  <c r="H508" i="245"/>
  <c r="H510" i="245"/>
  <c r="G490" i="245"/>
  <c r="H490" i="245"/>
  <c r="H493" i="245"/>
  <c r="G496" i="245"/>
  <c r="H496" i="245"/>
  <c r="G497" i="245"/>
  <c r="H497" i="245"/>
  <c r="H499" i="245"/>
  <c r="G502" i="245"/>
  <c r="H502" i="245"/>
  <c r="H504" i="245"/>
  <c r="H512" i="245"/>
  <c r="B431" i="245"/>
  <c r="B428" i="245"/>
  <c r="B484" i="245"/>
  <c r="B481" i="245"/>
  <c r="B380" i="245"/>
  <c r="B377" i="245"/>
  <c r="B329" i="245"/>
  <c r="B326" i="245"/>
  <c r="B277" i="245"/>
  <c r="B274" i="245"/>
  <c r="D292" i="245"/>
  <c r="B223" i="245"/>
  <c r="B226" i="245"/>
  <c r="D238" i="245"/>
  <c r="B173" i="245"/>
  <c r="B170" i="245"/>
  <c r="D185" i="245"/>
  <c r="B121" i="245"/>
  <c r="B118" i="245"/>
  <c r="B12" i="245"/>
  <c r="B9" i="245"/>
  <c r="B63" i="245"/>
  <c r="B60" i="245"/>
  <c r="D25" i="245"/>
  <c r="D24" i="245"/>
  <c r="B12" i="241"/>
  <c r="B9" i="241"/>
  <c r="D24" i="241"/>
  <c r="B320" i="242"/>
  <c r="B317" i="242"/>
  <c r="B269" i="242"/>
  <c r="B266" i="242"/>
  <c r="B219" i="242"/>
  <c r="B216" i="242"/>
  <c r="B168" i="242"/>
  <c r="B165" i="242"/>
  <c r="B116" i="242"/>
  <c r="B113" i="242"/>
  <c r="B63" i="242"/>
  <c r="B60" i="242"/>
  <c r="B12" i="242"/>
  <c r="B9" i="242"/>
  <c r="B684" i="243"/>
  <c r="B681" i="243"/>
  <c r="D696" i="243"/>
  <c r="B631" i="243"/>
  <c r="B628" i="243"/>
  <c r="D646" i="243"/>
  <c r="G593" i="243"/>
  <c r="B580" i="243"/>
  <c r="B577" i="243"/>
  <c r="D592" i="243"/>
  <c r="B527" i="243"/>
  <c r="B524" i="243"/>
  <c r="D540" i="243"/>
  <c r="D539" i="243"/>
  <c r="B474" i="243"/>
  <c r="B471" i="243"/>
  <c r="B421" i="243"/>
  <c r="B418" i="243"/>
  <c r="B367" i="243"/>
  <c r="B370" i="243"/>
  <c r="B320" i="243"/>
  <c r="B317" i="243"/>
  <c r="D281" i="243"/>
  <c r="B265" i="243"/>
  <c r="B262" i="243"/>
  <c r="B215" i="243"/>
  <c r="B212" i="243"/>
  <c r="B162" i="243"/>
  <c r="B159" i="243"/>
  <c r="B113" i="243"/>
  <c r="B110" i="243"/>
  <c r="G65" i="153"/>
  <c r="B61" i="243"/>
  <c r="B58" i="243"/>
  <c r="B12" i="243"/>
  <c r="B9" i="243"/>
  <c r="G66" i="153"/>
  <c r="G67" i="153"/>
  <c r="M12" i="238"/>
  <c r="M19" i="238"/>
  <c r="A26" i="238"/>
  <c r="A25" i="238"/>
  <c r="A27" i="238"/>
  <c r="B45" i="236"/>
  <c r="B102" i="236"/>
  <c r="B157" i="236"/>
  <c r="B210" i="236"/>
  <c r="B46" i="236"/>
  <c r="B3" i="239"/>
  <c r="C6" i="238"/>
  <c r="D3" i="238"/>
  <c r="M6" i="238"/>
  <c r="F200" i="236"/>
  <c r="H200" i="236"/>
  <c r="D201" i="236"/>
  <c r="F201" i="236"/>
  <c r="H201" i="236"/>
  <c r="H203" i="236"/>
  <c r="G181" i="236"/>
  <c r="H181" i="236"/>
  <c r="H184" i="236"/>
  <c r="G187" i="236"/>
  <c r="H187" i="236"/>
  <c r="G188" i="236"/>
  <c r="H188" i="236"/>
  <c r="G189" i="236"/>
  <c r="H189" i="236"/>
  <c r="H192" i="236"/>
  <c r="G195" i="236"/>
  <c r="H195" i="236"/>
  <c r="H197" i="236"/>
  <c r="H205" i="236"/>
  <c r="T186" i="236"/>
  <c r="T185" i="236"/>
  <c r="T184" i="236"/>
  <c r="B175" i="236"/>
  <c r="F35" i="236"/>
  <c r="H35" i="236"/>
  <c r="F36" i="236"/>
  <c r="H36" i="236"/>
  <c r="H38" i="236"/>
  <c r="G18" i="236"/>
  <c r="H18" i="236"/>
  <c r="H21" i="236"/>
  <c r="G24" i="236"/>
  <c r="H24" i="236"/>
  <c r="G25" i="236"/>
  <c r="H25" i="236"/>
  <c r="E26" i="236"/>
  <c r="G26" i="236"/>
  <c r="H26" i="236"/>
  <c r="H27" i="236"/>
  <c r="G30" i="236"/>
  <c r="H30" i="236"/>
  <c r="H32" i="236"/>
  <c r="H40" i="236"/>
  <c r="F92" i="236"/>
  <c r="H92" i="236"/>
  <c r="F93" i="236"/>
  <c r="H93" i="236"/>
  <c r="H95" i="236"/>
  <c r="G67" i="236"/>
  <c r="H67" i="236"/>
  <c r="H70" i="236"/>
  <c r="L63" i="236"/>
  <c r="F73" i="236"/>
  <c r="G73" i="236"/>
  <c r="H73" i="236"/>
  <c r="F74" i="236"/>
  <c r="G74" i="236"/>
  <c r="H74" i="236"/>
  <c r="F75" i="236"/>
  <c r="G75" i="236"/>
  <c r="H75" i="236"/>
  <c r="F76" i="236"/>
  <c r="G76" i="236"/>
  <c r="H76" i="236"/>
  <c r="G77" i="236"/>
  <c r="H77" i="236"/>
  <c r="G78" i="236"/>
  <c r="H78" i="236"/>
  <c r="G79" i="236"/>
  <c r="H79" i="236"/>
  <c r="G80" i="236"/>
  <c r="H80" i="236"/>
  <c r="G81" i="236"/>
  <c r="H81" i="236"/>
  <c r="G82" i="236"/>
  <c r="H82" i="236"/>
  <c r="H84" i="236"/>
  <c r="H89" i="236"/>
  <c r="H97" i="236"/>
  <c r="F148" i="236"/>
  <c r="H148" i="236"/>
  <c r="H150" i="236"/>
  <c r="G125" i="236"/>
  <c r="H125" i="236"/>
  <c r="H128" i="236"/>
  <c r="G131" i="236"/>
  <c r="H131" i="236"/>
  <c r="G132" i="236"/>
  <c r="H132" i="236"/>
  <c r="G133" i="236"/>
  <c r="H133" i="236"/>
  <c r="G134" i="236"/>
  <c r="H134" i="236"/>
  <c r="G135" i="236"/>
  <c r="H135" i="236"/>
  <c r="G136" i="236"/>
  <c r="H136" i="236"/>
  <c r="E137" i="236"/>
  <c r="G137" i="236"/>
  <c r="H137" i="236"/>
  <c r="H139" i="236"/>
  <c r="H144" i="236"/>
  <c r="H152" i="236"/>
  <c r="B172" i="236"/>
  <c r="B119" i="236"/>
  <c r="B116" i="236"/>
  <c r="B61" i="236"/>
  <c r="B58" i="236"/>
  <c r="B12" i="236"/>
  <c r="B9" i="236"/>
  <c r="B61" i="26"/>
  <c r="B88" i="26"/>
  <c r="B101" i="236"/>
  <c r="B156" i="236"/>
  <c r="B209" i="236"/>
  <c r="D82" i="236"/>
  <c r="D81" i="236"/>
  <c r="B44" i="236"/>
  <c r="B8" i="28"/>
  <c r="B6" i="28"/>
  <c r="B5" i="28"/>
  <c r="C21" i="169"/>
  <c r="C20" i="169"/>
  <c r="C19" i="169"/>
  <c r="K19" i="169"/>
  <c r="K21" i="169"/>
  <c r="K20" i="169"/>
  <c r="K18" i="169"/>
  <c r="L21" i="169"/>
  <c r="L20" i="169"/>
  <c r="L19" i="169"/>
  <c r="L18" i="169"/>
  <c r="C48" i="26"/>
  <c r="C66" i="26"/>
  <c r="D65" i="26"/>
  <c r="D66" i="26"/>
  <c r="C38" i="26"/>
  <c r="C63" i="26"/>
  <c r="D63" i="26"/>
  <c r="C138" i="26"/>
  <c r="C137" i="26"/>
  <c r="C18" i="169"/>
  <c r="D18" i="169"/>
  <c r="C60" i="26"/>
  <c r="D60" i="26"/>
  <c r="C32" i="26"/>
  <c r="F16" i="169"/>
  <c r="E16" i="169"/>
  <c r="D16" i="169"/>
  <c r="D17" i="169"/>
  <c r="C16" i="169"/>
  <c r="C17" i="169"/>
  <c r="D10" i="169"/>
  <c r="D11" i="169"/>
  <c r="D12" i="169"/>
  <c r="D13" i="169"/>
  <c r="D14" i="169"/>
  <c r="D15" i="169"/>
  <c r="D9" i="169"/>
  <c r="L16" i="169"/>
  <c r="F12" i="169"/>
  <c r="E12" i="169"/>
  <c r="E14" i="169"/>
  <c r="E13" i="169"/>
  <c r="C14" i="169"/>
  <c r="C13" i="169"/>
  <c r="L15" i="169"/>
  <c r="C15" i="169"/>
  <c r="F9" i="169"/>
  <c r="E9" i="169"/>
  <c r="F11" i="169"/>
  <c r="E11" i="169"/>
  <c r="F10" i="169"/>
  <c r="E10" i="169"/>
  <c r="F14" i="169"/>
  <c r="F13" i="169"/>
  <c r="L14" i="169"/>
  <c r="L13" i="169"/>
  <c r="B7" i="28"/>
  <c r="B12" i="28"/>
  <c r="C78" i="26"/>
  <c r="C129" i="26"/>
  <c r="C115" i="26"/>
  <c r="L12" i="169"/>
  <c r="C72" i="26"/>
  <c r="C14" i="26"/>
  <c r="C56" i="26"/>
  <c r="C141" i="26"/>
  <c r="C87" i="26"/>
  <c r="C44" i="26"/>
  <c r="C99" i="26"/>
  <c r="C106" i="26"/>
  <c r="C131" i="26"/>
  <c r="C34" i="26"/>
  <c r="C140" i="26"/>
  <c r="C139" i="26"/>
  <c r="C25" i="26"/>
  <c r="C26" i="26"/>
  <c r="C136" i="26"/>
  <c r="C80" i="26"/>
  <c r="C53" i="26"/>
  <c r="C144" i="26"/>
  <c r="C76" i="26"/>
  <c r="C84" i="26"/>
  <c r="C102" i="26"/>
  <c r="C90" i="26"/>
  <c r="L11" i="169"/>
  <c r="L9" i="169"/>
  <c r="L10" i="169"/>
  <c r="B10" i="28"/>
  <c r="B11" i="28"/>
  <c r="B13" i="28"/>
  <c r="E24" i="150"/>
  <c r="F24" i="150"/>
  <c r="E23" i="150"/>
  <c r="F23" i="150"/>
  <c r="E22" i="150"/>
  <c r="F22" i="150"/>
  <c r="E21" i="150"/>
  <c r="F21" i="150"/>
  <c r="E20" i="150"/>
  <c r="F20" i="150"/>
  <c r="E19" i="150"/>
  <c r="F19" i="150"/>
  <c r="E18" i="150"/>
  <c r="F18" i="150"/>
  <c r="E17" i="150"/>
  <c r="F17" i="150"/>
  <c r="A9" i="150"/>
  <c r="A10" i="150"/>
  <c r="A11" i="150"/>
  <c r="A12" i="150"/>
  <c r="A13" i="150"/>
  <c r="A14" i="150"/>
  <c r="A15" i="150"/>
  <c r="A16" i="150"/>
  <c r="A17" i="150"/>
  <c r="A18" i="150"/>
  <c r="A19" i="150"/>
  <c r="A20" i="150"/>
  <c r="A21" i="150"/>
  <c r="A22" i="150"/>
  <c r="A23" i="150"/>
  <c r="A24" i="150"/>
  <c r="F164" i="150"/>
  <c r="D163" i="150"/>
  <c r="D158" i="150"/>
  <c r="D157" i="150"/>
  <c r="D153" i="150"/>
  <c r="E151" i="150"/>
  <c r="F151" i="150"/>
  <c r="D148" i="150"/>
  <c r="F143" i="150"/>
  <c r="F142" i="150"/>
  <c r="F141" i="150"/>
  <c r="F140" i="150"/>
  <c r="F139" i="150"/>
  <c r="F138" i="150"/>
  <c r="F137" i="150"/>
  <c r="F136" i="150"/>
  <c r="D129" i="150"/>
  <c r="D128" i="150"/>
  <c r="F123" i="150"/>
  <c r="D118" i="150"/>
  <c r="D111" i="150"/>
  <c r="D109" i="150"/>
  <c r="E109" i="150"/>
  <c r="F109" i="150"/>
  <c r="D106" i="150"/>
  <c r="B102" i="150"/>
  <c r="D101" i="150"/>
  <c r="D100" i="150"/>
  <c r="D99" i="150"/>
  <c r="D103" i="150"/>
  <c r="D98" i="150"/>
  <c r="D97" i="150"/>
  <c r="D95" i="150"/>
  <c r="D94" i="150"/>
  <c r="D96" i="150"/>
  <c r="B81" i="150"/>
  <c r="D80" i="150"/>
  <c r="D79" i="150"/>
  <c r="D78" i="150"/>
  <c r="D77" i="150"/>
  <c r="D76" i="150"/>
  <c r="D74" i="150"/>
  <c r="D73" i="150"/>
  <c r="D75" i="150"/>
  <c r="D67" i="150"/>
  <c r="B66" i="150"/>
  <c r="D61" i="150"/>
  <c r="G59" i="150"/>
  <c r="C54" i="150"/>
  <c r="A54" i="150"/>
  <c r="D49" i="150"/>
  <c r="D48" i="150"/>
  <c r="D47" i="150"/>
  <c r="A47" i="150"/>
  <c r="A48" i="150"/>
  <c r="A49" i="150"/>
  <c r="A50" i="150"/>
  <c r="D42" i="150"/>
  <c r="E42" i="150"/>
  <c r="F42" i="150"/>
  <c r="D41" i="150"/>
  <c r="D37" i="150"/>
  <c r="D36" i="150"/>
  <c r="C36" i="150"/>
  <c r="D35" i="150"/>
  <c r="C35" i="150"/>
  <c r="D34" i="150"/>
  <c r="C34" i="150"/>
  <c r="D33" i="150"/>
  <c r="C33" i="150"/>
  <c r="A33" i="150"/>
  <c r="A34" i="150"/>
  <c r="A35" i="150"/>
  <c r="A36" i="150"/>
  <c r="A37" i="150"/>
  <c r="D29" i="150"/>
  <c r="C29" i="150"/>
  <c r="D28" i="150"/>
  <c r="A28" i="150"/>
  <c r="A29" i="150"/>
  <c r="C39" i="100"/>
  <c r="E39" i="100"/>
  <c r="G39" i="100"/>
  <c r="D12" i="100"/>
  <c r="F12" i="100"/>
  <c r="G18" i="100"/>
  <c r="C39" i="99"/>
  <c r="E39" i="99"/>
  <c r="G39" i="99"/>
  <c r="D12" i="99"/>
  <c r="F12" i="99"/>
  <c r="G18" i="99"/>
  <c r="F23" i="78"/>
  <c r="F22" i="78"/>
  <c r="F21" i="78"/>
  <c r="F23" i="77"/>
  <c r="F22" i="77"/>
  <c r="F21" i="77"/>
  <c r="G30" i="77"/>
  <c r="E33" i="77"/>
  <c r="F33" i="77"/>
  <c r="G37" i="77"/>
  <c r="C41" i="78"/>
  <c r="E41" i="78"/>
  <c r="G41" i="78"/>
  <c r="D12" i="78"/>
  <c r="F12" i="78"/>
  <c r="G18" i="78"/>
  <c r="C41" i="77"/>
  <c r="E41" i="77"/>
  <c r="G41" i="77"/>
  <c r="D12" i="77"/>
  <c r="F12" i="77"/>
  <c r="G18" i="77"/>
  <c r="E89" i="150"/>
  <c r="F89" i="150"/>
  <c r="E129" i="150"/>
  <c r="F129" i="150"/>
  <c r="E84" i="150"/>
  <c r="F84" i="150"/>
  <c r="E68" i="150"/>
  <c r="F68" i="150"/>
  <c r="E69" i="150"/>
  <c r="F69" i="150"/>
  <c r="E163" i="150"/>
  <c r="F163" i="150"/>
  <c r="E59" i="150"/>
  <c r="F59" i="150"/>
  <c r="F71" i="150"/>
  <c r="E73" i="150"/>
  <c r="E116" i="150"/>
  <c r="E28" i="150"/>
  <c r="E66" i="150"/>
  <c r="F66" i="150"/>
  <c r="E87" i="150"/>
  <c r="F87" i="150"/>
  <c r="E83" i="150"/>
  <c r="F83" i="150"/>
  <c r="E35" i="150"/>
  <c r="E135" i="150"/>
  <c r="F135" i="150"/>
  <c r="F144" i="150"/>
  <c r="E159" i="150"/>
  <c r="F159" i="150"/>
  <c r="E70" i="150"/>
  <c r="F70" i="150"/>
  <c r="E62" i="150"/>
  <c r="E76" i="150"/>
  <c r="E110" i="150"/>
  <c r="F110" i="150"/>
  <c r="E91" i="150"/>
  <c r="F91" i="150"/>
  <c r="E149" i="150"/>
  <c r="F149" i="150"/>
  <c r="E90" i="150"/>
  <c r="F90" i="150"/>
  <c r="E8" i="150"/>
  <c r="F8" i="150"/>
  <c r="F25" i="150"/>
  <c r="E128" i="150"/>
  <c r="F128" i="150"/>
  <c r="E113" i="150"/>
  <c r="F113" i="150"/>
  <c r="E111" i="150"/>
  <c r="E112" i="150"/>
  <c r="F112" i="150"/>
  <c r="E33" i="150"/>
  <c r="E157" i="150"/>
  <c r="F157" i="150"/>
  <c r="F165" i="150"/>
  <c r="E154" i="150"/>
  <c r="F154" i="150"/>
  <c r="E127" i="150"/>
  <c r="F127" i="150"/>
  <c r="E61" i="150"/>
  <c r="E75" i="150"/>
  <c r="E36" i="150"/>
  <c r="E153" i="150"/>
  <c r="F153" i="150"/>
  <c r="E131" i="150"/>
  <c r="F131" i="150"/>
  <c r="E108" i="150"/>
  <c r="F108" i="150"/>
  <c r="E162" i="150"/>
  <c r="F162" i="150"/>
  <c r="E29" i="150"/>
  <c r="E34" i="150"/>
  <c r="E86" i="150"/>
  <c r="F86" i="150"/>
  <c r="E60" i="150"/>
  <c r="F60" i="150"/>
  <c r="E107" i="150"/>
  <c r="F107" i="150"/>
  <c r="E37" i="150"/>
  <c r="E88" i="150"/>
  <c r="E126" i="150"/>
  <c r="F126" i="150"/>
  <c r="E85" i="150"/>
  <c r="F85" i="150"/>
  <c r="E41" i="150"/>
  <c r="E74" i="150"/>
  <c r="E95" i="150"/>
  <c r="E160" i="150"/>
  <c r="F160" i="150"/>
  <c r="E81" i="150"/>
  <c r="F81" i="150"/>
  <c r="E102" i="150"/>
  <c r="F102" i="150"/>
  <c r="F62" i="150"/>
  <c r="E152" i="150"/>
  <c r="F152" i="150"/>
  <c r="E54" i="150"/>
  <c r="F54" i="150"/>
  <c r="F55" i="150"/>
  <c r="E63" i="150"/>
  <c r="F63" i="150"/>
  <c r="E47" i="150"/>
  <c r="E48" i="150"/>
  <c r="F111" i="150"/>
  <c r="E124" i="150"/>
  <c r="F124" i="150"/>
  <c r="E49" i="150"/>
  <c r="F88" i="150"/>
  <c r="E65" i="150"/>
  <c r="E79" i="150"/>
  <c r="E64" i="150"/>
  <c r="F64" i="150"/>
  <c r="E77" i="150"/>
  <c r="E98" i="150"/>
  <c r="F98" i="150"/>
  <c r="E80" i="150"/>
  <c r="F80" i="150"/>
  <c r="E132" i="150"/>
  <c r="F132" i="150"/>
  <c r="E15" i="150"/>
  <c r="F15" i="150"/>
  <c r="E16" i="150"/>
  <c r="F16" i="150"/>
  <c r="F77" i="150"/>
  <c r="E158" i="150"/>
  <c r="F158" i="150"/>
  <c r="A6" i="99"/>
  <c r="E150" i="150"/>
  <c r="F150" i="150"/>
  <c r="E161" i="150"/>
  <c r="F161" i="150"/>
  <c r="F65" i="150"/>
  <c r="A6" i="100"/>
  <c r="E50" i="150"/>
  <c r="F50" i="150"/>
  <c r="A6" i="77"/>
  <c r="A6" i="78"/>
  <c r="H174" i="150"/>
  <c r="H173" i="150"/>
  <c r="H176" i="150"/>
  <c r="E67" i="150"/>
  <c r="F67" i="150"/>
  <c r="C40" i="78"/>
  <c r="E40" i="78"/>
  <c r="G40" i="78"/>
  <c r="C40" i="77"/>
  <c r="E40" i="77"/>
  <c r="G40" i="77"/>
  <c r="D22" i="100"/>
  <c r="F22" i="100"/>
  <c r="D21" i="99"/>
  <c r="F21" i="99"/>
  <c r="G28" i="99"/>
  <c r="E31" i="99"/>
  <c r="F31" i="99"/>
  <c r="G35" i="99"/>
  <c r="D22" i="99"/>
  <c r="F22" i="99"/>
  <c r="E9" i="150"/>
  <c r="F9" i="150"/>
  <c r="E12" i="150"/>
  <c r="F12" i="150"/>
  <c r="B2" i="169"/>
  <c r="C38" i="100"/>
  <c r="E38" i="100"/>
  <c r="G38" i="100"/>
  <c r="C38" i="99"/>
  <c r="E38" i="99"/>
  <c r="G38" i="99"/>
  <c r="G45" i="99"/>
  <c r="G47" i="99"/>
  <c r="G47" i="77"/>
  <c r="G49" i="77"/>
  <c r="F76" i="150"/>
  <c r="E97" i="150"/>
  <c r="F97" i="150"/>
  <c r="F75" i="150"/>
  <c r="E78" i="150"/>
  <c r="E104" i="150"/>
  <c r="F104" i="150"/>
  <c r="F35" i="150"/>
  <c r="D82" i="150"/>
  <c r="F61" i="150"/>
  <c r="E105" i="150"/>
  <c r="G30" i="78"/>
  <c r="E33" i="78"/>
  <c r="F33" i="78"/>
  <c r="G37" i="78"/>
  <c r="F47" i="150"/>
  <c r="F51" i="150"/>
  <c r="F116" i="150"/>
  <c r="F133" i="150"/>
  <c r="E146" i="150"/>
  <c r="F146" i="150"/>
  <c r="F155" i="150"/>
  <c r="F95" i="150"/>
  <c r="E117" i="150"/>
  <c r="E100" i="150"/>
  <c r="F79" i="150"/>
  <c r="E82" i="150"/>
  <c r="E125" i="150"/>
  <c r="F125" i="150"/>
  <c r="E94" i="150"/>
  <c r="F94" i="150"/>
  <c r="F114" i="150"/>
  <c r="F74" i="150"/>
  <c r="G47" i="78"/>
  <c r="G49" i="78"/>
  <c r="E101" i="150"/>
  <c r="F101" i="150"/>
  <c r="F28" i="150"/>
  <c r="F30" i="150"/>
  <c r="F36" i="150"/>
  <c r="E120" i="150"/>
  <c r="F120" i="150"/>
  <c r="E119" i="150"/>
  <c r="F119" i="150"/>
  <c r="E96" i="150"/>
  <c r="F73" i="150"/>
  <c r="F92" i="150"/>
  <c r="F33" i="150"/>
  <c r="F38" i="150"/>
  <c r="F37" i="150"/>
  <c r="F48" i="150"/>
  <c r="F29" i="150"/>
  <c r="F41" i="150"/>
  <c r="F43" i="150"/>
  <c r="F49" i="150"/>
  <c r="F34" i="150"/>
  <c r="G45" i="100"/>
  <c r="C22" i="99"/>
  <c r="D21" i="100"/>
  <c r="F21" i="100"/>
  <c r="G28" i="100"/>
  <c r="E31" i="100"/>
  <c r="F31" i="100"/>
  <c r="G35" i="100"/>
  <c r="C21" i="99"/>
  <c r="C21" i="100"/>
  <c r="C22" i="100"/>
  <c r="B14" i="28"/>
  <c r="F78" i="150"/>
  <c r="E99" i="150"/>
  <c r="F166" i="150"/>
  <c r="F168" i="150"/>
  <c r="F169" i="150"/>
  <c r="F170" i="150"/>
  <c r="H175" i="150"/>
  <c r="F105" i="150"/>
  <c r="E106" i="150"/>
  <c r="F106" i="150"/>
  <c r="F100" i="150"/>
  <c r="E122" i="150"/>
  <c r="F122" i="150"/>
  <c r="F117" i="150"/>
  <c r="E147" i="150"/>
  <c r="F147" i="150"/>
  <c r="E118" i="150"/>
  <c r="F118" i="150"/>
  <c r="F96" i="150"/>
  <c r="E148" i="150"/>
  <c r="F148" i="150"/>
  <c r="F82" i="150"/>
  <c r="E103" i="150"/>
  <c r="F103" i="150"/>
  <c r="G47" i="100"/>
  <c r="F167" i="150"/>
  <c r="E121" i="150"/>
  <c r="F121" i="150"/>
  <c r="F99" i="150"/>
  <c r="E14" i="150"/>
  <c r="F14" i="150"/>
  <c r="E13" i="150"/>
  <c r="F13" i="150"/>
  <c r="E130" i="150"/>
  <c r="F130" i="150"/>
  <c r="E11" i="150"/>
  <c r="F11" i="150"/>
  <c r="E10" i="150"/>
  <c r="F10" i="150"/>
</calcChain>
</file>

<file path=xl/sharedStrings.xml><?xml version="1.0" encoding="utf-8"?>
<sst xmlns="http://schemas.openxmlformats.org/spreadsheetml/2006/main" count="4223" uniqueCount="707">
  <si>
    <t>ITEM</t>
  </si>
  <si>
    <t>UND</t>
  </si>
  <si>
    <t>CANTIDAD</t>
  </si>
  <si>
    <t>VALOR</t>
  </si>
  <si>
    <t>m3</t>
  </si>
  <si>
    <t>ml</t>
  </si>
  <si>
    <t>Und</t>
  </si>
  <si>
    <t>UNIDAD</t>
  </si>
  <si>
    <t>Herramienta menor</t>
  </si>
  <si>
    <t>1</t>
  </si>
  <si>
    <t xml:space="preserve">           DESCRIPCION</t>
  </si>
  <si>
    <t>VR. UNITARIO</t>
  </si>
  <si>
    <t>Sub-total</t>
  </si>
  <si>
    <t>ANALISIS DE PRECIOS UNITARIOS A.P.U. ACUEDUCTO</t>
  </si>
  <si>
    <t>ITEM:</t>
  </si>
  <si>
    <t>MUNICIPIO:</t>
  </si>
  <si>
    <t>DPTO:</t>
  </si>
  <si>
    <t>FECHA:</t>
  </si>
  <si>
    <t>UNIDAD: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</si>
  <si>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</si>
  <si>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</si>
  <si>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</si>
  <si>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</si>
  <si>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</si>
  <si>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</si>
  <si>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</si>
  <si>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</si>
  <si>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</si>
  <si>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</si>
  <si>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</si>
  <si>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</si>
  <si>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Porcentaje</t>
  </si>
  <si>
    <t>Tarifa</t>
  </si>
  <si>
    <t>Transporte de materiales</t>
  </si>
  <si>
    <t>IV. MANO DE OBRA</t>
  </si>
  <si>
    <t>Trabajador</t>
  </si>
  <si>
    <t>Jornal</t>
  </si>
  <si>
    <t>Prestaciones</t>
  </si>
  <si>
    <t>Jornal Total</t>
  </si>
  <si>
    <t>Oficial</t>
  </si>
  <si>
    <t>Ayudante</t>
  </si>
  <si>
    <t>Total Costo Directo</t>
  </si>
  <si>
    <t>DESCRIPCIÓN</t>
  </si>
  <si>
    <t>VALOR $</t>
  </si>
  <si>
    <t>kg</t>
  </si>
  <si>
    <t>m2</t>
  </si>
  <si>
    <t>lt</t>
  </si>
  <si>
    <t>Galón</t>
  </si>
  <si>
    <t>Limpiador removedor PVC</t>
  </si>
  <si>
    <t>Soldadura PVC líquida</t>
  </si>
  <si>
    <t>LISTA DE COSTOS DE EQUIPOS</t>
  </si>
  <si>
    <t>VALOR/HORA $</t>
  </si>
  <si>
    <t>LISTA DE COSTOS DE MANO DE OBRA</t>
  </si>
  <si>
    <t>VALOR/JORNAL $</t>
  </si>
  <si>
    <t>Maestro</t>
  </si>
  <si>
    <t>Soldador</t>
  </si>
  <si>
    <t>Topógrafo</t>
  </si>
  <si>
    <t>Cadenero</t>
  </si>
  <si>
    <t>Trochero</t>
  </si>
  <si>
    <t>Machinero</t>
  </si>
  <si>
    <t>Operador</t>
  </si>
  <si>
    <t>Oficial especializado</t>
  </si>
  <si>
    <t>PRESUPUESTO DE OBRA</t>
  </si>
  <si>
    <t>EXCAVACIONES</t>
  </si>
  <si>
    <t>ESTRUCTURAS COMPLEMENTARIAS</t>
  </si>
  <si>
    <t>Relleno con arena, incluye materiales y mano de obra</t>
  </si>
  <si>
    <t>Cargue, retiro y disposición de material sobrante de excavación a 5 Km</t>
  </si>
  <si>
    <t>Cemento Gris</t>
  </si>
  <si>
    <t>Localización, nivelación y replanteo (Incluye equipo topografico)</t>
  </si>
  <si>
    <t>Relleno con material seleccionado proveniente de excavación compactado con vibrocompactador</t>
  </si>
  <si>
    <t>CONSTRUCCIÓN DE CÁMARA DE INSPECCIÓN DE CONCRETO DE 21 MPA VACIADAS EN EL SITIO, INCLUYE MESA DE CONCRETO SIMPLE DE 0.20 M DE ESPESOR, CAÑUELAS DE TRANSICIÓN ESMALTADAS, CONO Y CILINDRO DE 1,20 M, EXCAVACIÓN EN CUALQUIER MATERIAL A CUALQUIER PROFUNDIDAD Y GRADO DE HUMEDAD, FORMALETERÍA, CONTROL DE AGUA, SUMINISTRO, TRANSPORTE, CORTE, FIGURACIÓN Y COLOCACIÓN DE REFUERZO, RETIRO Y BOTADA DE ESCOMBROS, LLENO Y MATERIAL DE BASE COMPACTADO Y SE INCLUYEN LOS DEMÁS COSTOS DIRECTOS NECESARIOS PARA LA CORRECTA REALIZACIÓN DE LA ACTIVIDAD. INCLUYE SUMINISTRO DE ANILLO Y TAPA</t>
  </si>
  <si>
    <t>Excavación mecánico en material común mayor de 3 mts</t>
  </si>
  <si>
    <t>und</t>
  </si>
  <si>
    <t>tubería pvc 6 pulgadas</t>
  </si>
  <si>
    <t>Caja cilindrica en concreto incluye tapa y conexión</t>
  </si>
  <si>
    <t>Silla yee 160X315 mm</t>
  </si>
  <si>
    <t>Silla yee 160X400 mm</t>
  </si>
  <si>
    <t>Acometida domiciliaria PVC nueva 160x200 mm, inculye Caja de registro, tubería y accesorios</t>
  </si>
  <si>
    <t>SUMINISTRO DE TUBERÍA ALCANTARILLADO SANITARIO</t>
  </si>
  <si>
    <t>COSTO TOTAL</t>
  </si>
  <si>
    <t>AIU (30%)</t>
  </si>
  <si>
    <t>Excavación manual en material común menor de 3 mts</t>
  </si>
  <si>
    <t>Relleno con material seleccionado  debidamente compactado al 95% del proctor modificado, e=0.3 mts (acarreo libre de 5 km)</t>
  </si>
  <si>
    <t>ML</t>
  </si>
  <si>
    <t>6.20 INSTALACIÓN DE TUBERIA PVC U.M. PVC D=250MM (10")</t>
  </si>
  <si>
    <t>8.2 ACOMETIDA DOMICILIARIA PVC NUEVA 160X250 MM, INCLYE TUBERÍA Y ACCESORIOS</t>
  </si>
  <si>
    <t>8.3 ACOMETIDA DOMICILIARIA PVC NUEVA 160X300 MM, INCLYE TUBERÍA Y ACCESORIOS</t>
  </si>
  <si>
    <t>9</t>
  </si>
  <si>
    <t>9,2</t>
  </si>
  <si>
    <t>9,1,2</t>
  </si>
  <si>
    <t>9,1,3</t>
  </si>
  <si>
    <t>9,1,4</t>
  </si>
  <si>
    <t>9,1,5</t>
  </si>
  <si>
    <t>9,1,6</t>
  </si>
  <si>
    <t>9,1,7</t>
  </si>
  <si>
    <t>9,1,8</t>
  </si>
  <si>
    <t>9,1,9</t>
  </si>
  <si>
    <t>9,1,10</t>
  </si>
  <si>
    <t>9,1,11</t>
  </si>
  <si>
    <t>9,1,12</t>
  </si>
  <si>
    <t xml:space="preserve">ANALISIS DE PRECIOS UNITARIOS A.P.U. </t>
  </si>
  <si>
    <t>Córdoba</t>
  </si>
  <si>
    <t>Ayapel</t>
  </si>
  <si>
    <t xml:space="preserve">Entibado temporal, debe incluir suministro,transporte, colocación de la madera, los tablones y los puntales; el costo de los equipos, herramientas, materiales, mano de obra y todo los costo directos </t>
  </si>
  <si>
    <t>6.3 INSTALACIÓN DE TUBERIA PVC U.M. PVC D=500MM (20")</t>
  </si>
  <si>
    <t>Purísima</t>
  </si>
  <si>
    <t>Costo directo</t>
  </si>
  <si>
    <t>Sub total Obra</t>
  </si>
  <si>
    <t>Interventoría (8%)</t>
  </si>
  <si>
    <t>Suministro  e instalación de Tubería PVC U.M. PVC D=200mm (8")</t>
  </si>
  <si>
    <t>2</t>
  </si>
  <si>
    <t>Construcción de las caídas D = 8" según especificaciones de planos.</t>
  </si>
  <si>
    <t>PLANTA DE TRATAMIENTO DE AGUAS RESIDUALES</t>
  </si>
  <si>
    <t>6</t>
  </si>
  <si>
    <t>4.1</t>
  </si>
  <si>
    <t>PRETRATAMIENTO</t>
  </si>
  <si>
    <t>9.1.1</t>
  </si>
  <si>
    <r>
      <t>m</t>
    </r>
    <r>
      <rPr>
        <vertAlign val="superscript"/>
        <sz val="11"/>
        <rFont val="Century Gothic"/>
        <family val="2"/>
      </rPr>
      <t>3</t>
    </r>
  </si>
  <si>
    <t>Cargue y botada de material proveniente de la excavación a cualquier distancia</t>
  </si>
  <si>
    <t>Entresuelo en piedra D&lt;4"</t>
  </si>
  <si>
    <t>Solado en concreto pobre (f'c = 14 Mpa) e = 5 cm</t>
  </si>
  <si>
    <t>m</t>
  </si>
  <si>
    <t>Acero de refuerzo fy = 60.000 psi (incluye figuración)</t>
  </si>
  <si>
    <t>Compuerta de tablero de 0,45 m x 0,40 m en fibra de vidrio e=1 cm, incluye instalación, guías y sello</t>
  </si>
  <si>
    <t>un</t>
  </si>
  <si>
    <t>Reja de 0,5m x 0,50m, con platina de 25 x 4.7 mm, separadas cada 1,5 cm, incluye guías de "U" de 25 x 12.7 mm galvanizada e instalación.</t>
  </si>
  <si>
    <t>Bandeja de escurrimiento en lámina galvanizada C 14 de 0.30 x 0.45 m y 0.20 de altura, perforada con orificios de Ø 9.4 mm</t>
  </si>
  <si>
    <t>Distancia</t>
  </si>
  <si>
    <t>Concreto f'c=28 Mpa  losa de fondo (incluye impermeabilizante)</t>
  </si>
  <si>
    <t>Concreto f'c=280 kg/cm2 muros (Incluye formaleta e impermeabilizante)</t>
  </si>
  <si>
    <t>TANQUE SÉPTICO</t>
  </si>
  <si>
    <t>Entresuelo en piedra D&lt;100 mm</t>
  </si>
  <si>
    <t>Herrajes tapa de 0,7 m de diámetro</t>
  </si>
  <si>
    <t>Tubería de Extracción de lodos PVC RDE 21 Ø 150 mm</t>
  </si>
  <si>
    <t>Tee  PVC  Ø 150 x 100 mm</t>
  </si>
  <si>
    <t>Tee  PVC  Ø 150 mm</t>
  </si>
  <si>
    <t>Tee  PVC  Ø 100 mm</t>
  </si>
  <si>
    <t>Codo  PVC  Ø 150 mm X 90º</t>
  </si>
  <si>
    <t>Abrazaderas en Cinta PVC e = 15 cm, incluye fijaciones de 12.7 x 62.5 mm</t>
  </si>
  <si>
    <t>Válvulas de  compuerta Ø 150 mm sello bronce, extremo liso (Tipo AWWA C-500)</t>
  </si>
  <si>
    <t>9,2,1</t>
  </si>
  <si>
    <t>Concreto f'c=28 Mpa muros y cajas (Incluye formaleta e impermeabilizante)</t>
  </si>
  <si>
    <t>Concreto f'c=28Mpa para  losa superior (Incluye formaleta e impermeabilizante)</t>
  </si>
  <si>
    <t>9,2,2</t>
  </si>
  <si>
    <t>9,2,3</t>
  </si>
  <si>
    <t>9,2,4</t>
  </si>
  <si>
    <t>9,2,5</t>
  </si>
  <si>
    <t>9,2,6</t>
  </si>
  <si>
    <t>9,2,7</t>
  </si>
  <si>
    <t>9,2,8</t>
  </si>
  <si>
    <t>9,2,9</t>
  </si>
  <si>
    <t>9,2,10</t>
  </si>
  <si>
    <t>9,2,11</t>
  </si>
  <si>
    <t>9,2,12</t>
  </si>
  <si>
    <t>9,2,13</t>
  </si>
  <si>
    <t>9,2,14</t>
  </si>
  <si>
    <t>9,2,15</t>
  </si>
  <si>
    <t>9,2,16</t>
  </si>
  <si>
    <t>9,2,17</t>
  </si>
  <si>
    <t>9,3,17</t>
  </si>
  <si>
    <t>9,2,18</t>
  </si>
  <si>
    <t>Pasamuros Ø 150 mm de L = 0,70 m extremo  liso</t>
  </si>
  <si>
    <t>9,2,19</t>
  </si>
  <si>
    <t>9,3</t>
  </si>
  <si>
    <t>FILTRO ANAEROBO DE FLUJO ASCENDENTE</t>
  </si>
  <si>
    <t>Tubería para distribución de flujo en PVC RDE 21 Ø 150 mm</t>
  </si>
  <si>
    <t xml:space="preserve">Tubería de recolección aguas clarificadas PVC - S Ø 150 mm </t>
  </si>
  <si>
    <t>Vertedero en fibra de vidrio de 0,30 x 0,40 m e=1 cm</t>
  </si>
  <si>
    <t>Cajas de envases como lecho filtrante</t>
  </si>
  <si>
    <t>Tubería para desague del filtro Ø 100 mm PVC RDE 41</t>
  </si>
  <si>
    <t>Válvula de  compuerta Ø 100 mm sello bronce, extremo liso</t>
  </si>
  <si>
    <t>Codo  PVC-P  Ø 100 mm</t>
  </si>
  <si>
    <r>
      <t>m</t>
    </r>
    <r>
      <rPr>
        <i/>
        <vertAlign val="superscript"/>
        <sz val="9"/>
        <rFont val="Arial"/>
        <family val="2"/>
      </rPr>
      <t>3</t>
    </r>
  </si>
  <si>
    <t>9,3,1</t>
  </si>
  <si>
    <t>9,3,2</t>
  </si>
  <si>
    <t>9,3,3</t>
  </si>
  <si>
    <t>9,3,4</t>
  </si>
  <si>
    <t>9,3,7</t>
  </si>
  <si>
    <t>9,3,5</t>
  </si>
  <si>
    <t>9,3,6</t>
  </si>
  <si>
    <t>9,3,8</t>
  </si>
  <si>
    <t>9,3,9</t>
  </si>
  <si>
    <t>9,3,10</t>
  </si>
  <si>
    <t>9,3,11</t>
  </si>
  <si>
    <t>9,3,12</t>
  </si>
  <si>
    <t>9,3,13</t>
  </si>
  <si>
    <t>9,3,14</t>
  </si>
  <si>
    <t>9,3,15</t>
  </si>
  <si>
    <t>9,3,16</t>
  </si>
  <si>
    <t>9,3,18</t>
  </si>
  <si>
    <t>9,3,19</t>
  </si>
  <si>
    <t>Concreto f'c=28 Mpa muros (Incluye formaleta e impermeabilizante)</t>
  </si>
  <si>
    <t>Concreto f'c=28 Mpa  losa superior (Incluye formaleta e impermeabilizante)</t>
  </si>
  <si>
    <t>Pasamuros Ø 100 mm de L = 0,70 m;extremo liso</t>
  </si>
  <si>
    <t>9,4</t>
  </si>
  <si>
    <t>LECHOS DE SECADO</t>
  </si>
  <si>
    <t>Válvulas de bola  Ø 100 mm Bronce, incluye (2) adaptadores macho, (1) codo</t>
  </si>
  <si>
    <t>Tee PVC-S  de Ø150 mm</t>
  </si>
  <si>
    <t>Codo PVC-S de Ø 150 mm x 90º</t>
  </si>
  <si>
    <t>Codo PVC-S de Ø 150 mm x 45º</t>
  </si>
  <si>
    <t>Grava gradada de Ø6.25 a Ø25 mm para lecho percolador</t>
  </si>
  <si>
    <t>Arena gruesa lavada, retenida en al Malla Nº 10</t>
  </si>
  <si>
    <t xml:space="preserve">Techo en lámina de zinc galvanizada, incluye madera de abarco </t>
  </si>
  <si>
    <t>S.T.C. de tubería HG Ø 50 mm para parales del techo</t>
  </si>
  <si>
    <t>Tapas en concreto de 0,5m x 0,8m e=5cm; incluye marco, guías y empaques</t>
  </si>
  <si>
    <r>
      <t>m</t>
    </r>
    <r>
      <rPr>
        <i/>
        <vertAlign val="superscript"/>
        <sz val="8"/>
        <rFont val="Arial"/>
        <family val="2"/>
      </rPr>
      <t>3</t>
    </r>
  </si>
  <si>
    <r>
      <t>m</t>
    </r>
    <r>
      <rPr>
        <i/>
        <vertAlign val="superscript"/>
        <sz val="8"/>
        <rFont val="Arial"/>
        <family val="2"/>
      </rPr>
      <t>2</t>
    </r>
  </si>
  <si>
    <t>9,4,1</t>
  </si>
  <si>
    <t>9,4,2</t>
  </si>
  <si>
    <t>9,4,3</t>
  </si>
  <si>
    <t>9,4,8</t>
  </si>
  <si>
    <t>9,4,4</t>
  </si>
  <si>
    <t>9,4,5</t>
  </si>
  <si>
    <t>9,4,6</t>
  </si>
  <si>
    <t>9,4,7</t>
  </si>
  <si>
    <t>9,4,9</t>
  </si>
  <si>
    <t>9,4,10</t>
  </si>
  <si>
    <t>9,4,11</t>
  </si>
  <si>
    <t>9,4,12</t>
  </si>
  <si>
    <t>9,4,13</t>
  </si>
  <si>
    <t>9,4,14</t>
  </si>
  <si>
    <t>9,4,15</t>
  </si>
  <si>
    <t>9,4,16</t>
  </si>
  <si>
    <t>9,4,17</t>
  </si>
  <si>
    <t>Concreto f'c=28 Mpa muros, cajas y pasarelas (Incluye formaleta e impermeabilizante)</t>
  </si>
  <si>
    <t>S.T.C. de tubería PVC RDE 41 de Ø 150 mm para transporte de lodos desde el tanque séptico hasta los lechos</t>
  </si>
  <si>
    <t>Cable antifraude Nº 6</t>
  </si>
  <si>
    <t>Trenza ACSR Nº 2</t>
  </si>
  <si>
    <t>Terminal con percha y aislador</t>
  </si>
  <si>
    <t>Breaker de 20 amperios monofásico</t>
  </si>
  <si>
    <t>Lampara tipo alumbrado público</t>
  </si>
  <si>
    <t>Poste de concreto de 10 m</t>
  </si>
  <si>
    <t>Caja de paso de  0.30 m x 0.30 m incluye herraje</t>
  </si>
  <si>
    <t>Acometida para lámpara de alumbrado público</t>
  </si>
  <si>
    <t>Alcantarillado interno de la planta</t>
  </si>
  <si>
    <t>S.T.C. de tuberia PVC-Novafort de Ø250mm</t>
  </si>
  <si>
    <t>S.T.C de Cilindro para cámara de inspección de Ø = 1,20m</t>
  </si>
  <si>
    <t>Conjunto de base, cañuela, cono, cuello y tapa, para cámara de inspección</t>
  </si>
  <si>
    <t>Entresuelo en triturado para apoyo de tubería</t>
  </si>
  <si>
    <t>Engavionado para descarga a la quebrada</t>
  </si>
  <si>
    <t>m³</t>
  </si>
  <si>
    <t>Obras complementarias</t>
  </si>
  <si>
    <t>Triturado para sendero perimetral de las estructuras</t>
  </si>
  <si>
    <t>Tabletas en concreto de 14 Mpa de 0.6 x 0.4 e= 10 cm para sendero peatonal y escalas</t>
  </si>
  <si>
    <r>
      <t>m</t>
    </r>
    <r>
      <rPr>
        <vertAlign val="superscript"/>
        <sz val="11"/>
        <rFont val="Century Gothic"/>
        <family val="2"/>
      </rPr>
      <t>2</t>
    </r>
  </si>
  <si>
    <t>Engramado  con cespedones en gramalote</t>
  </si>
  <si>
    <t>Acometida de acueducto de Ø12.7 mm; incluye caja, tubería, accesorios, medidor, llaves y collar de derivación</t>
  </si>
  <si>
    <t xml:space="preserve">gl </t>
  </si>
  <si>
    <t>Cerramiento en malla eslabonada con parales en tubería HG Ø 50 mm , L = 2,4m, @2,0m, con 10 hileras de almbre de púas calibre 14</t>
  </si>
  <si>
    <t>Puerta metálica de 2.0 x 2.20 m (incluye marco en platinas de 38 x 4.76 mm, anclaje en concreto y parales en tubería galvanizada de 6 75 mm)</t>
  </si>
  <si>
    <t>Suministro y siembra de árboles para barreras vivas</t>
  </si>
  <si>
    <t>Construcción de jarillón de 1.0 m de ancho por 1.2 de altura con material proveniente de la excavación</t>
  </si>
  <si>
    <t>9,5</t>
  </si>
  <si>
    <t>9,5,1</t>
  </si>
  <si>
    <t>9,5,2</t>
  </si>
  <si>
    <t>9,5,3</t>
  </si>
  <si>
    <t>9,5,4</t>
  </si>
  <si>
    <t>9,5,6</t>
  </si>
  <si>
    <t>9,5,5</t>
  </si>
  <si>
    <t>9,5,7</t>
  </si>
  <si>
    <t>9,5,8</t>
  </si>
  <si>
    <t>9,5,9</t>
  </si>
  <si>
    <t>9,6</t>
  </si>
  <si>
    <t>9,6,1</t>
  </si>
  <si>
    <t>9,6,2</t>
  </si>
  <si>
    <t>9,6,3</t>
  </si>
  <si>
    <t>9,6,5</t>
  </si>
  <si>
    <t>9,6,6</t>
  </si>
  <si>
    <t>9,6,7</t>
  </si>
  <si>
    <t>9,6,8</t>
  </si>
  <si>
    <t>9,6,9</t>
  </si>
  <si>
    <t>9,6,10</t>
  </si>
  <si>
    <t>ACOMETIDA ELÉCTRICA Y SISTEMA DE ILUMINIACIÓN</t>
  </si>
  <si>
    <t>Contador de energía monofásico</t>
  </si>
  <si>
    <t>Concreto f'c = 28Mpa para cabezotes y descoles</t>
  </si>
  <si>
    <t>9,7,1</t>
  </si>
  <si>
    <t>9,7,2</t>
  </si>
  <si>
    <t>9,7,3</t>
  </si>
  <si>
    <t>9,7,4</t>
  </si>
  <si>
    <t>9,7,5</t>
  </si>
  <si>
    <t>9,7,6</t>
  </si>
  <si>
    <t>9,7,7</t>
  </si>
  <si>
    <t>9,7,8</t>
  </si>
  <si>
    <t>MOVIMIENTOS DE TIERRA Y ENTIBADO</t>
  </si>
  <si>
    <t>Cámara de Inspección diametro interior 1.2 m H =(&gt;1.5)m en concreto de 4000 PSI,  Inlcuye tapa  con aro en HF d=0.60m  y escalera</t>
  </si>
  <si>
    <t>Cámara de Inspección diametro interior 1.2 m H =(&gt;1.5M; &lt; 3m) en concreto de 4000 PSI,  Inlcuye tapa  con aro en HF d=0.60m  y escalera</t>
  </si>
  <si>
    <t>Cámara de Inspección diametro interior 1.2 m H mayor de &gt;3m en concreto de 4000 PSI,  Inlcuye tapa  con aro en HF d=0.60m  y escalera</t>
  </si>
  <si>
    <t>4.2</t>
  </si>
  <si>
    <t>Suministro e instalación de Tubería PVC U.M. PVC D=150mm (6") para manijas</t>
  </si>
  <si>
    <t>Dorada</t>
  </si>
  <si>
    <t>Pueblo Flechas</t>
  </si>
  <si>
    <t>Bocas de Uré</t>
  </si>
  <si>
    <t>OBJETO : CONSTRUCCIÓN DE UNIDADES BÁSICAS SANITARIAS DE ALCANTARILLADO ALTERNO EN LOS CORREGIMIENTOS DE  LA DORADA, BOCAS DE URÉ Y PUEBLO FLECHAS EN EL MUNICIPIO DE SAN JOSÉ DE URÉ DEPARTAMENTO DE CÓRDOBA.</t>
  </si>
  <si>
    <t>CASETA</t>
  </si>
  <si>
    <t>Excavación manual para viga de amarre inferior 0,30*0,30</t>
  </si>
  <si>
    <t>Viga cimiento de 0,20*0,20 con 4Ø3/8" y estribos de Ø1/4" c/0,20 mts, concreto de 3000 PSI</t>
  </si>
  <si>
    <t>Sobrenivelación en bloque macizo acostado No. 10 (3 hiladas)</t>
  </si>
  <si>
    <t xml:space="preserve">Levante de muros en bloque hueco No. 10 </t>
  </si>
  <si>
    <t>M2</t>
  </si>
  <si>
    <t>Levante de calados</t>
  </si>
  <si>
    <t>Revoque para muros en mortero 1:5 ambas caras, e= 0,03 mts</t>
  </si>
  <si>
    <t>Viga de amarre superior de 0,10*0,20 concreto de 3000 PSI con 4Ø38/" y estribos de Ø1/4" c(0,20 mts</t>
  </si>
  <si>
    <t>Plantilla para piso pulido de e= 0,07 mts concreto de 3000 PSI</t>
  </si>
  <si>
    <t>Relleno en material seleccionado compactado al 95% de P.M.</t>
  </si>
  <si>
    <t>M3</t>
  </si>
  <si>
    <t>Cubierta en Asbesto cemento, incluye estructura en madera y amarres</t>
  </si>
  <si>
    <t>Suministro e instalación de sanitario blanco</t>
  </si>
  <si>
    <t>UN</t>
  </si>
  <si>
    <t>Suministro instalación de lavamanos blanco</t>
  </si>
  <si>
    <t>Suministro e instalación de puerta en lamina de 0,70*2,00 mts con marco metalico</t>
  </si>
  <si>
    <t>Pintura tipo 1 para muros interiores y exteriores (Tres manos)</t>
  </si>
  <si>
    <t>Instalaciones hidraulicas internas</t>
  </si>
  <si>
    <t>GL</t>
  </si>
  <si>
    <t>Instalaciones eléctricas internas</t>
  </si>
  <si>
    <t>V. UNITARO</t>
  </si>
  <si>
    <t>V. PARCIAL</t>
  </si>
  <si>
    <t>TOTAL COSTOS DIRECTOS</t>
  </si>
  <si>
    <t>TOTAL COSTOS PROYECTO</t>
  </si>
  <si>
    <t>LISTA DE PRECIOS DE MATERIALES</t>
  </si>
  <si>
    <t>TOTAL COSTOS INDIRECTOS (A.I.U. 30%)</t>
  </si>
  <si>
    <t>ANALISIS DE PRECIOS UNITARIOS A.P.U.</t>
  </si>
  <si>
    <t>Mortero 1:4</t>
  </si>
  <si>
    <t>Cortacircuito monopolar 15 KV. 100 A.</t>
  </si>
  <si>
    <t>Pararrayo tipo distribucion 12KV. 10 KA</t>
  </si>
  <si>
    <t>CRUCETA ANGULAR METALICA 1400 MM, (AUTO-SOPORTADA)</t>
  </si>
  <si>
    <t>Equipo de oxicorte</t>
  </si>
  <si>
    <t>Puerta metálica 2,40 x 1,50 m., incluye marco, pasador, pintura y bisagras.</t>
  </si>
  <si>
    <t>Guadañadora de cintura.</t>
  </si>
  <si>
    <t>ANGULO 1 1/2"x1 1/2"x1/8"</t>
  </si>
  <si>
    <t>MALLA ESLABONADA CAL 10</t>
  </si>
  <si>
    <t>PLATINA r = 15</t>
  </si>
  <si>
    <t>PINTURA ANTICORROSIVO GRIS</t>
  </si>
  <si>
    <t>KG</t>
  </si>
  <si>
    <t>GALON</t>
  </si>
  <si>
    <t>SOLDADURA 6011</t>
  </si>
  <si>
    <t>RESUMEN DE CANTIDADES DE OBRA</t>
  </si>
  <si>
    <t>No. ITEM</t>
  </si>
  <si>
    <t>DESCRIPCION</t>
  </si>
  <si>
    <t>3</t>
  </si>
  <si>
    <t>4</t>
  </si>
  <si>
    <t>5</t>
  </si>
  <si>
    <t>7</t>
  </si>
  <si>
    <t>8</t>
  </si>
  <si>
    <t>M</t>
  </si>
  <si>
    <t>Tablero general de distribución con capacidad para alojamiento para breaker totalizador principal y breakers parciales para dependencias con medidas de 60cm x 40cm x 25cm, elaborado en lámina galvanizada calibre 16 y acabado de pintura electrostática RAL 7035</t>
  </si>
  <si>
    <t>Braker totalizador 3x350 A LG</t>
  </si>
  <si>
    <t>Barraje monofásico para 500 A</t>
  </si>
  <si>
    <t>Breaker 3x70 A LG</t>
  </si>
  <si>
    <t>Conexión general entre barraje y breakers con platinas de cobre</t>
  </si>
  <si>
    <t>LAMPARA LED DE 400 W</t>
  </si>
  <si>
    <t>Lámpara LED para alumbrado público 140w., 8000 lumens.</t>
  </si>
  <si>
    <t>Cable de Cobre Aislado THHN No. 12</t>
  </si>
  <si>
    <t>Cable de Cobre Aislado THHN No. 14</t>
  </si>
  <si>
    <t>PINTURA VINILTEX</t>
  </si>
  <si>
    <t>MAQUINA BIOSALUDABLE SEGÚN NECESIDAD</t>
  </si>
  <si>
    <t>GRAVA DEL RIO SAN JORGE</t>
  </si>
  <si>
    <t>CONCRETO 3.000 PSI</t>
  </si>
  <si>
    <t>TUBO METALICO GALVANIZADO DE 3" CALIBRE 14 (6 metros)</t>
  </si>
  <si>
    <t>VARILLA LISA 3/4"</t>
  </si>
  <si>
    <t>ANGULO DE 1-1/2´´ x 1/8´´ (cerramiento en malla)</t>
  </si>
  <si>
    <t>ANGULO DE 1-1/2´´ x 1/4´´ (cerramiento en malla)</t>
  </si>
  <si>
    <t>PLATINA DE 2`` X 3/8``</t>
  </si>
  <si>
    <t>PLATINA METALICA DE 1/8" x 10cm</t>
  </si>
  <si>
    <t>PLATINA DE 1 1/2" x 1/4" x 6.0 m</t>
  </si>
  <si>
    <t>Lijas</t>
  </si>
  <si>
    <t>Masilla Poliéster para metal</t>
  </si>
  <si>
    <t>CONCRETO 2,500 P.S.I.</t>
  </si>
  <si>
    <t>Malla Electrosoldada 15x15cm</t>
  </si>
  <si>
    <t>MALLA ARCOS DE FUTBOL EN FIBRA (JUEGO)</t>
  </si>
  <si>
    <t>ESMALTE PINTULUX</t>
  </si>
  <si>
    <t>JUEGO INFANTIL EN MADERA Y FIBRA. REF. NSM-02</t>
  </si>
  <si>
    <t>Imprimante de dos componentes, a base de resina epoxi sin disolventes, tipo Sikafloor 154 W Gris 30 o similar.</t>
  </si>
  <si>
    <t>Pintura de dos componentes, a base de poliuretano alifático y disolvente.</t>
  </si>
  <si>
    <t>Mortero de reparación, tipo SikaTop®-122 o similar</t>
  </si>
  <si>
    <t>Kg</t>
  </si>
  <si>
    <t>Varilla Cooper Weld de 14.28MM x 2,40 de Cobre Macizo</t>
  </si>
  <si>
    <t>Conductor de cobre desnudo, de 35 mm².</t>
  </si>
  <si>
    <t>Poste para alumbrado público, altura: 8 metros, en acero, color blanco.</t>
  </si>
  <si>
    <t>Portería fija de fútbol 11 en postes y larguero de sección circular de 100 mm de diámetro, de acero, acabado con barniz de poliuretano, color blanco y red de nylon con cuerdas de 3 mm de diámetro con soportes de poliamida para sujeción de la red a la portería, incluso botes de acero para empotrar los postes.</t>
  </si>
  <si>
    <t>PLANTA ORNAMENTAL CORALES 40-50 CMS</t>
  </si>
  <si>
    <t>TRIPLE 15 BULTO X 5O kg.</t>
  </si>
  <si>
    <t>Palmera ornamental tipo Cola de Zorra, Real o Manila. h= 2,00 - 2,50 m.</t>
  </si>
  <si>
    <t>Arbol frutal de la región. H= 1,50 - 2,00 m.</t>
  </si>
  <si>
    <t>BARRETON CALIMA</t>
  </si>
  <si>
    <t>CARRETA BOOGY</t>
  </si>
  <si>
    <t>PALA REDONDA CALIMA</t>
  </si>
  <si>
    <t>PALADRAGA GRANDE</t>
  </si>
  <si>
    <r>
      <t>m</t>
    </r>
    <r>
      <rPr>
        <sz val="10"/>
        <rFont val="Calibri"/>
        <family val="2"/>
      </rPr>
      <t>²</t>
    </r>
  </si>
  <si>
    <t>Un</t>
  </si>
  <si>
    <t>BLOQUE N° 5. e= 0,15 m.</t>
  </si>
  <si>
    <t>LUMINARIA 400 W. LED, MH O ROY ALPHA O SIMILAR</t>
  </si>
  <si>
    <t>BLOQUE N° 5. e= 0,10 m.</t>
  </si>
  <si>
    <t>CODO 90° BAJANTE 4"</t>
  </si>
  <si>
    <t>TUBERIA PVC VENTILACION U.S. D=4"</t>
  </si>
  <si>
    <t>SOLDADURA SOLVENTE PARA PVC (1/4 GLN)</t>
  </si>
  <si>
    <r>
      <rPr>
        <sz val="10"/>
        <rFont val="Calibri"/>
        <family val="2"/>
      </rPr>
      <t>¼</t>
    </r>
    <r>
      <rPr>
        <i/>
        <sz val="10"/>
        <rFont val="Arial"/>
        <family val="2"/>
      </rPr>
      <t>gln</t>
    </r>
  </si>
  <si>
    <t>TUBERIA PVC ST U.S. D=4"</t>
  </si>
  <si>
    <t>UNION SIMPLE PVC 4"</t>
  </si>
  <si>
    <t>CESPED PARA EMPRADIZACION X BULTO</t>
  </si>
  <si>
    <t>CINTA TEFLÓN HD 1/2”X10 M</t>
  </si>
  <si>
    <t>Sello de silicona o sellador autonivelante</t>
  </si>
  <si>
    <t>Cable de Acero Galvanizado de 1/4 Pulgada</t>
  </si>
  <si>
    <r>
      <t>Tensor Trabajo Pesado ¼" X 3</t>
    </r>
    <r>
      <rPr>
        <sz val="10"/>
        <rFont val="Calibri"/>
        <family val="2"/>
      </rPr>
      <t>½"</t>
    </r>
  </si>
  <si>
    <t>Platina 1" x 1/8"</t>
  </si>
  <si>
    <t>Chazo Tipo Cuña 3/8x16x3</t>
  </si>
  <si>
    <t>Perro 1/8"</t>
  </si>
  <si>
    <t>Malla para Cerramientos Deportivos Nylon, calibre 3.</t>
  </si>
  <si>
    <t>Equipo soldadura</t>
  </si>
  <si>
    <t>PLATINA METALICA CAL. 12 PARA PASAMANOS</t>
  </si>
  <si>
    <t>TUBO METALICO GALVANIZADO DE 2" CALIBRE 1.5 mm x 6,00 m.</t>
  </si>
  <si>
    <t xml:space="preserve">Conjunto Griferia Sanitaria </t>
  </si>
  <si>
    <t>Grifería Lavamanos</t>
  </si>
  <si>
    <t>Grifería Push Orinal Metal Cromo</t>
  </si>
  <si>
    <t>Protector químico insecticida-fungicida.</t>
  </si>
  <si>
    <t>Equipo de chorro de agua a presión, con adaptador para lanza de agua.</t>
  </si>
  <si>
    <t>Equipo de chorro de aire a presión.</t>
  </si>
  <si>
    <t>Tapa metalica para pozo en lamina de 1,00 - 150 de diametro.</t>
  </si>
  <si>
    <t>Lampara Hermética Led 2x18</t>
  </si>
  <si>
    <t>Toma Corriente Doble Blanca</t>
  </si>
  <si>
    <t>INTERRUPTOR SENCILLO BLANCO</t>
  </si>
  <si>
    <t>Perfilería PHR perfil C</t>
  </si>
  <si>
    <t>Teja Arquitectónica 721 x 3050 – 30 (0.30 mm) color rojo</t>
  </si>
  <si>
    <t>Caballete - limatesa teja Arquitectónica.</t>
  </si>
  <si>
    <t>TOTAL CANT.</t>
  </si>
  <si>
    <t xml:space="preserve">SOLDADURA E6013  </t>
  </si>
  <si>
    <t>Gramos</t>
  </si>
  <si>
    <t>Bordillo prefabricado en concreto de sección 15CM x 45CM X 80CM</t>
  </si>
  <si>
    <t>Material seleccionado para relleno (recebo)</t>
  </si>
  <si>
    <t>PINTURA TERMOPLASTICA (e=2.3mm. Incluye Suministro y Aplicación con Equipo. Incluye Microesferas)</t>
  </si>
  <si>
    <t>Ganchos de Hierro 1/4"</t>
  </si>
  <si>
    <t>Geotextil no Tejido 1800</t>
  </si>
  <si>
    <t>Grava de 1/2"</t>
  </si>
  <si>
    <t>Arena Silice (20kgxm2)</t>
  </si>
  <si>
    <t>Caucho Molido (10kgxm2)</t>
  </si>
  <si>
    <t>Cintas de Union</t>
  </si>
  <si>
    <t>Grama Sintetica</t>
  </si>
  <si>
    <t>Bancas con espaldar tipo tipo IDU según diseño</t>
  </si>
  <si>
    <t>Cable Encauchetado 3x12 XMt Cst-P Awg Cu 600v 75c</t>
  </si>
  <si>
    <t>Tornillo  teja Ter-Acu Arandela EPDM 14-14-1 1/2"</t>
  </si>
  <si>
    <t>DEMOLICION DE VIGA CORONA.</t>
  </si>
  <si>
    <t>DESMONTE DE CUBIERTA EN ASBESTO - CEMENTO, INCLUYE RETIRO DE SOBRANTES.</t>
  </si>
  <si>
    <t>VIGA CORONA DE 0,10 X 0,20 M. EN CONCRETO REFORZADO, INCLUYE PLATINA PARA FIJACIÓN DE CORREAS METALICAS.</t>
  </si>
  <si>
    <t xml:space="preserve">Masilla supermastick </t>
  </si>
  <si>
    <t>Chazo puntilla</t>
  </si>
  <si>
    <t>Cinta Malla * 45mts F/Vidrio</t>
  </si>
  <si>
    <t>Tornillo 7/16" punta broca</t>
  </si>
  <si>
    <t>Intervinil pro de 200 x 5 gal</t>
  </si>
  <si>
    <t>Angulo galvanizado de 0.2 X 0.25 Cal. 26 x 2.44 m</t>
  </si>
  <si>
    <t>Tornillo 1" punta broca</t>
  </si>
  <si>
    <t>Lamina de yeso RH 1/2pg 1.22 x 2.44m 12.7mm Knauf</t>
  </si>
  <si>
    <t>Omega 2-5/16 x 3/4pg 0.38mm 2.44m</t>
  </si>
  <si>
    <t>Vigueta 1-1/2 x 3/4-pulg x 0.38mm x 2.44m</t>
  </si>
  <si>
    <t>Cielo raso plano placa panel yeso 12mm.</t>
  </si>
  <si>
    <t>m²</t>
  </si>
  <si>
    <t>Pinza voltiamperimetrica</t>
  </si>
  <si>
    <t>Escalera de tijera 2.4</t>
  </si>
  <si>
    <t>Taladro percutor</t>
  </si>
  <si>
    <t>Camión pequeño (1-3.5 Ton)</t>
  </si>
  <si>
    <t>Grua Hidraulica</t>
  </si>
  <si>
    <t xml:space="preserve">Andamios tubulares </t>
  </si>
  <si>
    <t>Tablon</t>
  </si>
  <si>
    <t>Compresor (barrido y soplado)</t>
  </si>
  <si>
    <t>Rana Vibradora</t>
  </si>
  <si>
    <t>gal</t>
  </si>
  <si>
    <t>Breaker10/15/20 Amp.</t>
  </si>
  <si>
    <t>Cerradura puerta oficina doble seguridad.</t>
  </si>
  <si>
    <t>Disolvente para pintura (TINNER)</t>
  </si>
  <si>
    <t>Sifón Lavamanos</t>
  </si>
  <si>
    <t>Gln</t>
  </si>
  <si>
    <t>Electrobomba de 1 HP</t>
  </si>
  <si>
    <t>Espuma elastomérica a base de caucho sintético</t>
  </si>
  <si>
    <t>Cable Encauchetado 3x14 XMt Cst-P Awg Cu 600v 75c</t>
  </si>
  <si>
    <t>Gas refrigerante R22 x 800 Grs</t>
  </si>
  <si>
    <t>Gas refrigerante R410A</t>
  </si>
  <si>
    <t>Cinta vinilo</t>
  </si>
  <si>
    <t>Rollo</t>
  </si>
  <si>
    <t>Soldadura de plata</t>
  </si>
  <si>
    <t>Cinta aislante 33+</t>
  </si>
  <si>
    <t>PINTURA ACRILTEX O KORAZA</t>
  </si>
  <si>
    <t>Soporte Pared Aire Acondicionado 9.000-12.000btu</t>
  </si>
  <si>
    <t>Jgo</t>
  </si>
  <si>
    <t xml:space="preserve">Valor Total </t>
  </si>
  <si>
    <t>Valor Total</t>
  </si>
  <si>
    <t>SALARIO MES SMMLV (2025)</t>
  </si>
  <si>
    <t>COMISARIA</t>
  </si>
  <si>
    <t>TRANSITO</t>
  </si>
  <si>
    <t>PERSONERIA</t>
  </si>
  <si>
    <t>POLICIA</t>
  </si>
  <si>
    <t>SEDE EL ORIENTE</t>
  </si>
  <si>
    <t xml:space="preserve">OFIC DE INTEGRACION SOCIAL </t>
  </si>
  <si>
    <t>ALCALDIA</t>
  </si>
  <si>
    <t>Panel Led Cuadrado 60x60 40w Luz Blanca 100-277v</t>
  </si>
  <si>
    <r>
      <t xml:space="preserve">Racor </t>
    </r>
    <r>
      <rPr>
        <sz val="10"/>
        <rFont val="Calibri"/>
        <family val="2"/>
      </rPr>
      <t>Ø ½</t>
    </r>
    <r>
      <rPr>
        <sz val="10"/>
        <rFont val="Arial"/>
        <family val="2"/>
      </rPr>
      <t>"</t>
    </r>
  </si>
  <si>
    <r>
      <t xml:space="preserve">Racor </t>
    </r>
    <r>
      <rPr>
        <sz val="10"/>
        <rFont val="Calibri"/>
        <family val="2"/>
      </rPr>
      <t>Ø ¼</t>
    </r>
    <r>
      <rPr>
        <sz val="10"/>
        <rFont val="Arial"/>
        <family val="2"/>
      </rPr>
      <t>"</t>
    </r>
  </si>
  <si>
    <r>
      <t xml:space="preserve">Tubo cobre </t>
    </r>
    <r>
      <rPr>
        <sz val="10"/>
        <rFont val="Calibri"/>
        <family val="2"/>
      </rPr>
      <t>Ø ½</t>
    </r>
    <r>
      <rPr>
        <sz val="10"/>
        <rFont val="Arial"/>
        <family val="2"/>
      </rPr>
      <t>"</t>
    </r>
  </si>
  <si>
    <r>
      <t xml:space="preserve">Tubo cobre </t>
    </r>
    <r>
      <rPr>
        <sz val="10"/>
        <rFont val="Calibri"/>
        <family val="2"/>
      </rPr>
      <t>Ø ¼</t>
    </r>
    <r>
      <rPr>
        <sz val="10"/>
        <rFont val="Arial"/>
        <family val="2"/>
      </rPr>
      <t>"</t>
    </r>
  </si>
  <si>
    <t>ayudante</t>
  </si>
  <si>
    <t xml:space="preserve"> </t>
  </si>
  <si>
    <t>CANT.</t>
  </si>
  <si>
    <t>lts</t>
  </si>
  <si>
    <t>SANITARIO BLANCO INSTITUCIONAL INFANTIL</t>
  </si>
  <si>
    <t>%</t>
  </si>
  <si>
    <t xml:space="preserve">Silicona sellante </t>
  </si>
  <si>
    <t xml:space="preserve">Arena lavada </t>
  </si>
  <si>
    <t xml:space="preserve">  </t>
  </si>
  <si>
    <t>UND: ml</t>
  </si>
  <si>
    <t>desperdicio</t>
  </si>
  <si>
    <t>pulidora</t>
  </si>
  <si>
    <t>UND: und</t>
  </si>
  <si>
    <t>Lavaplatos para Empotrar Doble Tanque 84x56 cm Acero Inoxidable</t>
  </si>
  <si>
    <t>Grifería de lavaplatos</t>
  </si>
  <si>
    <t>Sifón PVC/flexible</t>
  </si>
  <si>
    <t xml:space="preserve">Canastilla desagüe </t>
  </si>
  <si>
    <t xml:space="preserve">mangueras flaxibles </t>
  </si>
  <si>
    <t>Adaptadores PVC metalicos</t>
  </si>
  <si>
    <t>Tuvo PVC sanitario</t>
  </si>
  <si>
    <t>Silicona sanitaria</t>
  </si>
  <si>
    <t>Cintas Teflón</t>
  </si>
  <si>
    <t xml:space="preserve">   </t>
  </si>
  <si>
    <t>acero de refuerzo 3/8" corrugado</t>
  </si>
  <si>
    <t>alambre negro</t>
  </si>
  <si>
    <t>UND: Ml</t>
  </si>
  <si>
    <t xml:space="preserve">Grava </t>
  </si>
  <si>
    <t xml:space="preserve">cemento </t>
  </si>
  <si>
    <t>agua</t>
  </si>
  <si>
    <t xml:space="preserve">Arena </t>
  </si>
  <si>
    <t xml:space="preserve">disolvente industrial </t>
  </si>
  <si>
    <t>Pintura de trafico para demarcacion</t>
  </si>
  <si>
    <t>Brocha 4"</t>
  </si>
  <si>
    <t>Cinta de enmascarar</t>
  </si>
  <si>
    <t>vol de concreto</t>
  </si>
  <si>
    <t xml:space="preserve">Poste en angulo de 2*2*1/4 de 3,5m para señal
</t>
  </si>
  <si>
    <t>Señal (grupo 1). Tablero en lámina galvanizada de 75cm*75cm, calibre 16, reflectivo tipo 1/ incluye poste )</t>
  </si>
  <si>
    <t>Concreto Resistencia  14 (Mpa)</t>
  </si>
  <si>
    <t>Concreto Resistencia  3500</t>
  </si>
  <si>
    <t xml:space="preserve">und </t>
  </si>
  <si>
    <t xml:space="preserve">m3 </t>
  </si>
  <si>
    <t xml:space="preserve">MEMORIA DE CANTIDADES DE OBRA </t>
  </si>
  <si>
    <t>ALCALDIA DE LA APARTADA</t>
  </si>
  <si>
    <t>OBJETO:</t>
  </si>
  <si>
    <t xml:space="preserve">ILUMINARIAS </t>
  </si>
  <si>
    <t>FECHA DE ELABORACION:</t>
  </si>
  <si>
    <t xml:space="preserve">UNIDAD : </t>
  </si>
  <si>
    <t>ACTIVIDAD</t>
  </si>
  <si>
    <t>CANTIDAD:</t>
  </si>
  <si>
    <t xml:space="preserve">ITEM </t>
  </si>
  <si>
    <t>DIMENSIONES</t>
  </si>
  <si>
    <t>Frecuencia</t>
  </si>
  <si>
    <t>Medida total</t>
  </si>
  <si>
    <t>LONG</t>
  </si>
  <si>
    <t>TOTAL</t>
  </si>
  <si>
    <r>
      <t xml:space="preserve">OBSERVACIONES: </t>
    </r>
    <r>
      <rPr>
        <sz val="12"/>
        <color theme="1"/>
        <rFont val="Calibri"/>
        <family val="2"/>
      </rPr>
      <t xml:space="preserve"> </t>
    </r>
  </si>
  <si>
    <t>N</t>
  </si>
  <si>
    <t>1.2</t>
  </si>
  <si>
    <t xml:space="preserve">Municipio de La Apartada Córdoba </t>
  </si>
  <si>
    <t>SUB-TOTAL</t>
  </si>
  <si>
    <t xml:space="preserve">UND </t>
  </si>
  <si>
    <t>DESMONTE DE PUERTA DE BAÑO DE UNIDAD SANITARIA EN MAL ESTADO. 0.68 MTS X 1.80 MTS, INCLUYE DESMONTE DE MARCO</t>
  </si>
  <si>
    <t xml:space="preserve">S/I DE PUERTA GALVANIZADA CALIBRE 20, EN MARCO DE TUBOS DE 0.70 MTS X 1.80 MTS  </t>
  </si>
  <si>
    <t xml:space="preserve">DESMONTE DE PUERTAS DE ACCESO EN MAL ESTADO DE CUARTO DE ALMACEN, 0.70 MTS X 2.40 MTS, INLUYE DESMONTE DE MARCOS. </t>
  </si>
  <si>
    <t xml:space="preserve">S/I DE PUERTA GALVANIZADA CALIBRE 20, EN MARCO DE TUBOS DE 1.0 MTS X 2.40 MTS, PARA ACCESO UNIDAD SANITARIA Y CUARTO DE ALMACEN </t>
  </si>
  <si>
    <t>DESMONTE DE SANITARIOS EN MAL ESTADO.</t>
  </si>
  <si>
    <t>S/I DE SANITARIOS CERÁMICO BLANCO, INCLUYE TODOS SUS ACCESORIOS, HASTA SU CORRECTO FUNCIONAMINETO.</t>
  </si>
  <si>
    <t>S/I DE ORINALES CERÁMICO BLANCO, INLCUYE TODOS SUS ACCESORIOS, HASTA SU CORRECTO FUNCIONAMIENTO.</t>
  </si>
  <si>
    <t>S/I DE LAMPARAS LED DE LAMPARAS LEED DE 0,60 X 0,60 LUZ BLANCA.</t>
  </si>
  <si>
    <t xml:space="preserve">PINTURA PAR MURO EXTERIOR TIPO KORAZA </t>
  </si>
  <si>
    <t>DESMONTE DE PUERTAS DE ACCCESO A UNIDAD SANITARIA, 1.0 MTS X 2.40 MTS, INLCUYE DESMONTE DE MARCO</t>
  </si>
  <si>
    <t xml:space="preserve">S/I DE GRIFERIA PARA LAVAMANOS CERÁMICO BLANCO, INCLUYE TODOS SUS ACCESORIOS, HASTA SU CORRECTO FUNCIONAMIENTO. </t>
  </si>
  <si>
    <t>S/I DE CIELO RASO EN LAMINA PVC, EN UNIDAD SANITARIA</t>
  </si>
  <si>
    <t xml:space="preserve"> S/I DE CIELO RASO EN LAMINA PVC, PARA AULAS ESCOLARES </t>
  </si>
  <si>
    <t>S/I DE TEJA ARQUITECTONICA TJ AZUL 1,01M X 6 M  CAL 31 0,25MM, INCLUYE TODOS SUS ACCESORIOS PARA SU DEBIDA INSTALACIÓN.</t>
  </si>
  <si>
    <t>S/I DE CABALLETE AZUL 0,40X0,107M KLAR U PVC</t>
  </si>
  <si>
    <t>DESMONTE DE CUBIERTA EN TEJA DE ETENIT  EN MAL ESTADO, PARA COMEDOR.</t>
  </si>
  <si>
    <t xml:space="preserve">S/I DE CIELO RASO EN LAMINA PVC, EN COMEDOR Y AULAS </t>
  </si>
  <si>
    <t>PINTURA PARA MUROS INTERIORES LAVABLE</t>
  </si>
  <si>
    <t>PINTURA PARA MUROS EXTERIORES TIPO KORAZA</t>
  </si>
  <si>
    <t xml:space="preserve">S/I DE TUBERÍA SANITARIA DE 6 PULGADAS, PARA EVACUACIÓN DE AGUAS RESIDUALES </t>
  </si>
  <si>
    <t>MANTENIMIENTO Y ADECUACIÓN DE INSTITUCIONES EDUCATIVAS OFICIALES, DEL MUNICIPIO DE LA APARTADA CORDOBA.</t>
  </si>
  <si>
    <t xml:space="preserve">INSTITUCIÓN EDUCATIVA SITIO NUEVO SEDE LAS MARGARITAS </t>
  </si>
  <si>
    <t>S/I DE PUERTAS GALVANIZADAS CALIBRE 20, EN MARCO DE TUBOS DE 1.0 MTS X 2.40 MTS, PARA ACCESO UNIDAD SANITARIA.</t>
  </si>
  <si>
    <t>S/I DE PUERTAS GALVANIZADAS CALIBRE 20, EN MARCO DE TUBOS DE 1.0 MTS X 2.0 MTS, PARA ACCESO UNIDAD SANITARIA.</t>
  </si>
  <si>
    <t>OMAR ANTONIO ROMAN HERRERA</t>
  </si>
  <si>
    <t xml:space="preserve">INSTITUCIÓN EDUCATIVA LUIS FERNANDO GONZALES BOTERO </t>
  </si>
  <si>
    <t xml:space="preserve">UND: </t>
  </si>
  <si>
    <t xml:space="preserve">INSTITUCIÓN EDUCATIVA SITIO NUEVO SEDE MARIA AUXILIADORA  </t>
  </si>
  <si>
    <t>S/I DE CONEXIONES ELECTRICAS PARA EQUIPOS DE COMPUTO, INCLUYE TODOS LOS MATERIALES NECESARIOS PARA SU CORRECTA INSTALACIÓN Y FUNCIONAMIENTO.</t>
  </si>
  <si>
    <t xml:space="preserve">S/I DE CIELO RASO EN LAMINA PVC, EN SALA DE SISTEMAS. </t>
  </si>
  <si>
    <t>DESMONTE DE CIELO RASO EN LAMINA DE POLIESTIRENO EXPANDIDO, EN MAL ESTADO.</t>
  </si>
  <si>
    <t xml:space="preserve">CONSTRUCCION DE CABEZAL COLUMNA-LOSA EN CONCRETO DE 3500 PSI DE SECCION (0.50 MTS X 0.50 MTS X 0.30 MTS) </t>
  </si>
  <si>
    <t>CONSTRUCCION ZAPATA AISLADA DE (1.80 MTS X 1.80 MTS X 0.40 MTS) EN CONCRETO DE 3500 PSI, INCLUYE ACERO DE REFUERZO #4@0.15M EN AMBOS SENTIDOS, DESPLANTADA A 1,50 MTS.</t>
  </si>
  <si>
    <t>Secretario de Planeación, Obras Públicas y Medio Ambiente</t>
  </si>
  <si>
    <t>Municipio de La Apartada Córdoba (E)</t>
  </si>
  <si>
    <t>Mediante Resolución N° 286 de 08 de Septiembre de 2026</t>
  </si>
  <si>
    <t>DESMONTE DE PUERTA GALVANIZADA DE ACCCESO A UNIDAD SANITARIA, 1.0 MTS X 2.40 MTS, INLCUYE DESMONTE DE MARCO</t>
  </si>
  <si>
    <t>EXCAVACIÓN MANUAL DE ZAPATA AISLADA (1.80 X MTS X 1.80 MTS X 1.50 MTS )</t>
  </si>
  <si>
    <t>UND: UND</t>
  </si>
  <si>
    <t>Puerta el lamina Galvanizada Calibre 20, en marco  de tubos 2.40 mts x 1.0 mts.</t>
  </si>
  <si>
    <t>Valor-unit</t>
  </si>
  <si>
    <t>Precio unitario</t>
  </si>
  <si>
    <t xml:space="preserve">Camion turbo </t>
  </si>
  <si>
    <t>C2P</t>
  </si>
  <si>
    <t>Puerta el lamina Galvanizada Calibre 20, en marco  de tubos 1.80 mts x 0.70 mts.</t>
  </si>
  <si>
    <t>Bloque macizo de hormigon 0.10 x 0.20 x 0.40</t>
  </si>
  <si>
    <t>arena fina</t>
  </si>
  <si>
    <t xml:space="preserve">agua </t>
  </si>
  <si>
    <t>Desperdicio</t>
  </si>
  <si>
    <t>UND: M2</t>
  </si>
  <si>
    <t xml:space="preserve">SELLADO DE PUERTAS GALAVANIZADAS DE 0.70 MTS X 2.10 MTS, CON MANPOSTERIA EN BLOQUE 0.10 X 0.20 X 0.40. </t>
  </si>
  <si>
    <t xml:space="preserve">KIT INSTALACION </t>
  </si>
  <si>
    <t xml:space="preserve">MANGUERA FLEXIBLE </t>
  </si>
  <si>
    <t xml:space="preserve">SILICONA </t>
  </si>
  <si>
    <t xml:space="preserve">LLAVE DE PASO </t>
  </si>
  <si>
    <t xml:space="preserve">SANITARIO BLANCO INSTITUCIONAL </t>
  </si>
  <si>
    <t>PLOMERO</t>
  </si>
  <si>
    <t xml:space="preserve">TURBO CAMION </t>
  </si>
  <si>
    <t xml:space="preserve">griferia lavamanos </t>
  </si>
  <si>
    <t>mangueras flexibles</t>
  </si>
  <si>
    <t xml:space="preserve">llaves de paso </t>
  </si>
  <si>
    <t xml:space="preserve">cinta teflon </t>
  </si>
  <si>
    <t>Plomero</t>
  </si>
  <si>
    <t xml:space="preserve">Orinal Institucional Mediano Para Fluxómetro Blanco Corona Consumo 3.8 l/ciclo
</t>
  </si>
  <si>
    <t>Cinta Teflón</t>
  </si>
  <si>
    <t xml:space="preserve">Cemento Blanco </t>
  </si>
  <si>
    <t>Arena de Rio</t>
  </si>
  <si>
    <t xml:space="preserve">Agua </t>
  </si>
  <si>
    <t xml:space="preserve">Camion Turbo </t>
  </si>
  <si>
    <t xml:space="preserve">tecnico electricista </t>
  </si>
  <si>
    <t xml:space="preserve">UND: UND </t>
  </si>
  <si>
    <t xml:space="preserve">Rodillo para pintar </t>
  </si>
  <si>
    <t xml:space="preserve">Pintura Pintuco Koraza Maxima Proteccion </t>
  </si>
  <si>
    <t>Agua</t>
  </si>
  <si>
    <t xml:space="preserve">Desperdicio </t>
  </si>
  <si>
    <t>Andamios tijera 1.50,*30 mts</t>
  </si>
  <si>
    <t>Plataforma Met para andamios</t>
  </si>
  <si>
    <t xml:space="preserve">ANGULO 30 X 20 MM CAL 26 </t>
  </si>
  <si>
    <t>CHAZOS</t>
  </si>
  <si>
    <t>OMEGA CON REBORDE CAL 26 X 2.44</t>
  </si>
  <si>
    <t>ALAMBRE GALVANIZADO</t>
  </si>
  <si>
    <t>PERFIL TIPO J 2.90 m</t>
  </si>
  <si>
    <t xml:space="preserve">LAMINA PVC 2.90m X 0.30m E7mm  </t>
  </si>
  <si>
    <t>TORNILLO AUTO PERFORANTES</t>
  </si>
  <si>
    <t xml:space="preserve">camion turbo </t>
  </si>
  <si>
    <t>Tarifa/M2</t>
  </si>
  <si>
    <t>OMAR ANTONIO ROMÁN HERRERA</t>
  </si>
  <si>
    <t>Mediante Resolución N°. 286 de 08 de septiembre de 2026</t>
  </si>
  <si>
    <t>Aprobó:</t>
  </si>
  <si>
    <t>UND:</t>
  </si>
  <si>
    <t xml:space="preserve"> teja arquitectonica TJ Azul 1,01m x 6 m  Cal 31 0,25mm</t>
  </si>
  <si>
    <t xml:space="preserve">Tornillo autoperforante con arandela </t>
  </si>
  <si>
    <t xml:space="preserve">Cinta butilica impermeabilizante </t>
  </si>
  <si>
    <t xml:space="preserve">Espuma cierre de onda </t>
  </si>
  <si>
    <t>camion turbo</t>
  </si>
  <si>
    <t>c2p</t>
  </si>
  <si>
    <t>Tarifa m2/km</t>
  </si>
  <si>
    <t>Caballete Azul 0,40x0,107m Klar U pvc</t>
  </si>
  <si>
    <t>UND: ML</t>
  </si>
  <si>
    <t>Tarifa KM</t>
  </si>
  <si>
    <t>CAMION TURBO</t>
  </si>
  <si>
    <t>Puerta el lamina Galvanizada Calibre 20, en marco  de tubos 2.0 mts x 1.0 mts.</t>
  </si>
  <si>
    <t>VENTILADOR DE TECHO INDUSTRIAL DE 3 ASPAS</t>
  </si>
  <si>
    <t xml:space="preserve">ACCESORIOS DE INSTALACIÓN </t>
  </si>
  <si>
    <t>GLB</t>
  </si>
  <si>
    <t xml:space="preserve">CAMION TURBO </t>
  </si>
  <si>
    <t>TECNICO ELECTRICISTA</t>
  </si>
  <si>
    <t>AYUDANTE</t>
  </si>
  <si>
    <t xml:space="preserve">OFICIAL </t>
  </si>
  <si>
    <t xml:space="preserve">TUBO SANITARIO DE 6" LISO </t>
  </si>
  <si>
    <t>UND: M3</t>
  </si>
  <si>
    <t xml:space="preserve">vibrador de concreto motor 2hp </t>
  </si>
  <si>
    <t>Acero de refuerzo 1/2"</t>
  </si>
  <si>
    <t xml:space="preserve">china </t>
  </si>
  <si>
    <t>arena</t>
  </si>
  <si>
    <t xml:space="preserve">Alambre negro </t>
  </si>
  <si>
    <t>CONSTRUCCIÓN DE LOSA ESTRUCTURAL PARA SOPORTE DE TANQUE DE ALMACENAMIENTO DE 2000 L, (1.60 MTS X 1.60 MTS X 0.25 MTS) EN CONCRETO DE 3500 PSI, INCLUYE ACERO DE REFUEZO; PARRILLA SUPERIOR #4@0.15M EN AMBOS SENTIDOS Y PARILLA INFERIOR #3@0.20 M.</t>
  </si>
  <si>
    <t>Acero de refuerzo 3/8"</t>
  </si>
  <si>
    <t xml:space="preserve">Tablas para encofrado </t>
  </si>
  <si>
    <t>glb</t>
  </si>
  <si>
    <t>puntillas 2"</t>
  </si>
  <si>
    <t>CONSTRUCCION COLUMNA DE (0,30 MTS X 0.30 MTS X 5.50 MTS) EN CONCRETO DE 3500 PSI, INCLUYE ACERO DE REFUERZO:  8#5 LONGITUDINAL, E#3@0.10M.</t>
  </si>
  <si>
    <t>Acero de refuerzo 5/8"</t>
  </si>
  <si>
    <t>Tecnico Electricista</t>
  </si>
  <si>
    <t xml:space="preserve">Tablero De 12 Circuitos </t>
  </si>
  <si>
    <t>Toma Corriente Para Caja Levantón</t>
  </si>
  <si>
    <t>Toma Corriente mirada China</t>
  </si>
  <si>
    <t>Cajas MT Para Tomacorrientes</t>
  </si>
  <si>
    <t>Adaptadores 3/4"</t>
  </si>
  <si>
    <t>Curvas 3/4"</t>
  </si>
  <si>
    <t>Interruptor automático termomagnético de 12 A</t>
  </si>
  <si>
    <t>Tubería metálica tipo EMT de 3/4"</t>
  </si>
  <si>
    <t>Grapas EMT 3/4"</t>
  </si>
  <si>
    <t>Rollo Cable eléctrico de cobre THHN/THWN-2 calibre No. 12, color Rojo</t>
  </si>
  <si>
    <t>Rollo Cable eléctrico de cobre THHN/THWN-2 calibre No. 12, color Verde</t>
  </si>
  <si>
    <t>Rollo Cable eléctrico de cobre THHN/THWN-2 calibre No. 12, color Blanco</t>
  </si>
  <si>
    <t xml:space="preserve">Rollo Cable eléctrico de cobre THHN/THWN-2 calibre No. 14, color Amarillo </t>
  </si>
  <si>
    <t>Caja de Tornillos de Ensamble de 1 1/2"</t>
  </si>
  <si>
    <t xml:space="preserve">  INSTITUCIÓN ADUCATIVA LA BALSA SEDE PRINCIPAL</t>
  </si>
  <si>
    <t xml:space="preserve">INSTITUCIÓN EDUCATIVA INDAPAZ SEDE 24 DE NOVIEMBRE </t>
  </si>
  <si>
    <t xml:space="preserve">INSTITUCIÓN EDUCATIVA INADAPAZ SEDE PRINCIPAL </t>
  </si>
  <si>
    <t>DESMONTE DE CIELO RASO EN LAMINA DE DRYWALL, EN MAL ESTADO.</t>
  </si>
  <si>
    <t>INSTITUCIÓN EDUCATIVA SITIO NUEVO SEDE PRINCIPAL</t>
  </si>
  <si>
    <t>S/I DE CIELO RASO EN LAMINA PVC, COMEDOR</t>
  </si>
  <si>
    <t xml:space="preserve">PINTURA PARA MUROS EXTERIORES TIPO KORAZA, PARA MURO PERIMETRAL </t>
  </si>
  <si>
    <t>1.10</t>
  </si>
  <si>
    <t>1.11</t>
  </si>
  <si>
    <t>1.12</t>
  </si>
  <si>
    <t>1.13</t>
  </si>
  <si>
    <t>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</si>
</sst>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&quot;$&quot;\ #,##0.00"/>
    <numFmt numFmtId="168" formatCode="[$$-240A]\ #,##0.00"/>
    <numFmt numFmtId="169" formatCode="m\o\n\th\ d\,\ yyyy"/>
    <numFmt numFmtId="170" formatCode="_-[$€-2]* #,##0.00_-;\-[$€-2]* #,##0.00_-;_-[$€-2]* &quot;-&quot;??_-"/>
    <numFmt numFmtId="171" formatCode="_-* #,##0.00\ [$€]_-;\-* #,##0.00\ [$€]_-;_-* &quot;-&quot;??\ [$€]_-;_-@_-"/>
    <numFmt numFmtId="172" formatCode="#.00"/>
    <numFmt numFmtId="173" formatCode="#."/>
    <numFmt numFmtId="174" formatCode="_ * #,##0_ ;_ * \-#,##0_ ;_ * &quot;-&quot;_ ;_ @_ "/>
    <numFmt numFmtId="175" formatCode="_ &quot;$&quot;\ * #,##0.00_ ;_ &quot;$&quot;\ * \-#,##0.00_ ;_ &quot;$&quot;\ * &quot;-&quot;??_ ;_ @_ "/>
    <numFmt numFmtId="176" formatCode="_-* #,##0.00\ &quot;€&quot;_-;\-* #,##0.00\ &quot;€&quot;_-;_-* &quot;-&quot;??\ &quot;€&quot;_-;_-@_-"/>
    <numFmt numFmtId="177" formatCode="_(* #,##0.0_);_(* \(#,##0.0\);_(* &quot;-&quot;??_);_(@_)"/>
    <numFmt numFmtId="178" formatCode="0.000000000"/>
    <numFmt numFmtId="179" formatCode="%#.00"/>
    <numFmt numFmtId="180" formatCode="_ * #,##0.000_ ;_ * \-#,##0.000_ ;_ * &quot;-&quot;??_ ;_ @_ "/>
    <numFmt numFmtId="181" formatCode="_ * #,##0.0000_ ;_ * \-#,##0.0000_ ;_ * &quot;-&quot;??_ ;_ @_ "/>
    <numFmt numFmtId="182" formatCode="_ &quot;$&quot;\ * #,##0_ ;_ &quot;$&quot;\ * \-#,##0_ ;_ &quot;$&quot;\ * &quot;-&quot;_ ;_ @_ "/>
    <numFmt numFmtId="183" formatCode="0.0"/>
    <numFmt numFmtId="184" formatCode="0.000000"/>
    <numFmt numFmtId="185" formatCode="_-* #,##0.00_-;\-* #,##0.00_-;_-* &quot;-&quot;_-;_-@_-"/>
    <numFmt numFmtId="186" formatCode="&quot;$&quot;\ #,##0"/>
    <numFmt numFmtId="187" formatCode="_(&quot;$&quot;\ * #,##0_);_(&quot;$&quot;\ * \(#,##0\);_(&quot;$&quot;\ * &quot;-&quot;??_);_(@_)"/>
    <numFmt numFmtId="188" formatCode="_(&quot;$&quot;\ * #,##0.000_);_(&quot;$&quot;\ * \(#,##0.000\);_(&quot;$&quot;\ * &quot;-&quot;??_);_(@_)"/>
    <numFmt numFmtId="189" formatCode="_-[$$-240A]\ * #,##0.00_-;\-[$$-240A]\ * #,##0.00_-;_-[$$-240A]\ * &quot;-&quot;??_-;_-@"/>
    <numFmt numFmtId="190" formatCode="0.000"/>
    <numFmt numFmtId="191" formatCode="_-* #,##0.00_-;\-* #,##0.00_-;_-* &quot;-&quot;??_-;_-@"/>
    <numFmt numFmtId="192" formatCode="_(* #,##0.000_);_(* \(#,##0.000\);_(* &quot;-&quot;??_);_(@_)"/>
    <numFmt numFmtId="193" formatCode="_-&quot;$&quot;* #,##0_-;\-&quot;$&quot;* #,##0_-;_-&quot;$&quot;* &quot;-&quot;_-;_-@_-"/>
  </numFmts>
  <fonts count="8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Courier"/>
      <family val="3"/>
    </font>
    <font>
      <sz val="10"/>
      <color indexed="8"/>
      <name val="MS Sans Serif"/>
      <family val="2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i/>
      <sz val="10"/>
      <name val="Arial"/>
      <family val="2"/>
    </font>
    <font>
      <sz val="11"/>
      <color indexed="8"/>
      <name val="Arial"/>
      <family val="2"/>
    </font>
    <font>
      <b/>
      <i/>
      <sz val="10"/>
      <color theme="1"/>
      <name val="Arial"/>
      <family val="2"/>
    </font>
    <font>
      <i/>
      <sz val="8"/>
      <color theme="1"/>
      <name val="Arial"/>
      <family val="2"/>
    </font>
    <font>
      <b/>
      <i/>
      <sz val="8"/>
      <color theme="1"/>
      <name val="Arial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i/>
      <sz val="11"/>
      <name val="Calibri"/>
      <family val="2"/>
    </font>
    <font>
      <i/>
      <sz val="8"/>
      <name val="Arial"/>
      <family val="2"/>
    </font>
    <font>
      <i/>
      <sz val="10"/>
      <name val="Arial"/>
      <family val="2"/>
    </font>
    <font>
      <b/>
      <i/>
      <sz val="14"/>
      <color indexed="8"/>
      <name val="Arial"/>
      <family val="2"/>
    </font>
    <font>
      <b/>
      <sz val="10"/>
      <name val="Tahoma"/>
      <family val="2"/>
    </font>
    <font>
      <b/>
      <sz val="12"/>
      <name val="Tahoma"/>
      <family val="2"/>
    </font>
    <font>
      <sz val="11"/>
      <name val="Book Antiqua"/>
      <family val="1"/>
    </font>
    <font>
      <sz val="11"/>
      <name val="Arial"/>
      <family val="2"/>
    </font>
    <font>
      <b/>
      <sz val="8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Tahoma"/>
      <family val="2"/>
    </font>
    <font>
      <vertAlign val="superscript"/>
      <sz val="11"/>
      <name val="Century Gothic"/>
      <family val="2"/>
    </font>
    <font>
      <i/>
      <vertAlign val="superscript"/>
      <sz val="9"/>
      <name val="Arial"/>
      <family val="2"/>
    </font>
    <font>
      <i/>
      <vertAlign val="superscript"/>
      <sz val="8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2"/>
      <name val="Courier"/>
      <family val="3"/>
    </font>
    <font>
      <sz val="10"/>
      <color theme="0"/>
      <name val="Courier"/>
      <family val="3"/>
    </font>
    <font>
      <sz val="10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1"/>
      <name val="Arial"/>
      <family val="2"/>
    </font>
    <font>
      <b/>
      <sz val="14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indexed="8"/>
      <name val="Arial Narrow"/>
      <family val="2"/>
    </font>
    <font>
      <sz val="10"/>
      <color indexed="8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0625">
        <fgColor indexed="22"/>
        <bgColor theme="4" tint="0.5999938962981048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F2F2F2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tted">
        <color auto="1"/>
      </bottom>
      <diagonal/>
    </border>
    <border>
      <left/>
      <right style="dotted">
        <color auto="1"/>
      </right>
      <top style="double">
        <color auto="1"/>
      </top>
      <bottom style="dotted">
        <color auto="1"/>
      </bottom>
      <diagonal/>
    </border>
    <border>
      <left style="double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dotted">
        <color auto="1"/>
      </top>
      <bottom style="double">
        <color auto="1"/>
      </bottom>
      <diagonal/>
    </border>
    <border>
      <left/>
      <right style="dotted">
        <color auto="1"/>
      </right>
      <top style="dotted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uble">
        <color auto="1"/>
      </right>
      <top/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01">
    <xf numFmtId="0" fontId="0" fillId="0" borderId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4" fillId="0" borderId="0"/>
    <xf numFmtId="165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7" fillId="0" borderId="1" applyNumberFormat="0" applyBorder="0" applyAlignment="0"/>
    <xf numFmtId="0" fontId="8" fillId="6" borderId="0" applyNumberFormat="0" applyBorder="0" applyAlignment="0" applyProtection="0"/>
    <xf numFmtId="0" fontId="9" fillId="18" borderId="2" applyNumberFormat="0" applyAlignment="0" applyProtection="0"/>
    <xf numFmtId="0" fontId="10" fillId="19" borderId="3" applyNumberFormat="0" applyAlignment="0" applyProtection="0"/>
    <xf numFmtId="0" fontId="11" fillId="0" borderId="4" applyNumberFormat="0" applyFill="0" applyAlignment="0" applyProtection="0"/>
    <xf numFmtId="4" fontId="12" fillId="0" borderId="0">
      <protection locked="0"/>
    </xf>
    <xf numFmtId="169" fontId="12" fillId="0" borderId="0">
      <protection locked="0"/>
    </xf>
    <xf numFmtId="0" fontId="13" fillId="0" borderId="0" applyNumberFormat="0" applyFill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3" borderId="0" applyNumberFormat="0" applyBorder="0" applyAlignment="0" applyProtection="0"/>
    <xf numFmtId="0" fontId="14" fillId="9" borderId="2" applyNumberFormat="0" applyAlignment="0" applyProtection="0"/>
    <xf numFmtId="170" fontId="3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16" fillId="0" borderId="0"/>
    <xf numFmtId="172" fontId="12" fillId="0" borderId="0">
      <protection locked="0"/>
    </xf>
    <xf numFmtId="173" fontId="17" fillId="0" borderId="0">
      <protection locked="0"/>
    </xf>
    <xf numFmtId="173" fontId="17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5" borderId="0" applyNumberFormat="0" applyBorder="0" applyAlignment="0" applyProtection="0"/>
    <xf numFmtId="41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0" fillId="24" borderId="0" applyNumberFormat="0" applyBorder="0" applyAlignment="0" applyProtection="0"/>
    <xf numFmtId="0" fontId="15" fillId="0" borderId="0"/>
    <xf numFmtId="0" fontId="3" fillId="0" borderId="0"/>
    <xf numFmtId="0" fontId="1" fillId="0" borderId="0"/>
    <xf numFmtId="0" fontId="21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5" borderId="5" applyNumberFormat="0" applyFont="0" applyAlignment="0" applyProtection="0"/>
    <xf numFmtId="179" fontId="12" fillId="0" borderId="0">
      <protection locked="0"/>
    </xf>
    <xf numFmtId="9" fontId="3" fillId="0" borderId="0" applyFont="0" applyFill="0" applyBorder="0" applyAlignment="0" applyProtection="0"/>
    <xf numFmtId="0" fontId="22" fillId="18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3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8" fillId="6" borderId="0" applyNumberFormat="0" applyBorder="0" applyAlignment="0" applyProtection="0"/>
    <xf numFmtId="0" fontId="9" fillId="18" borderId="2" applyNumberFormat="0" applyAlignment="0" applyProtection="0"/>
    <xf numFmtId="0" fontId="10" fillId="19" borderId="3" applyNumberFormat="0" applyAlignment="0" applyProtection="0"/>
    <xf numFmtId="0" fontId="11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3" borderId="0" applyNumberFormat="0" applyBorder="0" applyAlignment="0" applyProtection="0"/>
    <xf numFmtId="0" fontId="14" fillId="9" borderId="2" applyNumberFormat="0" applyAlignment="0" applyProtection="0"/>
    <xf numFmtId="0" fontId="19" fillId="5" borderId="0" applyNumberFormat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20" fillId="24" borderId="0" applyNumberFormat="0" applyBorder="0" applyAlignment="0" applyProtection="0"/>
    <xf numFmtId="0" fontId="3" fillId="25" borderId="5" applyNumberFormat="0" applyFont="0" applyAlignment="0" applyProtection="0"/>
    <xf numFmtId="0" fontId="22" fillId="18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3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3" fillId="0" borderId="0"/>
    <xf numFmtId="0" fontId="3" fillId="0" borderId="0"/>
    <xf numFmtId="0" fontId="1" fillId="0" borderId="0"/>
    <xf numFmtId="16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53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39" fontId="58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93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20">
    <xf numFmtId="0" fontId="0" fillId="0" borderId="0" xfId="0"/>
    <xf numFmtId="0" fontId="30" fillId="0" borderId="0" xfId="0" applyFont="1"/>
    <xf numFmtId="49" fontId="0" fillId="27" borderId="0" xfId="0" applyNumberFormat="1" applyFill="1" applyAlignment="1">
      <alignment vertical="center"/>
    </xf>
    <xf numFmtId="0" fontId="0" fillId="27" borderId="0" xfId="0" applyFill="1" applyAlignment="1">
      <alignment vertical="center" wrapText="1"/>
    </xf>
    <xf numFmtId="0" fontId="0" fillId="27" borderId="0" xfId="0" applyFill="1" applyAlignment="1">
      <alignment vertical="center"/>
    </xf>
    <xf numFmtId="49" fontId="31" fillId="27" borderId="0" xfId="0" applyNumberFormat="1" applyFont="1" applyFill="1" applyAlignment="1">
      <alignment vertical="center"/>
    </xf>
    <xf numFmtId="49" fontId="32" fillId="2" borderId="14" xfId="0" applyNumberFormat="1" applyFont="1" applyFill="1" applyBorder="1" applyAlignment="1">
      <alignment horizontal="center" vertical="center"/>
    </xf>
    <xf numFmtId="0" fontId="32" fillId="2" borderId="14" xfId="0" applyFont="1" applyFill="1" applyBorder="1" applyAlignment="1">
      <alignment horizontal="center" vertical="center"/>
    </xf>
    <xf numFmtId="0" fontId="32" fillId="0" borderId="16" xfId="0" applyFont="1" applyBorder="1" applyAlignment="1">
      <alignment vertical="center" wrapText="1"/>
    </xf>
    <xf numFmtId="167" fontId="32" fillId="0" borderId="16" xfId="0" applyNumberFormat="1" applyFont="1" applyBorder="1" applyAlignment="1">
      <alignment vertical="center"/>
    </xf>
    <xf numFmtId="167" fontId="32" fillId="0" borderId="17" xfId="0" applyNumberFormat="1" applyFont="1" applyBorder="1" applyAlignment="1">
      <alignment vertical="center"/>
    </xf>
    <xf numFmtId="0" fontId="32" fillId="0" borderId="19" xfId="0" applyFont="1" applyBorder="1" applyAlignment="1">
      <alignment vertical="center" wrapText="1"/>
    </xf>
    <xf numFmtId="0" fontId="32" fillId="0" borderId="19" xfId="0" applyFont="1" applyBorder="1" applyAlignment="1">
      <alignment vertical="center"/>
    </xf>
    <xf numFmtId="167" fontId="32" fillId="0" borderId="19" xfId="0" applyNumberFormat="1" applyFont="1" applyBorder="1" applyAlignment="1">
      <alignment vertical="center"/>
    </xf>
    <xf numFmtId="167" fontId="32" fillId="0" borderId="20" xfId="0" applyNumberFormat="1" applyFont="1" applyBorder="1" applyAlignment="1">
      <alignment vertical="center"/>
    </xf>
    <xf numFmtId="0" fontId="32" fillId="0" borderId="22" xfId="0" applyFont="1" applyBorder="1" applyAlignment="1">
      <alignment vertical="center" wrapText="1"/>
    </xf>
    <xf numFmtId="167" fontId="32" fillId="0" borderId="22" xfId="0" applyNumberFormat="1" applyFont="1" applyBorder="1" applyAlignment="1">
      <alignment vertical="center"/>
    </xf>
    <xf numFmtId="167" fontId="32" fillId="0" borderId="23" xfId="0" applyNumberFormat="1" applyFont="1" applyBorder="1" applyAlignment="1">
      <alignment vertical="center"/>
    </xf>
    <xf numFmtId="49" fontId="2" fillId="27" borderId="0" xfId="0" applyNumberFormat="1" applyFont="1" applyFill="1" applyAlignment="1">
      <alignment vertical="center"/>
    </xf>
    <xf numFmtId="0" fontId="2" fillId="27" borderId="0" xfId="0" applyFont="1" applyFill="1" applyAlignment="1">
      <alignment vertical="center"/>
    </xf>
    <xf numFmtId="0" fontId="33" fillId="27" borderId="0" xfId="0" applyFont="1" applyFill="1" applyAlignment="1">
      <alignment horizontal="center" vertical="center"/>
    </xf>
    <xf numFmtId="49" fontId="32" fillId="27" borderId="0" xfId="0" applyNumberFormat="1" applyFont="1" applyFill="1" applyAlignment="1">
      <alignment vertical="center"/>
    </xf>
    <xf numFmtId="0" fontId="32" fillId="27" borderId="0" xfId="0" applyFont="1" applyFill="1" applyAlignment="1">
      <alignment vertical="center" wrapText="1"/>
    </xf>
    <xf numFmtId="0" fontId="32" fillId="27" borderId="0" xfId="0" applyFont="1" applyFill="1" applyAlignment="1">
      <alignment vertical="center"/>
    </xf>
    <xf numFmtId="0" fontId="35" fillId="3" borderId="0" xfId="3" applyFont="1" applyFill="1" applyAlignment="1">
      <alignment horizontal="center" vertical="center"/>
    </xf>
    <xf numFmtId="0" fontId="29" fillId="26" borderId="14" xfId="3" applyFont="1" applyFill="1" applyBorder="1" applyAlignment="1">
      <alignment horizontal="center" vertical="center"/>
    </xf>
    <xf numFmtId="0" fontId="7" fillId="3" borderId="0" xfId="3" applyFont="1" applyFill="1"/>
    <xf numFmtId="0" fontId="36" fillId="3" borderId="0" xfId="3" applyFont="1" applyFill="1" applyAlignment="1">
      <alignment vertical="center" wrapText="1"/>
    </xf>
    <xf numFmtId="0" fontId="37" fillId="3" borderId="0" xfId="3" applyFont="1" applyFill="1"/>
    <xf numFmtId="0" fontId="36" fillId="3" borderId="0" xfId="3" applyFont="1" applyFill="1" applyAlignment="1">
      <alignment horizontal="right"/>
    </xf>
    <xf numFmtId="0" fontId="38" fillId="3" borderId="0" xfId="3" applyFont="1" applyFill="1"/>
    <xf numFmtId="0" fontId="38" fillId="3" borderId="0" xfId="3" applyFont="1" applyFill="1" applyAlignment="1">
      <alignment horizontal="left"/>
    </xf>
    <xf numFmtId="0" fontId="29" fillId="26" borderId="14" xfId="3" applyFont="1" applyFill="1" applyBorder="1" applyAlignment="1">
      <alignment horizontal="right" vertical="center"/>
    </xf>
    <xf numFmtId="0" fontId="29" fillId="3" borderId="0" xfId="3" applyFont="1" applyFill="1"/>
    <xf numFmtId="0" fontId="39" fillId="3" borderId="0" xfId="3" applyFont="1" applyFill="1" applyAlignment="1">
      <alignment horizontal="right" vertical="center"/>
    </xf>
    <xf numFmtId="0" fontId="38" fillId="2" borderId="14" xfId="3" applyFont="1" applyFill="1" applyBorder="1" applyAlignment="1">
      <alignment horizontal="center"/>
    </xf>
    <xf numFmtId="0" fontId="38" fillId="2" borderId="11" xfId="3" applyFont="1" applyFill="1" applyBorder="1" applyAlignment="1">
      <alignment horizontal="center"/>
    </xf>
    <xf numFmtId="0" fontId="38" fillId="3" borderId="16" xfId="3" applyFont="1" applyFill="1" applyBorder="1" applyAlignment="1">
      <alignment horizontal="center"/>
    </xf>
    <xf numFmtId="166" fontId="38" fillId="27" borderId="19" xfId="54" applyFont="1" applyFill="1" applyBorder="1"/>
    <xf numFmtId="180" fontId="38" fillId="3" borderId="16" xfId="54" applyNumberFormat="1" applyFont="1" applyFill="1" applyBorder="1" applyAlignment="1">
      <alignment horizontal="center"/>
    </xf>
    <xf numFmtId="166" fontId="38" fillId="3" borderId="17" xfId="54" applyFont="1" applyFill="1" applyBorder="1" applyAlignment="1">
      <alignment horizontal="center"/>
    </xf>
    <xf numFmtId="0" fontId="38" fillId="3" borderId="19" xfId="3" applyFont="1" applyFill="1" applyBorder="1" applyAlignment="1">
      <alignment horizontal="center"/>
    </xf>
    <xf numFmtId="180" fontId="38" fillId="3" borderId="19" xfId="54" applyNumberFormat="1" applyFont="1" applyFill="1" applyBorder="1" applyAlignment="1">
      <alignment horizontal="center"/>
    </xf>
    <xf numFmtId="166" fontId="38" fillId="3" borderId="20" xfId="54" applyFont="1" applyFill="1" applyBorder="1" applyAlignment="1">
      <alignment horizontal="center"/>
    </xf>
    <xf numFmtId="166" fontId="38" fillId="3" borderId="19" xfId="54" applyFont="1" applyFill="1" applyBorder="1"/>
    <xf numFmtId="166" fontId="38" fillId="3" borderId="19" xfId="54" applyFont="1" applyFill="1" applyBorder="1" applyAlignment="1">
      <alignment horizontal="center"/>
    </xf>
    <xf numFmtId="0" fontId="38" fillId="3" borderId="22" xfId="3" applyFont="1" applyFill="1" applyBorder="1" applyAlignment="1">
      <alignment horizontal="center"/>
    </xf>
    <xf numFmtId="166" fontId="38" fillId="3" borderId="22" xfId="54" applyFont="1" applyFill="1" applyBorder="1"/>
    <xf numFmtId="166" fontId="38" fillId="3" borderId="22" xfId="3" applyNumberFormat="1" applyFont="1" applyFill="1" applyBorder="1"/>
    <xf numFmtId="166" fontId="38" fillId="3" borderId="23" xfId="54" applyFont="1" applyFill="1" applyBorder="1"/>
    <xf numFmtId="166" fontId="38" fillId="3" borderId="0" xfId="3" applyNumberFormat="1" applyFont="1" applyFill="1"/>
    <xf numFmtId="166" fontId="36" fillId="3" borderId="0" xfId="3" applyNumberFormat="1" applyFont="1" applyFill="1" applyAlignment="1">
      <alignment horizontal="center"/>
    </xf>
    <xf numFmtId="166" fontId="38" fillId="2" borderId="14" xfId="3" applyNumberFormat="1" applyFont="1" applyFill="1" applyBorder="1"/>
    <xf numFmtId="166" fontId="38" fillId="2" borderId="14" xfId="3" applyNumberFormat="1" applyFont="1" applyFill="1" applyBorder="1" applyAlignment="1">
      <alignment horizontal="center"/>
    </xf>
    <xf numFmtId="166" fontId="38" fillId="2" borderId="11" xfId="3" applyNumberFormat="1" applyFont="1" applyFill="1" applyBorder="1" applyAlignment="1">
      <alignment horizontal="center"/>
    </xf>
    <xf numFmtId="181" fontId="38" fillId="3" borderId="19" xfId="3" applyNumberFormat="1" applyFont="1" applyFill="1" applyBorder="1" applyAlignment="1">
      <alignment horizontal="center"/>
    </xf>
    <xf numFmtId="166" fontId="38" fillId="3" borderId="19" xfId="3" applyNumberFormat="1" applyFont="1" applyFill="1" applyBorder="1" applyAlignment="1">
      <alignment horizontal="center"/>
    </xf>
    <xf numFmtId="180" fontId="38" fillId="3" borderId="19" xfId="3" applyNumberFormat="1" applyFont="1" applyFill="1" applyBorder="1" applyAlignment="1">
      <alignment horizontal="center"/>
    </xf>
    <xf numFmtId="166" fontId="38" fillId="3" borderId="22" xfId="54" applyFont="1" applyFill="1" applyBorder="1" applyAlignment="1">
      <alignment horizontal="center"/>
    </xf>
    <xf numFmtId="166" fontId="38" fillId="3" borderId="22" xfId="3" applyNumberFormat="1" applyFont="1" applyFill="1" applyBorder="1" applyAlignment="1">
      <alignment horizontal="center"/>
    </xf>
    <xf numFmtId="166" fontId="38" fillId="3" borderId="23" xfId="54" applyFont="1" applyFill="1" applyBorder="1" applyAlignment="1">
      <alignment horizontal="center"/>
    </xf>
    <xf numFmtId="166" fontId="38" fillId="3" borderId="16" xfId="54" applyFont="1" applyFill="1" applyBorder="1"/>
    <xf numFmtId="10" fontId="38" fillId="3" borderId="16" xfId="54" applyNumberFormat="1" applyFont="1" applyFill="1" applyBorder="1"/>
    <xf numFmtId="0" fontId="38" fillId="2" borderId="14" xfId="3" quotePrefix="1" applyFont="1" applyFill="1" applyBorder="1" applyAlignment="1">
      <alignment horizontal="center"/>
    </xf>
    <xf numFmtId="0" fontId="38" fillId="3" borderId="15" xfId="3" applyFont="1" applyFill="1" applyBorder="1"/>
    <xf numFmtId="0" fontId="38" fillId="3" borderId="16" xfId="3" applyFont="1" applyFill="1" applyBorder="1"/>
    <xf numFmtId="166" fontId="38" fillId="3" borderId="16" xfId="3" applyNumberFormat="1" applyFont="1" applyFill="1" applyBorder="1"/>
    <xf numFmtId="0" fontId="38" fillId="3" borderId="18" xfId="3" applyFont="1" applyFill="1" applyBorder="1"/>
    <xf numFmtId="0" fontId="38" fillId="3" borderId="19" xfId="3" applyFont="1" applyFill="1" applyBorder="1"/>
    <xf numFmtId="10" fontId="38" fillId="3" borderId="19" xfId="54" applyNumberFormat="1" applyFont="1" applyFill="1" applyBorder="1"/>
    <xf numFmtId="166" fontId="38" fillId="3" borderId="19" xfId="3" applyNumberFormat="1" applyFont="1" applyFill="1" applyBorder="1"/>
    <xf numFmtId="9" fontId="38" fillId="3" borderId="19" xfId="3" applyNumberFormat="1" applyFont="1" applyFill="1" applyBorder="1"/>
    <xf numFmtId="0" fontId="38" fillId="3" borderId="21" xfId="3" applyFont="1" applyFill="1" applyBorder="1"/>
    <xf numFmtId="0" fontId="38" fillId="3" borderId="22" xfId="3" applyFont="1" applyFill="1" applyBorder="1"/>
    <xf numFmtId="166" fontId="38" fillId="3" borderId="23" xfId="3" applyNumberFormat="1" applyFont="1" applyFill="1" applyBorder="1"/>
    <xf numFmtId="166" fontId="38" fillId="3" borderId="0" xfId="3" applyNumberFormat="1" applyFont="1" applyFill="1" applyAlignment="1">
      <alignment horizontal="center"/>
    </xf>
    <xf numFmtId="166" fontId="36" fillId="2" borderId="14" xfId="3" applyNumberFormat="1" applyFont="1" applyFill="1" applyBorder="1"/>
    <xf numFmtId="0" fontId="40" fillId="28" borderId="0" xfId="68" applyFont="1" applyFill="1" applyAlignment="1">
      <alignment horizontal="center" vertical="center"/>
    </xf>
    <xf numFmtId="0" fontId="41" fillId="26" borderId="14" xfId="68" applyFont="1" applyFill="1" applyBorder="1" applyAlignment="1">
      <alignment horizontal="center" vertical="center" wrapText="1"/>
    </xf>
    <xf numFmtId="0" fontId="42" fillId="3" borderId="0" xfId="68" applyFont="1" applyFill="1" applyAlignment="1">
      <alignment horizontal="center" vertical="top" wrapText="1"/>
    </xf>
    <xf numFmtId="0" fontId="3" fillId="3" borderId="0" xfId="68" applyFill="1"/>
    <xf numFmtId="165" fontId="0" fillId="0" borderId="0" xfId="0" applyNumberFormat="1"/>
    <xf numFmtId="167" fontId="33" fillId="2" borderId="38" xfId="0" applyNumberFormat="1" applyFont="1" applyFill="1" applyBorder="1" applyAlignment="1">
      <alignment vertical="center"/>
    </xf>
    <xf numFmtId="0" fontId="44" fillId="0" borderId="0" xfId="0" applyFont="1"/>
    <xf numFmtId="49" fontId="32" fillId="2" borderId="38" xfId="0" applyNumberFormat="1" applyFont="1" applyFill="1" applyBorder="1" applyAlignment="1">
      <alignment horizontal="center" vertical="center"/>
    </xf>
    <xf numFmtId="0" fontId="32" fillId="2" borderId="38" xfId="0" applyFont="1" applyFill="1" applyBorder="1" applyAlignment="1">
      <alignment horizontal="center" vertical="center"/>
    </xf>
    <xf numFmtId="0" fontId="31" fillId="27" borderId="39" xfId="0" applyFont="1" applyFill="1" applyBorder="1" applyAlignment="1">
      <alignment vertical="center"/>
    </xf>
    <xf numFmtId="4" fontId="32" fillId="0" borderId="22" xfId="0" applyNumberFormat="1" applyFont="1" applyBorder="1" applyAlignment="1">
      <alignment vertical="center"/>
    </xf>
    <xf numFmtId="4" fontId="32" fillId="0" borderId="16" xfId="0" applyNumberFormat="1" applyFont="1" applyBorder="1" applyAlignment="1">
      <alignment vertical="center"/>
    </xf>
    <xf numFmtId="4" fontId="32" fillId="0" borderId="19" xfId="0" applyNumberFormat="1" applyFont="1" applyBorder="1" applyAlignment="1">
      <alignment vertical="center"/>
    </xf>
    <xf numFmtId="49" fontId="32" fillId="2" borderId="40" xfId="0" applyNumberFormat="1" applyFont="1" applyFill="1" applyBorder="1" applyAlignment="1">
      <alignment horizontal="center" vertical="center"/>
    </xf>
    <xf numFmtId="0" fontId="32" fillId="2" borderId="40" xfId="0" applyFont="1" applyFill="1" applyBorder="1" applyAlignment="1">
      <alignment horizontal="center" vertical="center"/>
    </xf>
    <xf numFmtId="49" fontId="32" fillId="0" borderId="41" xfId="0" applyNumberFormat="1" applyFont="1" applyBorder="1" applyAlignment="1">
      <alignment vertical="center"/>
    </xf>
    <xf numFmtId="167" fontId="32" fillId="0" borderId="43" xfId="0" applyNumberFormat="1" applyFont="1" applyBorder="1" applyAlignment="1">
      <alignment vertical="center"/>
    </xf>
    <xf numFmtId="2" fontId="32" fillId="0" borderId="42" xfId="0" applyNumberFormat="1" applyFont="1" applyBorder="1" applyAlignment="1">
      <alignment vertical="center"/>
    </xf>
    <xf numFmtId="1" fontId="32" fillId="0" borderId="19" xfId="0" applyNumberFormat="1" applyFont="1" applyBorder="1" applyAlignment="1">
      <alignment vertical="center"/>
    </xf>
    <xf numFmtId="49" fontId="32" fillId="0" borderId="0" xfId="0" applyNumberFormat="1" applyFont="1" applyAlignment="1">
      <alignment vertical="center"/>
    </xf>
    <xf numFmtId="0" fontId="32" fillId="0" borderId="0" xfId="0" applyFont="1" applyAlignment="1">
      <alignment vertical="center" wrapText="1"/>
    </xf>
    <xf numFmtId="4" fontId="32" fillId="0" borderId="0" xfId="0" applyNumberFormat="1" applyFont="1" applyAlignment="1">
      <alignment vertical="center"/>
    </xf>
    <xf numFmtId="167" fontId="32" fillId="0" borderId="0" xfId="0" applyNumberFormat="1" applyFont="1" applyAlignment="1">
      <alignment vertical="center"/>
    </xf>
    <xf numFmtId="0" fontId="46" fillId="0" borderId="0" xfId="0" applyFont="1"/>
    <xf numFmtId="167" fontId="32" fillId="29" borderId="19" xfId="0" applyNumberFormat="1" applyFont="1" applyFill="1" applyBorder="1" applyAlignment="1">
      <alignment vertical="center"/>
    </xf>
    <xf numFmtId="167" fontId="32" fillId="29" borderId="22" xfId="0" applyNumberFormat="1" applyFont="1" applyFill="1" applyBorder="1" applyAlignment="1">
      <alignment vertical="center"/>
    </xf>
    <xf numFmtId="167" fontId="32" fillId="29" borderId="42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7" borderId="0" xfId="0" applyFill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2" fillId="27" borderId="0" xfId="0" applyFont="1" applyFill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27" borderId="0" xfId="0" applyFont="1" applyFill="1" applyAlignment="1">
      <alignment horizontal="center" vertical="center"/>
    </xf>
    <xf numFmtId="0" fontId="47" fillId="0" borderId="0" xfId="164"/>
    <xf numFmtId="0" fontId="48" fillId="0" borderId="0" xfId="0" applyFont="1" applyAlignment="1">
      <alignment horizontal="justify" vertical="top" wrapText="1"/>
    </xf>
    <xf numFmtId="0" fontId="48" fillId="0" borderId="0" xfId="3" applyFont="1" applyAlignment="1">
      <alignment horizontal="center" vertical="center"/>
    </xf>
    <xf numFmtId="0" fontId="32" fillId="2" borderId="0" xfId="0" applyFont="1" applyFill="1" applyAlignment="1">
      <alignment horizontal="center" vertical="center"/>
    </xf>
    <xf numFmtId="0" fontId="32" fillId="2" borderId="31" xfId="0" applyFont="1" applyFill="1" applyBorder="1" applyAlignment="1">
      <alignment horizontal="center" vertical="center"/>
    </xf>
    <xf numFmtId="2" fontId="32" fillId="0" borderId="0" xfId="0" applyNumberFormat="1" applyFont="1" applyAlignment="1">
      <alignment vertical="center"/>
    </xf>
    <xf numFmtId="1" fontId="32" fillId="0" borderId="0" xfId="0" applyNumberFormat="1" applyFont="1" applyAlignment="1">
      <alignment vertical="center"/>
    </xf>
    <xf numFmtId="0" fontId="32" fillId="0" borderId="42" xfId="0" applyFont="1" applyBorder="1" applyAlignment="1">
      <alignment vertical="center" wrapText="1"/>
    </xf>
    <xf numFmtId="167" fontId="32" fillId="0" borderId="42" xfId="0" applyNumberFormat="1" applyFont="1" applyBorder="1" applyAlignment="1">
      <alignment vertical="center"/>
    </xf>
    <xf numFmtId="4" fontId="0" fillId="0" borderId="0" xfId="0" applyNumberFormat="1"/>
    <xf numFmtId="167" fontId="45" fillId="0" borderId="39" xfId="2" applyNumberFormat="1" applyFont="1" applyFill="1" applyBorder="1" applyAlignment="1" applyProtection="1">
      <alignment vertical="center" wrapText="1"/>
      <protection hidden="1"/>
    </xf>
    <xf numFmtId="1" fontId="31" fillId="27" borderId="0" xfId="0" applyNumberFormat="1" applyFont="1" applyFill="1" applyAlignment="1">
      <alignment vertical="center"/>
    </xf>
    <xf numFmtId="183" fontId="32" fillId="0" borderId="21" xfId="0" applyNumberFormat="1" applyFont="1" applyBorder="1" applyAlignment="1">
      <alignment vertical="center"/>
    </xf>
    <xf numFmtId="183" fontId="32" fillId="0" borderId="18" xfId="0" applyNumberFormat="1" applyFont="1" applyBorder="1" applyAlignment="1">
      <alignment vertical="center"/>
    </xf>
    <xf numFmtId="1" fontId="31" fillId="27" borderId="39" xfId="0" applyNumberFormat="1" applyFont="1" applyFill="1" applyBorder="1" applyAlignment="1">
      <alignment vertical="center"/>
    </xf>
    <xf numFmtId="183" fontId="31" fillId="27" borderId="0" xfId="0" applyNumberFormat="1" applyFont="1" applyFill="1" applyAlignment="1">
      <alignment vertical="center"/>
    </xf>
    <xf numFmtId="183" fontId="32" fillId="2" borderId="0" xfId="0" applyNumberFormat="1" applyFont="1" applyFill="1" applyAlignment="1">
      <alignment horizontal="center" vertical="center"/>
    </xf>
    <xf numFmtId="2" fontId="32" fillId="2" borderId="0" xfId="0" applyNumberFormat="1" applyFont="1" applyFill="1" applyAlignment="1">
      <alignment horizontal="center" vertical="center"/>
    </xf>
    <xf numFmtId="183" fontId="32" fillId="0" borderId="19" xfId="0" applyNumberFormat="1" applyFont="1" applyBorder="1" applyAlignment="1">
      <alignment vertical="center"/>
    </xf>
    <xf numFmtId="2" fontId="32" fillId="0" borderId="19" xfId="0" applyNumberFormat="1" applyFont="1" applyBorder="1" applyAlignment="1">
      <alignment vertical="center"/>
    </xf>
    <xf numFmtId="167" fontId="44" fillId="0" borderId="0" xfId="0" applyNumberFormat="1" applyFont="1"/>
    <xf numFmtId="1" fontId="0" fillId="0" borderId="0" xfId="0" applyNumberFormat="1"/>
    <xf numFmtId="2" fontId="0" fillId="0" borderId="0" xfId="0" applyNumberFormat="1"/>
    <xf numFmtId="184" fontId="0" fillId="0" borderId="0" xfId="0" applyNumberFormat="1"/>
    <xf numFmtId="167" fontId="0" fillId="0" borderId="0" xfId="0" applyNumberFormat="1"/>
    <xf numFmtId="183" fontId="32" fillId="0" borderId="0" xfId="0" applyNumberFormat="1" applyFont="1" applyAlignment="1">
      <alignment vertical="center"/>
    </xf>
    <xf numFmtId="0" fontId="52" fillId="0" borderId="0" xfId="0" applyFont="1"/>
    <xf numFmtId="183" fontId="38" fillId="0" borderId="18" xfId="0" applyNumberFormat="1" applyFont="1" applyBorder="1" applyAlignment="1">
      <alignment vertical="center"/>
    </xf>
    <xf numFmtId="0" fontId="38" fillId="0" borderId="19" xfId="0" applyFont="1" applyBorder="1" applyAlignment="1">
      <alignment vertical="center" wrapText="1"/>
    </xf>
    <xf numFmtId="0" fontId="38" fillId="0" borderId="19" xfId="0" applyFont="1" applyBorder="1" applyAlignment="1">
      <alignment horizontal="center" vertical="center"/>
    </xf>
    <xf numFmtId="167" fontId="38" fillId="0" borderId="19" xfId="0" applyNumberFormat="1" applyFont="1" applyBorder="1" applyAlignment="1">
      <alignment vertical="center"/>
    </xf>
    <xf numFmtId="167" fontId="38" fillId="0" borderId="20" xfId="0" applyNumberFormat="1" applyFont="1" applyBorder="1" applyAlignment="1">
      <alignment vertical="center"/>
    </xf>
    <xf numFmtId="167" fontId="32" fillId="29" borderId="0" xfId="0" applyNumberFormat="1" applyFont="1" applyFill="1" applyAlignment="1">
      <alignment vertical="center"/>
    </xf>
    <xf numFmtId="183" fontId="32" fillId="0" borderId="18" xfId="0" applyNumberFormat="1" applyFont="1" applyBorder="1" applyAlignment="1">
      <alignment horizontal="center" vertical="center"/>
    </xf>
    <xf numFmtId="0" fontId="46" fillId="0" borderId="0" xfId="165" applyFont="1" applyAlignment="1">
      <alignment horizontal="center" vertical="center"/>
    </xf>
    <xf numFmtId="0" fontId="56" fillId="0" borderId="0" xfId="165" applyFont="1" applyAlignment="1">
      <alignment horizontal="center" vertical="center"/>
    </xf>
    <xf numFmtId="42" fontId="46" fillId="0" borderId="0" xfId="166" applyFont="1" applyAlignment="1">
      <alignment horizontal="right" vertical="center"/>
    </xf>
    <xf numFmtId="0" fontId="42" fillId="3" borderId="0" xfId="68" applyFont="1" applyFill="1" applyAlignment="1">
      <alignment horizontal="center" wrapText="1"/>
    </xf>
    <xf numFmtId="0" fontId="55" fillId="0" borderId="0" xfId="165" applyFont="1" applyAlignment="1">
      <alignment horizontal="right" vertical="center"/>
    </xf>
    <xf numFmtId="0" fontId="46" fillId="0" borderId="0" xfId="165" applyFont="1" applyAlignment="1">
      <alignment horizontal="right" vertical="center"/>
    </xf>
    <xf numFmtId="0" fontId="3" fillId="3" borderId="52" xfId="68" applyFill="1" applyBorder="1" applyAlignment="1">
      <alignment horizontal="left" vertical="top" wrapText="1"/>
    </xf>
    <xf numFmtId="0" fontId="3" fillId="3" borderId="58" xfId="68" applyFill="1" applyBorder="1" applyAlignment="1">
      <alignment horizontal="left" vertical="top" wrapText="1"/>
    </xf>
    <xf numFmtId="0" fontId="3" fillId="3" borderId="55" xfId="68" applyFill="1" applyBorder="1" applyAlignment="1">
      <alignment horizontal="left" vertical="top" wrapText="1"/>
    </xf>
    <xf numFmtId="182" fontId="3" fillId="3" borderId="57" xfId="68" applyNumberFormat="1" applyFill="1" applyBorder="1" applyAlignment="1">
      <alignment horizontal="right" vertical="top" wrapText="1"/>
    </xf>
    <xf numFmtId="0" fontId="41" fillId="26" borderId="39" xfId="68" applyFont="1" applyFill="1" applyBorder="1" applyAlignment="1">
      <alignment horizontal="center" vertical="center" wrapText="1"/>
    </xf>
    <xf numFmtId="0" fontId="3" fillId="3" borderId="52" xfId="68" applyFill="1" applyBorder="1" applyAlignment="1">
      <alignment horizontal="left" vertical="center" wrapText="1"/>
    </xf>
    <xf numFmtId="182" fontId="3" fillId="3" borderId="54" xfId="68" applyNumberFormat="1" applyFill="1" applyBorder="1" applyAlignment="1">
      <alignment horizontal="right" vertical="center" wrapText="1"/>
    </xf>
    <xf numFmtId="0" fontId="3" fillId="3" borderId="58" xfId="68" applyFill="1" applyBorder="1" applyAlignment="1">
      <alignment horizontal="left" vertical="center" wrapText="1"/>
    </xf>
    <xf numFmtId="182" fontId="3" fillId="3" borderId="60" xfId="68" applyNumberFormat="1" applyFill="1" applyBorder="1" applyAlignment="1">
      <alignment horizontal="right" vertical="center" wrapText="1"/>
    </xf>
    <xf numFmtId="0" fontId="42" fillId="27" borderId="0" xfId="68" applyFont="1" applyFill="1" applyAlignment="1">
      <alignment horizontal="center" wrapText="1"/>
    </xf>
    <xf numFmtId="42" fontId="46" fillId="0" borderId="0" xfId="166" applyFont="1" applyAlignment="1">
      <alignment horizontal="center" vertical="center"/>
    </xf>
    <xf numFmtId="0" fontId="46" fillId="0" borderId="48" xfId="165" applyFont="1" applyBorder="1" applyAlignment="1">
      <alignment horizontal="right" vertical="center"/>
    </xf>
    <xf numFmtId="0" fontId="46" fillId="0" borderId="48" xfId="165" applyFont="1" applyBorder="1" applyAlignment="1">
      <alignment horizontal="center" vertical="center"/>
    </xf>
    <xf numFmtId="42" fontId="46" fillId="0" borderId="48" xfId="166" applyFont="1" applyBorder="1" applyAlignment="1">
      <alignment horizontal="right" vertical="center"/>
    </xf>
    <xf numFmtId="186" fontId="46" fillId="0" borderId="0" xfId="166" applyNumberFormat="1" applyFont="1" applyAlignment="1">
      <alignment horizontal="right" vertical="center"/>
    </xf>
    <xf numFmtId="42" fontId="0" fillId="0" borderId="0" xfId="166" applyFont="1"/>
    <xf numFmtId="165" fontId="39" fillId="3" borderId="54" xfId="168" applyFont="1" applyFill="1" applyBorder="1" applyAlignment="1">
      <alignment horizontal="center" vertical="center"/>
    </xf>
    <xf numFmtId="42" fontId="0" fillId="0" borderId="0" xfId="166" applyFont="1" applyAlignment="1">
      <alignment vertical="center"/>
    </xf>
    <xf numFmtId="0" fontId="0" fillId="0" borderId="0" xfId="0" applyAlignment="1">
      <alignment vertical="center"/>
    </xf>
    <xf numFmtId="0" fontId="39" fillId="3" borderId="58" xfId="3" applyFont="1" applyFill="1" applyBorder="1" applyAlignment="1">
      <alignment vertical="center"/>
    </xf>
    <xf numFmtId="165" fontId="39" fillId="3" borderId="60" xfId="168" applyFont="1" applyFill="1" applyBorder="1" applyAlignment="1">
      <alignment horizontal="center" vertical="center"/>
    </xf>
    <xf numFmtId="165" fontId="39" fillId="3" borderId="57" xfId="168" applyFont="1" applyFill="1" applyBorder="1" applyAlignment="1">
      <alignment horizontal="center" vertical="center"/>
    </xf>
    <xf numFmtId="182" fontId="3" fillId="30" borderId="54" xfId="68" applyNumberFormat="1" applyFill="1" applyBorder="1" applyAlignment="1">
      <alignment horizontal="right" vertical="top" wrapText="1"/>
    </xf>
    <xf numFmtId="182" fontId="3" fillId="30" borderId="60" xfId="68" applyNumberFormat="1" applyFill="1" applyBorder="1" applyAlignment="1">
      <alignment horizontal="right" vertical="top" wrapText="1"/>
    </xf>
    <xf numFmtId="182" fontId="3" fillId="30" borderId="57" xfId="68" applyNumberFormat="1" applyFill="1" applyBorder="1" applyAlignment="1">
      <alignment horizontal="right" vertical="top" wrapText="1"/>
    </xf>
    <xf numFmtId="39" fontId="15" fillId="0" borderId="0" xfId="170" applyFont="1"/>
    <xf numFmtId="185" fontId="15" fillId="0" borderId="0" xfId="50" applyNumberFormat="1" applyFont="1"/>
    <xf numFmtId="185" fontId="15" fillId="0" borderId="0" xfId="170" applyNumberFormat="1" applyFont="1"/>
    <xf numFmtId="0" fontId="57" fillId="0" borderId="39" xfId="0" applyFont="1" applyBorder="1" applyAlignment="1">
      <alignment horizontal="center" vertical="center"/>
    </xf>
    <xf numFmtId="0" fontId="57" fillId="0" borderId="39" xfId="0" applyFont="1" applyBorder="1" applyAlignment="1">
      <alignment horizontal="center" vertical="center" wrapText="1"/>
    </xf>
    <xf numFmtId="185" fontId="57" fillId="0" borderId="39" xfId="50" applyNumberFormat="1" applyFont="1" applyBorder="1" applyAlignment="1">
      <alignment horizontal="center" vertical="center" wrapText="1"/>
    </xf>
    <xf numFmtId="185" fontId="57" fillId="0" borderId="39" xfId="0" applyNumberFormat="1" applyFont="1" applyBorder="1" applyAlignment="1">
      <alignment horizontal="center" vertical="center" wrapText="1"/>
    </xf>
    <xf numFmtId="39" fontId="15" fillId="0" borderId="0" xfId="170" applyFont="1" applyAlignment="1">
      <alignment vertical="center"/>
    </xf>
    <xf numFmtId="0" fontId="3" fillId="0" borderId="39" xfId="0" applyFont="1" applyBorder="1" applyAlignment="1">
      <alignment horizontal="center" vertical="center"/>
    </xf>
    <xf numFmtId="49" fontId="3" fillId="0" borderId="39" xfId="170" applyNumberFormat="1" applyFont="1" applyBorder="1" applyAlignment="1">
      <alignment horizontal="center" vertical="top"/>
    </xf>
    <xf numFmtId="0" fontId="3" fillId="0" borderId="39" xfId="0" applyFont="1" applyBorder="1" applyAlignment="1">
      <alignment horizontal="center"/>
    </xf>
    <xf numFmtId="185" fontId="3" fillId="0" borderId="39" xfId="50" applyNumberFormat="1" applyFont="1" applyFill="1" applyBorder="1" applyAlignment="1">
      <alignment horizontal="center"/>
    </xf>
    <xf numFmtId="185" fontId="3" fillId="0" borderId="39" xfId="50" applyNumberFormat="1" applyFont="1" applyFill="1" applyBorder="1" applyAlignment="1"/>
    <xf numFmtId="185" fontId="15" fillId="0" borderId="0" xfId="50" applyNumberFormat="1" applyFont="1" applyBorder="1" applyAlignment="1"/>
    <xf numFmtId="39" fontId="59" fillId="0" borderId="0" xfId="170" applyFont="1"/>
    <xf numFmtId="165" fontId="39" fillId="3" borderId="60" xfId="168" applyFont="1" applyFill="1" applyBorder="1" applyAlignment="1">
      <alignment horizontal="center"/>
    </xf>
    <xf numFmtId="2" fontId="3" fillId="0" borderId="39" xfId="0" applyNumberFormat="1" applyFont="1" applyBorder="1" applyAlignment="1">
      <alignment horizontal="center"/>
    </xf>
    <xf numFmtId="49" fontId="57" fillId="0" borderId="39" xfId="170" applyNumberFormat="1" applyFont="1" applyBorder="1" applyAlignment="1">
      <alignment horizontal="center" vertical="center" wrapText="1"/>
    </xf>
    <xf numFmtId="165" fontId="39" fillId="3" borderId="78" xfId="168" applyFont="1" applyFill="1" applyBorder="1" applyAlignment="1">
      <alignment horizontal="center" vertical="center"/>
    </xf>
    <xf numFmtId="3" fontId="3" fillId="3" borderId="58" xfId="68" applyNumberFormat="1" applyFill="1" applyBorder="1" applyAlignment="1">
      <alignment horizontal="left" vertical="top" wrapText="1"/>
    </xf>
    <xf numFmtId="39" fontId="55" fillId="0" borderId="0" xfId="165" applyNumberFormat="1" applyFont="1" applyAlignment="1">
      <alignment horizontal="left" vertical="center"/>
    </xf>
    <xf numFmtId="0" fontId="61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185" fontId="46" fillId="0" borderId="0" xfId="167" applyNumberFormat="1" applyFont="1" applyAlignment="1">
      <alignment horizontal="right" vertical="center"/>
    </xf>
    <xf numFmtId="185" fontId="15" fillId="0" borderId="0" xfId="167" applyNumberFormat="1" applyFont="1"/>
    <xf numFmtId="185" fontId="57" fillId="0" borderId="39" xfId="167" applyNumberFormat="1" applyFont="1" applyBorder="1" applyAlignment="1">
      <alignment horizontal="center" vertical="center" wrapText="1"/>
    </xf>
    <xf numFmtId="185" fontId="3" fillId="0" borderId="39" xfId="167" applyNumberFormat="1" applyFont="1" applyFill="1" applyBorder="1" applyAlignment="1">
      <alignment horizontal="center"/>
    </xf>
    <xf numFmtId="185" fontId="15" fillId="0" borderId="0" xfId="167" applyNumberFormat="1" applyFont="1" applyBorder="1" applyAlignment="1"/>
    <xf numFmtId="0" fontId="3" fillId="27" borderId="39" xfId="0" applyFont="1" applyFill="1" applyBorder="1" applyAlignment="1">
      <alignment horizontal="left" vertical="center" wrapText="1"/>
    </xf>
    <xf numFmtId="182" fontId="3" fillId="30" borderId="62" xfId="68" applyNumberFormat="1" applyFill="1" applyBorder="1" applyAlignment="1">
      <alignment horizontal="right" vertical="top" wrapText="1"/>
    </xf>
    <xf numFmtId="4" fontId="3" fillId="3" borderId="61" xfId="68" applyNumberFormat="1" applyFill="1" applyBorder="1" applyAlignment="1">
      <alignment horizontal="left" vertical="top" wrapText="1"/>
    </xf>
    <xf numFmtId="165" fontId="39" fillId="3" borderId="78" xfId="168" applyFont="1" applyFill="1" applyBorder="1" applyAlignment="1">
      <alignment horizontal="center"/>
    </xf>
    <xf numFmtId="0" fontId="3" fillId="27" borderId="39" xfId="0" applyFont="1" applyFill="1" applyBorder="1" applyAlignment="1">
      <alignment horizontal="left" vertical="top" wrapText="1"/>
    </xf>
    <xf numFmtId="165" fontId="39" fillId="3" borderId="62" xfId="168" applyFont="1" applyFill="1" applyBorder="1" applyAlignment="1">
      <alignment horizontal="center" vertical="center"/>
    </xf>
    <xf numFmtId="165" fontId="39" fillId="3" borderId="84" xfId="168" applyFont="1" applyFill="1" applyBorder="1" applyAlignment="1">
      <alignment horizontal="center" vertical="center"/>
    </xf>
    <xf numFmtId="185" fontId="55" fillId="0" borderId="0" xfId="167" applyNumberFormat="1" applyFont="1" applyAlignment="1">
      <alignment horizontal="right" vertical="center"/>
    </xf>
    <xf numFmtId="0" fontId="57" fillId="3" borderId="81" xfId="3" applyFont="1" applyFill="1" applyBorder="1"/>
    <xf numFmtId="165" fontId="7" fillId="3" borderId="0" xfId="168" applyFont="1" applyFill="1" applyBorder="1"/>
    <xf numFmtId="187" fontId="3" fillId="3" borderId="85" xfId="169" applyNumberFormat="1" applyFont="1" applyFill="1" applyBorder="1" applyAlignment="1">
      <alignment horizontal="right" vertical="center"/>
    </xf>
    <xf numFmtId="0" fontId="7" fillId="3" borderId="81" xfId="3" applyFont="1" applyFill="1" applyBorder="1"/>
    <xf numFmtId="187" fontId="7" fillId="3" borderId="85" xfId="169" applyNumberFormat="1" applyFont="1" applyFill="1" applyBorder="1"/>
    <xf numFmtId="187" fontId="57" fillId="0" borderId="85" xfId="169" applyNumberFormat="1" applyFont="1" applyFill="1" applyBorder="1" applyAlignment="1">
      <alignment vertical="center"/>
    </xf>
    <xf numFmtId="186" fontId="57" fillId="30" borderId="80" xfId="2" applyNumberFormat="1" applyFont="1" applyFill="1" applyBorder="1" applyAlignment="1" applyProtection="1">
      <alignment vertical="center" wrapText="1"/>
      <protection hidden="1"/>
    </xf>
    <xf numFmtId="49" fontId="3" fillId="0" borderId="39" xfId="170" applyNumberFormat="1" applyFont="1" applyBorder="1" applyAlignment="1">
      <alignment horizontal="center" vertical="center"/>
    </xf>
    <xf numFmtId="187" fontId="0" fillId="0" borderId="0" xfId="169" applyNumberFormat="1" applyFont="1"/>
    <xf numFmtId="0" fontId="3" fillId="3" borderId="0" xfId="68" applyFill="1" applyAlignment="1">
      <alignment horizontal="center" vertical="center"/>
    </xf>
    <xf numFmtId="164" fontId="3" fillId="3" borderId="39" xfId="169" applyFont="1" applyFill="1" applyBorder="1" applyAlignment="1">
      <alignment vertical="center"/>
    </xf>
    <xf numFmtId="185" fontId="3" fillId="0" borderId="39" xfId="50" applyNumberFormat="1" applyFont="1" applyFill="1" applyBorder="1" applyAlignment="1">
      <alignment vertical="center"/>
    </xf>
    <xf numFmtId="185" fontId="3" fillId="0" borderId="39" xfId="167" applyNumberFormat="1" applyFont="1" applyFill="1" applyBorder="1" applyAlignment="1">
      <alignment vertical="center"/>
    </xf>
    <xf numFmtId="185" fontId="57" fillId="0" borderId="39" xfId="50" applyNumberFormat="1" applyFont="1" applyBorder="1" applyAlignment="1">
      <alignment horizontal="center" wrapText="1"/>
    </xf>
    <xf numFmtId="185" fontId="57" fillId="0" borderId="39" xfId="50" applyNumberFormat="1" applyFont="1" applyBorder="1" applyAlignment="1">
      <alignment vertical="center" wrapText="1"/>
    </xf>
    <xf numFmtId="0" fontId="3" fillId="3" borderId="0" xfId="68" applyFill="1" applyAlignment="1">
      <alignment vertical="top"/>
    </xf>
    <xf numFmtId="0" fontId="3" fillId="3" borderId="52" xfId="3" applyFill="1" applyBorder="1" applyAlignment="1">
      <alignment vertical="center"/>
    </xf>
    <xf numFmtId="0" fontId="3" fillId="3" borderId="58" xfId="3" applyFill="1" applyBorder="1" applyAlignment="1">
      <alignment vertical="center"/>
    </xf>
    <xf numFmtId="0" fontId="3" fillId="3" borderId="58" xfId="3" applyFill="1" applyBorder="1" applyAlignment="1">
      <alignment vertical="center" wrapText="1"/>
    </xf>
    <xf numFmtId="0" fontId="3" fillId="3" borderId="58" xfId="3" applyFill="1" applyBorder="1" applyAlignment="1">
      <alignment vertical="top" wrapText="1"/>
    </xf>
    <xf numFmtId="0" fontId="3" fillId="3" borderId="55" xfId="3" applyFill="1" applyBorder="1" applyAlignment="1">
      <alignment vertical="center" wrapText="1"/>
    </xf>
    <xf numFmtId="0" fontId="3" fillId="3" borderId="61" xfId="3" applyFill="1" applyBorder="1" applyAlignment="1">
      <alignment vertical="center"/>
    </xf>
    <xf numFmtId="4" fontId="3" fillId="3" borderId="58" xfId="3" applyNumberFormat="1" applyFill="1" applyBorder="1" applyAlignment="1">
      <alignment vertical="center"/>
    </xf>
    <xf numFmtId="0" fontId="3" fillId="3" borderId="55" xfId="3" applyFill="1" applyBorder="1" applyAlignment="1">
      <alignment vertical="top" wrapText="1"/>
    </xf>
    <xf numFmtId="0" fontId="3" fillId="3" borderId="61" xfId="3" applyFill="1" applyBorder="1" applyAlignment="1">
      <alignment vertical="center" wrapText="1"/>
    </xf>
    <xf numFmtId="0" fontId="0" fillId="0" borderId="0" xfId="0" applyAlignment="1">
      <alignment vertical="top"/>
    </xf>
    <xf numFmtId="187" fontId="3" fillId="3" borderId="53" xfId="169" applyNumberFormat="1" applyFont="1" applyFill="1" applyBorder="1" applyAlignment="1">
      <alignment horizontal="center" vertical="center"/>
    </xf>
    <xf numFmtId="187" fontId="3" fillId="3" borderId="59" xfId="169" applyNumberFormat="1" applyFont="1" applyFill="1" applyBorder="1" applyAlignment="1">
      <alignment horizontal="center" vertical="center"/>
    </xf>
    <xf numFmtId="187" fontId="3" fillId="3" borderId="59" xfId="169" applyNumberFormat="1" applyFont="1" applyFill="1" applyBorder="1" applyAlignment="1">
      <alignment horizontal="center"/>
    </xf>
    <xf numFmtId="187" fontId="3" fillId="3" borderId="56" xfId="169" applyNumberFormat="1" applyFont="1" applyFill="1" applyBorder="1" applyAlignment="1">
      <alignment horizontal="center"/>
    </xf>
    <xf numFmtId="187" fontId="3" fillId="3" borderId="82" xfId="169" applyNumberFormat="1" applyFont="1" applyFill="1" applyBorder="1" applyAlignment="1">
      <alignment horizontal="center" vertical="center"/>
    </xf>
    <xf numFmtId="187" fontId="3" fillId="3" borderId="77" xfId="169" applyNumberFormat="1" applyFont="1" applyFill="1" applyBorder="1" applyAlignment="1">
      <alignment horizontal="center" vertical="center"/>
    </xf>
    <xf numFmtId="187" fontId="3" fillId="3" borderId="56" xfId="169" applyNumberFormat="1" applyFont="1" applyFill="1" applyBorder="1" applyAlignment="1">
      <alignment horizontal="center" vertical="center"/>
    </xf>
    <xf numFmtId="187" fontId="3" fillId="3" borderId="83" xfId="169" applyNumberFormat="1" applyFont="1" applyFill="1" applyBorder="1" applyAlignment="1">
      <alignment horizontal="center" vertical="center"/>
    </xf>
    <xf numFmtId="187" fontId="3" fillId="3" borderId="77" xfId="169" applyNumberFormat="1" applyFont="1" applyFill="1" applyBorder="1" applyAlignment="1">
      <alignment horizontal="center"/>
    </xf>
    <xf numFmtId="0" fontId="44" fillId="0" borderId="0" xfId="171" applyFont="1" applyAlignment="1">
      <alignment vertical="center"/>
    </xf>
    <xf numFmtId="42" fontId="0" fillId="0" borderId="0" xfId="166" applyFont="1" applyBorder="1"/>
    <xf numFmtId="187" fontId="3" fillId="3" borderId="58" xfId="169" applyNumberFormat="1" applyFont="1" applyFill="1" applyBorder="1" applyAlignment="1">
      <alignment vertical="center"/>
    </xf>
    <xf numFmtId="0" fontId="3" fillId="3" borderId="58" xfId="3" applyFill="1" applyBorder="1" applyAlignment="1">
      <alignment horizontal="center" vertical="center"/>
    </xf>
    <xf numFmtId="188" fontId="3" fillId="3" borderId="59" xfId="169" applyNumberFormat="1" applyFont="1" applyFill="1" applyBorder="1" applyAlignment="1">
      <alignment horizontal="center" vertical="center"/>
    </xf>
    <xf numFmtId="187" fontId="57" fillId="30" borderId="39" xfId="169" applyNumberFormat="1" applyFont="1" applyFill="1" applyBorder="1" applyAlignment="1">
      <alignment vertical="center"/>
    </xf>
    <xf numFmtId="0" fontId="57" fillId="3" borderId="0" xfId="3" applyFont="1" applyFill="1" applyAlignment="1">
      <alignment horizontal="right" vertical="center"/>
    </xf>
    <xf numFmtId="166" fontId="7" fillId="3" borderId="0" xfId="3" applyNumberFormat="1" applyFont="1" applyFill="1" applyAlignment="1">
      <alignment horizontal="center"/>
    </xf>
    <xf numFmtId="0" fontId="55" fillId="0" borderId="0" xfId="0" applyFont="1"/>
    <xf numFmtId="0" fontId="55" fillId="0" borderId="81" xfId="0" applyFont="1" applyBorder="1"/>
    <xf numFmtId="0" fontId="57" fillId="3" borderId="48" xfId="3" applyFont="1" applyFill="1" applyBorder="1" applyAlignment="1">
      <alignment horizontal="right" vertical="center"/>
    </xf>
    <xf numFmtId="187" fontId="57" fillId="0" borderId="86" xfId="169" applyNumberFormat="1" applyFont="1" applyFill="1" applyBorder="1" applyAlignment="1">
      <alignment vertical="center"/>
    </xf>
    <xf numFmtId="0" fontId="68" fillId="0" borderId="0" xfId="0" applyFont="1" applyAlignment="1">
      <alignment vertical="center"/>
    </xf>
    <xf numFmtId="0" fontId="69" fillId="0" borderId="81" xfId="0" applyFont="1" applyBorder="1" applyAlignment="1">
      <alignment vertical="center"/>
    </xf>
    <xf numFmtId="0" fontId="65" fillId="0" borderId="0" xfId="165" applyFont="1" applyAlignment="1">
      <alignment horizontal="center" vertical="center"/>
    </xf>
    <xf numFmtId="0" fontId="70" fillId="0" borderId="81" xfId="0" applyFont="1" applyBorder="1" applyAlignment="1">
      <alignment vertical="center"/>
    </xf>
    <xf numFmtId="0" fontId="65" fillId="0" borderId="81" xfId="0" applyFont="1" applyBorder="1"/>
    <xf numFmtId="0" fontId="3" fillId="3" borderId="0" xfId="3" applyFill="1"/>
    <xf numFmtId="0" fontId="65" fillId="0" borderId="47" xfId="0" applyFont="1" applyBorder="1"/>
    <xf numFmtId="0" fontId="3" fillId="3" borderId="48" xfId="3" applyFill="1" applyBorder="1"/>
    <xf numFmtId="186" fontId="57" fillId="0" borderId="51" xfId="2" applyNumberFormat="1" applyFont="1" applyFill="1" applyBorder="1" applyAlignment="1" applyProtection="1">
      <alignment vertical="center" wrapText="1"/>
      <protection hidden="1"/>
    </xf>
    <xf numFmtId="0" fontId="63" fillId="32" borderId="39" xfId="3" applyFont="1" applyFill="1" applyBorder="1" applyAlignment="1">
      <alignment vertical="center" wrapText="1"/>
    </xf>
    <xf numFmtId="181" fontId="3" fillId="3" borderId="39" xfId="3" applyNumberFormat="1" applyFill="1" applyBorder="1" applyAlignment="1">
      <alignment horizontal="center"/>
    </xf>
    <xf numFmtId="42" fontId="3" fillId="3" borderId="39" xfId="166" applyFont="1" applyFill="1" applyBorder="1" applyAlignment="1"/>
    <xf numFmtId="185" fontId="3" fillId="3" borderId="39" xfId="167" applyNumberFormat="1" applyFont="1" applyFill="1" applyBorder="1" applyAlignment="1">
      <alignment horizontal="center"/>
    </xf>
    <xf numFmtId="187" fontId="3" fillId="3" borderId="39" xfId="169" applyNumberFormat="1" applyFont="1" applyFill="1" applyBorder="1" applyAlignment="1">
      <alignment horizontal="center"/>
    </xf>
    <xf numFmtId="187" fontId="3" fillId="3" borderId="39" xfId="3" applyNumberFormat="1" applyFill="1" applyBorder="1"/>
    <xf numFmtId="9" fontId="3" fillId="3" borderId="39" xfId="175" applyFont="1" applyFill="1" applyBorder="1" applyAlignment="1">
      <alignment horizontal="center"/>
    </xf>
    <xf numFmtId="0" fontId="3" fillId="0" borderId="39" xfId="3" applyBorder="1" applyAlignment="1">
      <alignment horizontal="center" vertical="center"/>
    </xf>
    <xf numFmtId="0" fontId="3" fillId="3" borderId="45" xfId="3" applyFill="1" applyBorder="1" applyAlignment="1">
      <alignment horizontal="center" vertical="center" wrapText="1"/>
    </xf>
    <xf numFmtId="164" fontId="3" fillId="0" borderId="39" xfId="169" applyFont="1" applyFill="1" applyBorder="1" applyAlignment="1">
      <alignment horizontal="center" vertical="center"/>
    </xf>
    <xf numFmtId="164" fontId="3" fillId="0" borderId="45" xfId="169" applyFont="1" applyFill="1" applyBorder="1" applyAlignment="1">
      <alignment horizontal="center" vertical="center"/>
    </xf>
    <xf numFmtId="164" fontId="3" fillId="0" borderId="76" xfId="3" applyNumberFormat="1" applyBorder="1" applyAlignment="1">
      <alignment horizontal="center" vertical="center"/>
    </xf>
    <xf numFmtId="187" fontId="67" fillId="27" borderId="0" xfId="169" applyNumberFormat="1" applyFont="1" applyFill="1" applyBorder="1" applyAlignment="1">
      <alignment vertical="center" wrapText="1"/>
    </xf>
    <xf numFmtId="2" fontId="55" fillId="0" borderId="0" xfId="165" applyNumberFormat="1" applyFont="1" applyAlignment="1">
      <alignment horizontal="right" vertical="center"/>
    </xf>
    <xf numFmtId="0" fontId="64" fillId="0" borderId="48" xfId="165" applyFont="1" applyBorder="1" applyAlignment="1">
      <alignment vertical="center"/>
    </xf>
    <xf numFmtId="181" fontId="3" fillId="3" borderId="39" xfId="3" applyNumberFormat="1" applyFill="1" applyBorder="1" applyAlignment="1">
      <alignment horizontal="center" vertical="center"/>
    </xf>
    <xf numFmtId="42" fontId="3" fillId="3" borderId="39" xfId="166" applyFont="1" applyFill="1" applyBorder="1" applyAlignment="1">
      <alignment vertical="center"/>
    </xf>
    <xf numFmtId="187" fontId="3" fillId="3" borderId="39" xfId="169" applyNumberFormat="1" applyFont="1" applyFill="1" applyBorder="1" applyAlignment="1">
      <alignment horizontal="center" vertical="center"/>
    </xf>
    <xf numFmtId="0" fontId="3" fillId="3" borderId="39" xfId="3" applyFill="1" applyBorder="1"/>
    <xf numFmtId="185" fontId="3" fillId="3" borderId="39" xfId="167" applyNumberFormat="1" applyFont="1" applyFill="1" applyBorder="1" applyAlignment="1">
      <alignment horizontal="center" vertical="center"/>
    </xf>
    <xf numFmtId="0" fontId="65" fillId="0" borderId="39" xfId="0" applyFont="1" applyBorder="1" applyAlignment="1">
      <alignment horizontal="center" vertical="center" wrapText="1"/>
    </xf>
    <xf numFmtId="2" fontId="65" fillId="0" borderId="39" xfId="0" applyNumberFormat="1" applyFont="1" applyBorder="1" applyAlignment="1">
      <alignment horizontal="center" vertical="center" wrapText="1"/>
    </xf>
    <xf numFmtId="187" fontId="65" fillId="0" borderId="39" xfId="169" applyNumberFormat="1" applyFont="1" applyFill="1" applyBorder="1" applyAlignment="1">
      <alignment vertical="center" wrapText="1"/>
    </xf>
    <xf numFmtId="0" fontId="65" fillId="0" borderId="45" xfId="0" applyFont="1" applyBorder="1" applyAlignment="1">
      <alignment vertical="center"/>
    </xf>
    <xf numFmtId="0" fontId="54" fillId="0" borderId="0" xfId="0" applyFont="1"/>
    <xf numFmtId="0" fontId="73" fillId="0" borderId="0" xfId="165" applyFont="1" applyAlignment="1">
      <alignment horizontal="center" vertical="center"/>
    </xf>
    <xf numFmtId="165" fontId="3" fillId="3" borderId="0" xfId="168" applyFont="1" applyFill="1" applyBorder="1"/>
    <xf numFmtId="0" fontId="57" fillId="30" borderId="39" xfId="3" applyFont="1" applyFill="1" applyBorder="1" applyAlignment="1">
      <alignment horizontal="center" vertical="center"/>
    </xf>
    <xf numFmtId="165" fontId="57" fillId="30" borderId="39" xfId="168" applyFont="1" applyFill="1" applyBorder="1" applyAlignment="1">
      <alignment horizontal="center" vertical="center"/>
    </xf>
    <xf numFmtId="0" fontId="57" fillId="30" borderId="45" xfId="3" applyFont="1" applyFill="1" applyBorder="1" applyAlignment="1">
      <alignment horizontal="center" vertical="center"/>
    </xf>
    <xf numFmtId="187" fontId="57" fillId="30" borderId="39" xfId="169" applyNumberFormat="1" applyFont="1" applyFill="1" applyBorder="1" applyAlignment="1">
      <alignment horizontal="center" vertical="center"/>
    </xf>
    <xf numFmtId="0" fontId="3" fillId="3" borderId="39" xfId="3" applyFill="1" applyBorder="1" applyAlignment="1">
      <alignment horizontal="center" vertical="center"/>
    </xf>
    <xf numFmtId="187" fontId="3" fillId="27" borderId="39" xfId="169" applyNumberFormat="1" applyFont="1" applyFill="1" applyBorder="1" applyAlignment="1">
      <alignment vertical="center"/>
    </xf>
    <xf numFmtId="9" fontId="3" fillId="3" borderId="39" xfId="175" applyFont="1" applyFill="1" applyBorder="1" applyAlignment="1">
      <alignment horizontal="center" vertical="center"/>
    </xf>
    <xf numFmtId="187" fontId="3" fillId="3" borderId="39" xfId="169" applyNumberFormat="1" applyFont="1" applyFill="1" applyBorder="1" applyAlignment="1"/>
    <xf numFmtId="0" fontId="3" fillId="3" borderId="81" xfId="3" applyFill="1" applyBorder="1"/>
    <xf numFmtId="166" fontId="57" fillId="3" borderId="0" xfId="3" applyNumberFormat="1" applyFont="1" applyFill="1" applyAlignment="1">
      <alignment horizontal="center"/>
    </xf>
    <xf numFmtId="187" fontId="57" fillId="27" borderId="39" xfId="169" applyNumberFormat="1" applyFont="1" applyFill="1" applyBorder="1" applyAlignment="1">
      <alignment vertical="center"/>
    </xf>
    <xf numFmtId="166" fontId="3" fillId="3" borderId="0" xfId="3" applyNumberFormat="1" applyFill="1"/>
    <xf numFmtId="0" fontId="3" fillId="3" borderId="85" xfId="3" applyFill="1" applyBorder="1"/>
    <xf numFmtId="0" fontId="57" fillId="30" borderId="76" xfId="3" applyFont="1" applyFill="1" applyBorder="1" applyAlignment="1">
      <alignment horizontal="center" vertical="center"/>
    </xf>
    <xf numFmtId="42" fontId="3" fillId="3" borderId="39" xfId="166" applyFont="1" applyFill="1" applyBorder="1" applyAlignment="1">
      <alignment horizontal="center" vertical="center"/>
    </xf>
    <xf numFmtId="187" fontId="57" fillId="27" borderId="51" xfId="169" applyNumberFormat="1" applyFont="1" applyFill="1" applyBorder="1" applyAlignment="1">
      <alignment vertical="center"/>
    </xf>
    <xf numFmtId="187" fontId="57" fillId="30" borderId="39" xfId="169" applyNumberFormat="1" applyFont="1" applyFill="1" applyBorder="1" applyAlignment="1">
      <alignment horizontal="center"/>
    </xf>
    <xf numFmtId="0" fontId="3" fillId="3" borderId="39" xfId="3" applyFill="1" applyBorder="1" applyAlignment="1">
      <alignment horizontal="center"/>
    </xf>
    <xf numFmtId="165" fontId="3" fillId="27" borderId="39" xfId="168" applyFont="1" applyFill="1" applyBorder="1"/>
    <xf numFmtId="166" fontId="3" fillId="3" borderId="39" xfId="54" applyFont="1" applyFill="1" applyBorder="1"/>
    <xf numFmtId="165" fontId="3" fillId="3" borderId="39" xfId="168" applyFont="1" applyFill="1" applyBorder="1"/>
    <xf numFmtId="0" fontId="65" fillId="0" borderId="39" xfId="0" applyFont="1" applyBorder="1"/>
    <xf numFmtId="187" fontId="57" fillId="27" borderId="39" xfId="169" applyNumberFormat="1" applyFont="1" applyFill="1" applyBorder="1"/>
    <xf numFmtId="187" fontId="3" fillId="3" borderId="85" xfId="169" applyNumberFormat="1" applyFont="1" applyFill="1" applyBorder="1"/>
    <xf numFmtId="0" fontId="57" fillId="30" borderId="39" xfId="3" applyFont="1" applyFill="1" applyBorder="1" applyAlignment="1">
      <alignment horizontal="center"/>
    </xf>
    <xf numFmtId="165" fontId="57" fillId="30" borderId="39" xfId="168" quotePrefix="1" applyFont="1" applyFill="1" applyBorder="1" applyAlignment="1">
      <alignment horizontal="center"/>
    </xf>
    <xf numFmtId="166" fontId="57" fillId="30" borderId="39" xfId="3" applyNumberFormat="1" applyFont="1" applyFill="1" applyBorder="1" applyAlignment="1">
      <alignment horizontal="center"/>
    </xf>
    <xf numFmtId="187" fontId="57" fillId="30" borderId="39" xfId="169" quotePrefix="1" applyNumberFormat="1" applyFont="1" applyFill="1" applyBorder="1" applyAlignment="1">
      <alignment horizontal="center"/>
    </xf>
    <xf numFmtId="42" fontId="3" fillId="3" borderId="39" xfId="166" applyFont="1" applyFill="1" applyBorder="1" applyAlignment="1">
      <alignment horizontal="center"/>
    </xf>
    <xf numFmtId="10" fontId="3" fillId="3" borderId="39" xfId="54" applyNumberFormat="1" applyFont="1" applyFill="1" applyBorder="1"/>
    <xf numFmtId="187" fontId="3" fillId="3" borderId="39" xfId="169" applyNumberFormat="1" applyFont="1" applyFill="1" applyBorder="1"/>
    <xf numFmtId="187" fontId="57" fillId="27" borderId="51" xfId="169" applyNumberFormat="1" applyFont="1" applyFill="1" applyBorder="1"/>
    <xf numFmtId="190" fontId="3" fillId="0" borderId="39" xfId="3" applyNumberFormat="1" applyBorder="1" applyAlignment="1">
      <alignment horizontal="center" vertical="center"/>
    </xf>
    <xf numFmtId="0" fontId="57" fillId="0" borderId="45" xfId="3" applyFont="1" applyBorder="1" applyAlignment="1">
      <alignment horizontal="center" vertical="center"/>
    </xf>
    <xf numFmtId="0" fontId="57" fillId="0" borderId="44" xfId="3" applyFont="1" applyBorder="1" applyAlignment="1">
      <alignment horizontal="center" vertical="center"/>
    </xf>
    <xf numFmtId="0" fontId="57" fillId="0" borderId="39" xfId="3" applyFont="1" applyBorder="1" applyAlignment="1">
      <alignment horizontal="center" vertical="center"/>
    </xf>
    <xf numFmtId="165" fontId="57" fillId="0" borderId="39" xfId="168" applyFont="1" applyFill="1" applyBorder="1" applyAlignment="1">
      <alignment horizontal="center" vertical="center"/>
    </xf>
    <xf numFmtId="181" fontId="3" fillId="0" borderId="39" xfId="3" applyNumberFormat="1" applyBorder="1" applyAlignment="1">
      <alignment horizontal="center"/>
    </xf>
    <xf numFmtId="42" fontId="3" fillId="0" borderId="39" xfId="166" applyFont="1" applyFill="1" applyBorder="1" applyAlignment="1"/>
    <xf numFmtId="0" fontId="65" fillId="0" borderId="44" xfId="0" applyFont="1" applyBorder="1" applyAlignment="1">
      <alignment vertical="center"/>
    </xf>
    <xf numFmtId="164" fontId="3" fillId="3" borderId="39" xfId="169" applyFont="1" applyFill="1" applyBorder="1" applyAlignment="1"/>
    <xf numFmtId="166" fontId="3" fillId="3" borderId="39" xfId="54" applyFont="1" applyFill="1" applyBorder="1" applyAlignment="1">
      <alignment horizontal="center"/>
    </xf>
    <xf numFmtId="0" fontId="65" fillId="0" borderId="44" xfId="0" applyFont="1" applyBorder="1" applyAlignment="1">
      <alignment horizontal="left" wrapText="1"/>
    </xf>
    <xf numFmtId="0" fontId="3" fillId="3" borderId="45" xfId="3" applyFill="1" applyBorder="1" applyAlignment="1">
      <alignment horizontal="left" vertical="center" wrapText="1"/>
    </xf>
    <xf numFmtId="0" fontId="3" fillId="3" borderId="44" xfId="3" applyFill="1" applyBorder="1" applyAlignment="1">
      <alignment horizontal="left" vertical="center" wrapText="1"/>
    </xf>
    <xf numFmtId="166" fontId="3" fillId="3" borderId="39" xfId="54" applyFont="1" applyFill="1" applyBorder="1" applyAlignment="1">
      <alignment horizontal="center" vertical="center"/>
    </xf>
    <xf numFmtId="0" fontId="74" fillId="35" borderId="89" xfId="158" applyFont="1" applyFill="1" applyBorder="1" applyAlignment="1">
      <alignment horizontal="left"/>
    </xf>
    <xf numFmtId="0" fontId="75" fillId="35" borderId="48" xfId="158" applyFont="1" applyFill="1" applyBorder="1" applyAlignment="1">
      <alignment horizontal="center"/>
    </xf>
    <xf numFmtId="0" fontId="75" fillId="35" borderId="86" xfId="158" applyFont="1" applyFill="1" applyBorder="1" applyAlignment="1">
      <alignment horizontal="center"/>
    </xf>
    <xf numFmtId="0" fontId="74" fillId="35" borderId="48" xfId="158" applyFont="1" applyFill="1" applyBorder="1" applyAlignment="1">
      <alignment horizontal="center"/>
    </xf>
    <xf numFmtId="0" fontId="75" fillId="35" borderId="46" xfId="158" applyFont="1" applyFill="1" applyBorder="1" applyAlignment="1">
      <alignment horizontal="center"/>
    </xf>
    <xf numFmtId="0" fontId="74" fillId="35" borderId="90" xfId="158" applyFont="1" applyFill="1" applyBorder="1" applyAlignment="1">
      <alignment wrapText="1"/>
    </xf>
    <xf numFmtId="0" fontId="74" fillId="35" borderId="46" xfId="158" applyFont="1" applyFill="1" applyBorder="1" applyAlignment="1">
      <alignment wrapText="1"/>
    </xf>
    <xf numFmtId="0" fontId="74" fillId="35" borderId="44" xfId="158" applyFont="1" applyFill="1" applyBorder="1" applyAlignment="1">
      <alignment wrapText="1"/>
    </xf>
    <xf numFmtId="0" fontId="4" fillId="35" borderId="89" xfId="158" applyFont="1" applyFill="1" applyBorder="1" applyAlignment="1">
      <alignment horizontal="left"/>
    </xf>
    <xf numFmtId="2" fontId="4" fillId="35" borderId="51" xfId="158" applyNumberFormat="1" applyFont="1" applyFill="1" applyBorder="1" applyAlignment="1">
      <alignment horizontal="center" vertical="center"/>
    </xf>
    <xf numFmtId="2" fontId="4" fillId="35" borderId="39" xfId="158" applyNumberFormat="1" applyFont="1" applyFill="1" applyBorder="1" applyAlignment="1">
      <alignment horizontal="center" vertical="center"/>
    </xf>
    <xf numFmtId="0" fontId="76" fillId="0" borderId="104" xfId="0" applyFont="1" applyBorder="1" applyAlignment="1">
      <alignment vertical="center" wrapText="1"/>
    </xf>
    <xf numFmtId="189" fontId="76" fillId="0" borderId="109" xfId="0" applyNumberFormat="1" applyFont="1" applyBorder="1" applyAlignment="1">
      <alignment horizontal="center" vertical="center" wrapText="1"/>
    </xf>
    <xf numFmtId="191" fontId="76" fillId="0" borderId="114" xfId="0" applyNumberFormat="1" applyFont="1" applyBorder="1" applyAlignment="1">
      <alignment horizontal="center" vertical="center" wrapText="1"/>
    </xf>
    <xf numFmtId="0" fontId="76" fillId="0" borderId="117" xfId="0" applyFont="1" applyBorder="1" applyAlignment="1">
      <alignment horizontal="center" vertical="center" wrapText="1"/>
    </xf>
    <xf numFmtId="0" fontId="76" fillId="0" borderId="118" xfId="0" applyFont="1" applyBorder="1" applyAlignment="1">
      <alignment horizontal="center" vertical="center" wrapText="1"/>
    </xf>
    <xf numFmtId="1" fontId="76" fillId="0" borderId="118" xfId="0" applyNumberFormat="1" applyFont="1" applyBorder="1" applyAlignment="1">
      <alignment horizontal="center" vertical="center" wrapText="1"/>
    </xf>
    <xf numFmtId="3" fontId="77" fillId="0" borderId="44" xfId="0" applyNumberFormat="1" applyFont="1" applyBorder="1" applyAlignment="1">
      <alignment horizontal="left" vertical="center"/>
    </xf>
    <xf numFmtId="2" fontId="77" fillId="0" borderId="39" xfId="0" applyNumberFormat="1" applyFont="1" applyBorder="1" applyAlignment="1">
      <alignment horizontal="center" vertical="center" wrapText="1"/>
    </xf>
    <xf numFmtId="2" fontId="77" fillId="0" borderId="39" xfId="0" applyNumberFormat="1" applyFont="1" applyBorder="1" applyAlignment="1">
      <alignment horizontal="center" vertical="center"/>
    </xf>
    <xf numFmtId="3" fontId="77" fillId="0" borderId="39" xfId="0" applyNumberFormat="1" applyFont="1" applyBorder="1" applyAlignment="1">
      <alignment horizontal="center" vertical="center"/>
    </xf>
    <xf numFmtId="4" fontId="77" fillId="0" borderId="39" xfId="0" applyNumberFormat="1" applyFont="1" applyBorder="1" applyAlignment="1">
      <alignment horizontal="center" vertical="center"/>
    </xf>
    <xf numFmtId="3" fontId="77" fillId="0" borderId="44" xfId="0" applyNumberFormat="1" applyFont="1" applyBorder="1" applyAlignment="1">
      <alignment vertical="center"/>
    </xf>
    <xf numFmtId="3" fontId="77" fillId="0" borderId="39" xfId="0" applyNumberFormat="1" applyFont="1" applyBorder="1" applyAlignment="1">
      <alignment horizontal="center" vertical="center" wrapText="1"/>
    </xf>
    <xf numFmtId="0" fontId="71" fillId="0" borderId="81" xfId="0" applyFont="1" applyBorder="1"/>
    <xf numFmtId="0" fontId="71" fillId="0" borderId="0" xfId="0" applyFont="1"/>
    <xf numFmtId="0" fontId="71" fillId="0" borderId="121" xfId="0" applyFont="1" applyBorder="1"/>
    <xf numFmtId="4" fontId="80" fillId="36" borderId="120" xfId="0" applyNumberFormat="1" applyFont="1" applyFill="1" applyBorder="1" applyAlignment="1">
      <alignment horizontal="center" vertical="center"/>
    </xf>
    <xf numFmtId="0" fontId="79" fillId="38" borderId="87" xfId="0" applyFont="1" applyFill="1" applyBorder="1" applyAlignment="1">
      <alignment horizontal="left" vertical="top" wrapText="1"/>
    </xf>
    <xf numFmtId="0" fontId="79" fillId="38" borderId="79" xfId="0" applyFont="1" applyFill="1" applyBorder="1" applyAlignment="1">
      <alignment horizontal="left" vertical="top" wrapText="1"/>
    </xf>
    <xf numFmtId="0" fontId="79" fillId="38" borderId="81" xfId="0" applyFont="1" applyFill="1" applyBorder="1" applyAlignment="1">
      <alignment horizontal="left" vertical="top" wrapText="1"/>
    </xf>
    <xf numFmtId="0" fontId="79" fillId="38" borderId="0" xfId="0" applyFont="1" applyFill="1" applyAlignment="1">
      <alignment horizontal="left" vertical="top" wrapText="1"/>
    </xf>
    <xf numFmtId="3" fontId="79" fillId="38" borderId="0" xfId="0" applyNumberFormat="1" applyFont="1" applyFill="1" applyAlignment="1">
      <alignment horizontal="center" vertical="center"/>
    </xf>
    <xf numFmtId="4" fontId="80" fillId="38" borderId="85" xfId="0" applyNumberFormat="1" applyFont="1" applyFill="1" applyBorder="1" applyAlignment="1">
      <alignment horizontal="center" vertical="center"/>
    </xf>
    <xf numFmtId="0" fontId="79" fillId="38" borderId="47" xfId="0" applyFont="1" applyFill="1" applyBorder="1" applyAlignment="1">
      <alignment horizontal="left" vertical="top" wrapText="1"/>
    </xf>
    <xf numFmtId="0" fontId="79" fillId="38" borderId="48" xfId="0" applyFont="1" applyFill="1" applyBorder="1" applyAlignment="1">
      <alignment horizontal="left" vertical="top" wrapText="1"/>
    </xf>
    <xf numFmtId="3" fontId="79" fillId="38" borderId="48" xfId="0" applyNumberFormat="1" applyFont="1" applyFill="1" applyBorder="1" applyAlignment="1">
      <alignment horizontal="center" vertical="center"/>
    </xf>
    <xf numFmtId="4" fontId="80" fillId="38" borderId="86" xfId="0" applyNumberFormat="1" applyFont="1" applyFill="1" applyBorder="1" applyAlignment="1">
      <alignment horizontal="center" vertical="center"/>
    </xf>
    <xf numFmtId="3" fontId="79" fillId="38" borderId="79" xfId="0" applyNumberFormat="1" applyFont="1" applyFill="1" applyBorder="1" applyAlignment="1">
      <alignment horizontal="center" vertical="center"/>
    </xf>
    <xf numFmtId="4" fontId="80" fillId="38" borderId="88" xfId="0" applyNumberFormat="1" applyFont="1" applyFill="1" applyBorder="1" applyAlignment="1">
      <alignment horizontal="center" vertical="center"/>
    </xf>
    <xf numFmtId="0" fontId="76" fillId="38" borderId="47" xfId="0" applyFont="1" applyFill="1" applyBorder="1" applyAlignment="1">
      <alignment horizontal="left" vertical="center"/>
    </xf>
    <xf numFmtId="0" fontId="76" fillId="38" borderId="48" xfId="0" applyFont="1" applyFill="1" applyBorder="1" applyAlignment="1">
      <alignment horizontal="left" vertical="center"/>
    </xf>
    <xf numFmtId="0" fontId="77" fillId="38" borderId="48" xfId="0" applyFont="1" applyFill="1" applyBorder="1" applyAlignment="1">
      <alignment horizontal="left" vertical="center"/>
    </xf>
    <xf numFmtId="0" fontId="77" fillId="38" borderId="86" xfId="0" applyFont="1" applyFill="1" applyBorder="1" applyAlignment="1">
      <alignment horizontal="left" vertical="center"/>
    </xf>
    <xf numFmtId="0" fontId="76" fillId="38" borderId="0" xfId="0" applyFont="1" applyFill="1" applyAlignment="1">
      <alignment horizontal="left" vertical="center"/>
    </xf>
    <xf numFmtId="0" fontId="77" fillId="38" borderId="0" xfId="0" applyFont="1" applyFill="1" applyAlignment="1">
      <alignment horizontal="left" vertical="center"/>
    </xf>
    <xf numFmtId="187" fontId="64" fillId="0" borderId="39" xfId="169" applyNumberFormat="1" applyFont="1" applyFill="1" applyBorder="1" applyAlignment="1">
      <alignment vertical="center" wrapText="1"/>
    </xf>
    <xf numFmtId="0" fontId="64" fillId="0" borderId="0" xfId="165" applyFont="1" applyAlignment="1">
      <alignment vertical="center"/>
    </xf>
    <xf numFmtId="0" fontId="54" fillId="0" borderId="79" xfId="165" applyFont="1" applyBorder="1" applyAlignment="1">
      <alignment horizontal="center" vertical="center" wrapText="1"/>
    </xf>
    <xf numFmtId="0" fontId="55" fillId="0" borderId="79" xfId="165" applyFont="1" applyBorder="1" applyAlignment="1">
      <alignment horizontal="center" vertical="center"/>
    </xf>
    <xf numFmtId="0" fontId="64" fillId="0" borderId="79" xfId="165" applyFont="1" applyBorder="1" applyAlignment="1">
      <alignment vertical="center"/>
    </xf>
    <xf numFmtId="0" fontId="65" fillId="0" borderId="0" xfId="0" applyFont="1" applyAlignment="1">
      <alignment horizontal="center" vertical="center" wrapText="1"/>
    </xf>
    <xf numFmtId="0" fontId="81" fillId="0" borderId="0" xfId="165" applyFont="1" applyAlignment="1">
      <alignment horizontal="center" vertical="center"/>
    </xf>
    <xf numFmtId="0" fontId="82" fillId="0" borderId="0" xfId="165" applyFont="1" applyAlignment="1">
      <alignment horizontal="center" vertical="center"/>
    </xf>
    <xf numFmtId="0" fontId="63" fillId="0" borderId="0" xfId="165" applyFont="1" applyAlignment="1">
      <alignment horizontal="center" vertical="center"/>
    </xf>
    <xf numFmtId="0" fontId="64" fillId="40" borderId="39" xfId="0" applyFont="1" applyFill="1" applyBorder="1" applyAlignment="1">
      <alignment horizontal="center" vertical="center"/>
    </xf>
    <xf numFmtId="0" fontId="64" fillId="40" borderId="39" xfId="0" applyFont="1" applyFill="1" applyBorder="1" applyAlignment="1">
      <alignment horizontal="center" vertical="center" wrapText="1"/>
    </xf>
    <xf numFmtId="183" fontId="64" fillId="39" borderId="39" xfId="0" applyNumberFormat="1" applyFont="1" applyFill="1" applyBorder="1" applyAlignment="1">
      <alignment horizontal="center" vertical="center" wrapText="1"/>
    </xf>
    <xf numFmtId="0" fontId="64" fillId="39" borderId="39" xfId="0" applyFont="1" applyFill="1" applyBorder="1" applyAlignment="1">
      <alignment vertical="center" wrapText="1"/>
    </xf>
    <xf numFmtId="0" fontId="83" fillId="0" borderId="39" xfId="0" applyFont="1" applyBorder="1" applyAlignment="1">
      <alignment vertical="center" wrapText="1"/>
    </xf>
    <xf numFmtId="0" fontId="64" fillId="39" borderId="39" xfId="0" applyFont="1" applyFill="1" applyBorder="1" applyAlignment="1">
      <alignment horizontal="left" vertical="center" wrapText="1"/>
    </xf>
    <xf numFmtId="0" fontId="83" fillId="0" borderId="39" xfId="0" applyFont="1" applyBorder="1" applyAlignment="1">
      <alignment horizontal="left" vertical="center" wrapText="1"/>
    </xf>
    <xf numFmtId="183" fontId="65" fillId="0" borderId="39" xfId="0" applyNumberFormat="1" applyFont="1" applyBorder="1" applyAlignment="1">
      <alignment horizontal="center" vertical="center" wrapText="1"/>
    </xf>
    <xf numFmtId="0" fontId="83" fillId="0" borderId="39" xfId="165" applyFont="1" applyBorder="1" applyAlignment="1">
      <alignment horizontal="left" vertical="center" wrapText="1"/>
    </xf>
    <xf numFmtId="0" fontId="83" fillId="0" borderId="0" xfId="165" applyFont="1" applyAlignment="1">
      <alignment horizontal="left" vertical="center"/>
    </xf>
    <xf numFmtId="49" fontId="3" fillId="3" borderId="45" xfId="3" applyNumberFormat="1" applyFill="1" applyBorder="1" applyAlignment="1">
      <alignment vertical="center" wrapText="1"/>
    </xf>
    <xf numFmtId="49" fontId="3" fillId="3" borderId="44" xfId="3" applyNumberFormat="1" applyFill="1" applyBorder="1" applyAlignment="1">
      <alignment vertical="center" wrapText="1"/>
    </xf>
    <xf numFmtId="0" fontId="65" fillId="0" borderId="45" xfId="0" applyFont="1" applyBorder="1" applyAlignment="1">
      <alignment horizontal="left"/>
    </xf>
    <xf numFmtId="0" fontId="83" fillId="0" borderId="87" xfId="0" applyFont="1" applyBorder="1" applyAlignment="1">
      <alignment vertical="center" wrapText="1"/>
    </xf>
    <xf numFmtId="0" fontId="55" fillId="0" borderId="39" xfId="0" applyFont="1" applyBorder="1"/>
    <xf numFmtId="0" fontId="3" fillId="3" borderId="39" xfId="166" applyNumberFormat="1" applyFont="1" applyFill="1" applyBorder="1" applyAlignment="1">
      <alignment horizontal="center" vertical="center"/>
    </xf>
    <xf numFmtId="0" fontId="3" fillId="3" borderId="39" xfId="166" applyNumberFormat="1" applyFont="1" applyFill="1" applyBorder="1" applyAlignment="1"/>
    <xf numFmtId="0" fontId="3" fillId="3" borderId="39" xfId="166" applyNumberFormat="1" applyFont="1" applyFill="1" applyBorder="1" applyAlignment="1">
      <alignment vertical="center"/>
    </xf>
    <xf numFmtId="164" fontId="3" fillId="3" borderId="39" xfId="169" applyFont="1" applyFill="1" applyBorder="1" applyAlignment="1">
      <alignment horizontal="center" vertical="center"/>
    </xf>
    <xf numFmtId="164" fontId="3" fillId="3" borderId="39" xfId="169" applyFont="1" applyFill="1" applyBorder="1" applyAlignment="1">
      <alignment horizontal="center"/>
    </xf>
    <xf numFmtId="187" fontId="3" fillId="3" borderId="39" xfId="3" applyNumberFormat="1" applyFill="1" applyBorder="1" applyAlignment="1">
      <alignment vertical="center"/>
    </xf>
    <xf numFmtId="0" fontId="65" fillId="27" borderId="44" xfId="3" applyFont="1" applyFill="1" applyBorder="1" applyAlignment="1">
      <alignment horizontal="center" vertical="center"/>
    </xf>
    <xf numFmtId="164" fontId="65" fillId="0" borderId="39" xfId="169" applyFont="1" applyFill="1" applyBorder="1"/>
    <xf numFmtId="2" fontId="65" fillId="0" borderId="125" xfId="0" applyNumberFormat="1" applyFont="1" applyBorder="1" applyAlignment="1">
      <alignment horizontal="center" vertical="center"/>
    </xf>
    <xf numFmtId="44" fontId="65" fillId="27" borderId="45" xfId="3" applyNumberFormat="1" applyFont="1" applyFill="1" applyBorder="1" applyAlignment="1">
      <alignment horizontal="center" vertical="center"/>
    </xf>
    <xf numFmtId="44" fontId="65" fillId="27" borderId="76" xfId="3" applyNumberFormat="1" applyFont="1" applyFill="1" applyBorder="1" applyAlignment="1">
      <alignment horizontal="center" vertical="center"/>
    </xf>
    <xf numFmtId="190" fontId="65" fillId="0" borderId="125" xfId="0" applyNumberFormat="1" applyFont="1" applyBorder="1" applyAlignment="1">
      <alignment horizontal="center" vertical="center"/>
    </xf>
    <xf numFmtId="164" fontId="65" fillId="0" borderId="126" xfId="169" applyFont="1" applyBorder="1"/>
    <xf numFmtId="181" fontId="65" fillId="3" borderId="44" xfId="3" applyNumberFormat="1" applyFont="1" applyFill="1" applyBorder="1" applyAlignment="1">
      <alignment horizontal="center"/>
    </xf>
    <xf numFmtId="164" fontId="65" fillId="0" borderId="125" xfId="169" applyFont="1" applyBorder="1"/>
    <xf numFmtId="183" fontId="65" fillId="0" borderId="125" xfId="0" applyNumberFormat="1" applyFont="1" applyBorder="1" applyAlignment="1">
      <alignment horizontal="center" vertical="center"/>
    </xf>
    <xf numFmtId="42" fontId="65" fillId="3" borderId="39" xfId="166" applyFont="1" applyFill="1" applyBorder="1" applyAlignment="1"/>
    <xf numFmtId="185" fontId="65" fillId="3" borderId="39" xfId="167" applyNumberFormat="1" applyFont="1" applyFill="1" applyBorder="1" applyAlignment="1">
      <alignment horizontal="center"/>
    </xf>
    <xf numFmtId="187" fontId="65" fillId="3" borderId="39" xfId="169" applyNumberFormat="1" applyFont="1" applyFill="1" applyBorder="1" applyAlignment="1">
      <alignment horizontal="center"/>
    </xf>
    <xf numFmtId="187" fontId="65" fillId="3" borderId="39" xfId="3" applyNumberFormat="1" applyFont="1" applyFill="1" applyBorder="1"/>
    <xf numFmtId="187" fontId="7" fillId="3" borderId="39" xfId="169" applyNumberFormat="1" applyFont="1" applyFill="1" applyBorder="1" applyAlignment="1"/>
    <xf numFmtId="166" fontId="45" fillId="3" borderId="0" xfId="3" applyNumberFormat="1" applyFont="1" applyFill="1" applyAlignment="1">
      <alignment horizontal="center"/>
    </xf>
    <xf numFmtId="166" fontId="7" fillId="3" borderId="0" xfId="3" applyNumberFormat="1" applyFont="1" applyFill="1"/>
    <xf numFmtId="0" fontId="7" fillId="3" borderId="85" xfId="3" applyFont="1" applyFill="1" applyBorder="1"/>
    <xf numFmtId="187" fontId="7" fillId="3" borderId="39" xfId="169" applyNumberFormat="1" applyFont="1" applyFill="1" applyBorder="1" applyAlignment="1">
      <alignment horizontal="center"/>
    </xf>
    <xf numFmtId="0" fontId="7" fillId="3" borderId="39" xfId="3" applyFont="1" applyFill="1" applyBorder="1"/>
    <xf numFmtId="0" fontId="7" fillId="3" borderId="39" xfId="3" applyFont="1" applyFill="1" applyBorder="1" applyAlignment="1">
      <alignment horizontal="center"/>
    </xf>
    <xf numFmtId="165" fontId="7" fillId="27" borderId="39" xfId="168" applyFont="1" applyFill="1" applyBorder="1"/>
    <xf numFmtId="166" fontId="7" fillId="3" borderId="39" xfId="54" applyFont="1" applyFill="1" applyBorder="1"/>
    <xf numFmtId="165" fontId="7" fillId="3" borderId="39" xfId="168" applyFont="1" applyFill="1" applyBorder="1"/>
    <xf numFmtId="187" fontId="45" fillId="27" borderId="39" xfId="169" applyNumberFormat="1" applyFont="1" applyFill="1" applyBorder="1"/>
    <xf numFmtId="0" fontId="45" fillId="30" borderId="39" xfId="3" applyFont="1" applyFill="1" applyBorder="1" applyAlignment="1">
      <alignment horizontal="center"/>
    </xf>
    <xf numFmtId="165" fontId="45" fillId="30" borderId="39" xfId="168" quotePrefix="1" applyFont="1" applyFill="1" applyBorder="1" applyAlignment="1">
      <alignment horizontal="center"/>
    </xf>
    <xf numFmtId="166" fontId="45" fillId="30" borderId="39" xfId="3" applyNumberFormat="1" applyFont="1" applyFill="1" applyBorder="1" applyAlignment="1">
      <alignment horizontal="center"/>
    </xf>
    <xf numFmtId="187" fontId="45" fillId="30" borderId="39" xfId="169" quotePrefix="1" applyNumberFormat="1" applyFont="1" applyFill="1" applyBorder="1" applyAlignment="1">
      <alignment horizontal="center"/>
    </xf>
    <xf numFmtId="187" fontId="7" fillId="3" borderId="39" xfId="169" applyNumberFormat="1" applyFont="1" applyFill="1" applyBorder="1"/>
    <xf numFmtId="166" fontId="3" fillId="3" borderId="0" xfId="3" applyNumberFormat="1" applyFill="1" applyAlignment="1">
      <alignment horizontal="center"/>
    </xf>
    <xf numFmtId="187" fontId="3" fillId="3" borderId="39" xfId="3" applyNumberFormat="1" applyFill="1" applyBorder="1" applyAlignment="1">
      <alignment horizontal="center" vertical="center"/>
    </xf>
    <xf numFmtId="164" fontId="3" fillId="27" borderId="39" xfId="169" applyFont="1" applyFill="1" applyBorder="1" applyAlignment="1">
      <alignment horizontal="center" vertical="center"/>
    </xf>
    <xf numFmtId="192" fontId="3" fillId="27" borderId="39" xfId="168" applyNumberFormat="1" applyFont="1" applyFill="1" applyBorder="1" applyAlignment="1">
      <alignment horizontal="center" vertical="center"/>
    </xf>
    <xf numFmtId="165" fontId="3" fillId="27" borderId="39" xfId="168" applyFont="1" applyFill="1" applyBorder="1" applyAlignment="1">
      <alignment horizontal="center" vertical="center"/>
    </xf>
    <xf numFmtId="192" fontId="57" fillId="30" borderId="39" xfId="168" applyNumberFormat="1" applyFont="1" applyFill="1" applyBorder="1" applyAlignment="1">
      <alignment horizontal="center" vertical="center"/>
    </xf>
    <xf numFmtId="0" fontId="3" fillId="27" borderId="45" xfId="3" applyFill="1" applyBorder="1" applyAlignment="1">
      <alignment horizontal="left" vertical="center"/>
    </xf>
    <xf numFmtId="0" fontId="3" fillId="27" borderId="44" xfId="3" applyFill="1" applyBorder="1" applyAlignment="1">
      <alignment horizontal="center" vertical="center"/>
    </xf>
    <xf numFmtId="0" fontId="3" fillId="27" borderId="39" xfId="3" applyFill="1" applyBorder="1" applyAlignment="1">
      <alignment horizontal="center" vertical="center"/>
    </xf>
    <xf numFmtId="44" fontId="3" fillId="27" borderId="45" xfId="3" applyNumberFormat="1" applyFill="1" applyBorder="1" applyAlignment="1">
      <alignment horizontal="center" vertical="center"/>
    </xf>
    <xf numFmtId="44" fontId="3" fillId="27" borderId="76" xfId="3" applyNumberFormat="1" applyFill="1" applyBorder="1" applyAlignment="1">
      <alignment horizontal="center" vertical="center"/>
    </xf>
    <xf numFmtId="0" fontId="65" fillId="0" borderId="127" xfId="0" applyFont="1" applyBorder="1"/>
    <xf numFmtId="0" fontId="65" fillId="0" borderId="125" xfId="0" applyFont="1" applyBorder="1"/>
    <xf numFmtId="0" fontId="65" fillId="0" borderId="128" xfId="0" applyFont="1" applyBorder="1" applyAlignment="1">
      <alignment horizontal="center"/>
    </xf>
    <xf numFmtId="2" fontId="65" fillId="0" borderId="125" xfId="0" applyNumberFormat="1" applyFont="1" applyBorder="1"/>
    <xf numFmtId="0" fontId="3" fillId="0" borderId="44" xfId="0" applyFont="1" applyBorder="1" applyAlignment="1">
      <alignment horizontal="left"/>
    </xf>
    <xf numFmtId="0" fontId="55" fillId="0" borderId="85" xfId="0" applyFont="1" applyBorder="1"/>
    <xf numFmtId="0" fontId="55" fillId="0" borderId="47" xfId="0" applyFont="1" applyBorder="1"/>
    <xf numFmtId="0" fontId="55" fillId="0" borderId="48" xfId="0" applyFont="1" applyBorder="1"/>
    <xf numFmtId="0" fontId="55" fillId="0" borderId="86" xfId="0" applyFont="1" applyBorder="1"/>
    <xf numFmtId="0" fontId="57" fillId="3" borderId="0" xfId="3" applyFont="1" applyFill="1" applyAlignment="1">
      <alignment vertical="center"/>
    </xf>
    <xf numFmtId="187" fontId="57" fillId="30" borderId="85" xfId="169" applyNumberFormat="1" applyFont="1" applyFill="1" applyBorder="1" applyAlignment="1">
      <alignment vertical="center"/>
    </xf>
    <xf numFmtId="0" fontId="55" fillId="0" borderId="88" xfId="0" applyFont="1" applyBorder="1"/>
    <xf numFmtId="0" fontId="57" fillId="3" borderId="0" xfId="3" applyFont="1" applyFill="1" applyAlignment="1">
      <alignment horizontal="center" vertical="center"/>
    </xf>
    <xf numFmtId="43" fontId="3" fillId="3" borderId="39" xfId="169" applyNumberFormat="1" applyFont="1" applyFill="1" applyBorder="1" applyAlignment="1">
      <alignment horizontal="center" vertical="center"/>
    </xf>
    <xf numFmtId="0" fontId="46" fillId="0" borderId="0" xfId="178" applyFont="1" applyAlignment="1">
      <alignment horizontal="center" vertical="center"/>
    </xf>
    <xf numFmtId="0" fontId="85" fillId="0" borderId="0" xfId="0" applyFont="1" applyAlignment="1">
      <alignment horizontal="left" vertical="center"/>
    </xf>
    <xf numFmtId="186" fontId="57" fillId="0" borderId="39" xfId="2" applyNumberFormat="1" applyFont="1" applyFill="1" applyBorder="1" applyAlignment="1" applyProtection="1">
      <alignment vertical="center" wrapText="1"/>
      <protection hidden="1"/>
    </xf>
    <xf numFmtId="0" fontId="86" fillId="0" borderId="0" xfId="184" applyFont="1" applyAlignment="1">
      <alignment vertical="center"/>
    </xf>
    <xf numFmtId="0" fontId="54" fillId="27" borderId="0" xfId="0" applyFont="1" applyFill="1" applyAlignment="1">
      <alignment horizontal="center" vertical="center"/>
    </xf>
    <xf numFmtId="0" fontId="81" fillId="0" borderId="0" xfId="186" applyFont="1" applyAlignment="1">
      <alignment vertical="center" wrapText="1"/>
    </xf>
    <xf numFmtId="0" fontId="65" fillId="0" borderId="45" xfId="0" applyFont="1" applyBorder="1" applyAlignment="1">
      <alignment horizontal="center" wrapText="1"/>
    </xf>
    <xf numFmtId="0" fontId="65" fillId="0" borderId="44" xfId="0" applyFont="1" applyBorder="1" applyAlignment="1">
      <alignment horizontal="center" wrapText="1"/>
    </xf>
    <xf numFmtId="16" fontId="55" fillId="0" borderId="0" xfId="0" applyNumberFormat="1" applyFont="1"/>
    <xf numFmtId="17" fontId="55" fillId="0" borderId="0" xfId="0" applyNumberFormat="1" applyFont="1"/>
    <xf numFmtId="0" fontId="3" fillId="3" borderId="39" xfId="166" applyNumberFormat="1" applyFont="1" applyFill="1" applyBorder="1" applyAlignment="1">
      <alignment horizontal="center"/>
    </xf>
    <xf numFmtId="164" fontId="65" fillId="0" borderId="39" xfId="169" applyFont="1" applyFill="1" applyBorder="1" applyAlignment="1">
      <alignment vertical="center" wrapText="1"/>
    </xf>
    <xf numFmtId="187" fontId="57" fillId="30" borderId="76" xfId="169" applyNumberFormat="1" applyFont="1" applyFill="1" applyBorder="1" applyAlignment="1">
      <alignment vertical="center"/>
    </xf>
    <xf numFmtId="187" fontId="57" fillId="0" borderId="0" xfId="169" applyNumberFormat="1" applyFont="1" applyFill="1" applyBorder="1" applyAlignment="1">
      <alignment vertical="center"/>
    </xf>
    <xf numFmtId="187" fontId="57" fillId="0" borderId="88" xfId="169" applyNumberFormat="1" applyFont="1" applyFill="1" applyBorder="1" applyAlignment="1">
      <alignment vertical="center"/>
    </xf>
    <xf numFmtId="0" fontId="3" fillId="27" borderId="45" xfId="3" applyFill="1" applyBorder="1" applyAlignment="1">
      <alignment horizontal="left" vertical="center" wrapText="1"/>
    </xf>
    <xf numFmtId="0" fontId="3" fillId="27" borderId="44" xfId="3" applyFill="1" applyBorder="1" applyAlignment="1">
      <alignment horizontal="left" vertical="center" wrapText="1"/>
    </xf>
    <xf numFmtId="164" fontId="3" fillId="27" borderId="45" xfId="169" applyFont="1" applyFill="1" applyBorder="1" applyAlignment="1">
      <alignment horizontal="center" vertical="center"/>
    </xf>
    <xf numFmtId="183" fontId="65" fillId="0" borderId="0" xfId="0" applyNumberFormat="1" applyFont="1" applyAlignment="1">
      <alignment horizontal="center"/>
    </xf>
    <xf numFmtId="42" fontId="3" fillId="27" borderId="39" xfId="166" applyFont="1" applyFill="1" applyBorder="1" applyAlignment="1"/>
    <xf numFmtId="187" fontId="3" fillId="27" borderId="39" xfId="169" applyNumberFormat="1" applyFont="1" applyFill="1" applyBorder="1" applyAlignment="1">
      <alignment horizontal="center"/>
    </xf>
    <xf numFmtId="9" fontId="3" fillId="27" borderId="39" xfId="175" applyFont="1" applyFill="1" applyBorder="1" applyAlignment="1">
      <alignment horizontal="center"/>
    </xf>
    <xf numFmtId="0" fontId="3" fillId="27" borderId="45" xfId="3" applyFill="1" applyBorder="1" applyAlignment="1">
      <alignment horizontal="center" vertical="center" wrapText="1"/>
    </xf>
    <xf numFmtId="164" fontId="3" fillId="27" borderId="76" xfId="3" applyNumberFormat="1" applyFill="1" applyBorder="1" applyAlignment="1">
      <alignment horizontal="center" vertical="center"/>
    </xf>
    <xf numFmtId="181" fontId="3" fillId="27" borderId="39" xfId="3" applyNumberFormat="1" applyFill="1" applyBorder="1" applyAlignment="1">
      <alignment horizontal="center"/>
    </xf>
    <xf numFmtId="0" fontId="65" fillId="0" borderId="0" xfId="0" applyFont="1"/>
    <xf numFmtId="187" fontId="3" fillId="27" borderId="39" xfId="3" applyNumberFormat="1" applyFill="1" applyBorder="1"/>
    <xf numFmtId="0" fontId="57" fillId="0" borderId="0" xfId="186" applyFont="1" applyAlignment="1">
      <alignment vertical="center" wrapText="1"/>
    </xf>
    <xf numFmtId="0" fontId="87" fillId="0" borderId="0" xfId="184" applyFont="1" applyAlignment="1">
      <alignment vertical="center"/>
    </xf>
    <xf numFmtId="0" fontId="69" fillId="0" borderId="0" xfId="0" applyFont="1" applyAlignment="1">
      <alignment horizontal="left" vertical="center"/>
    </xf>
    <xf numFmtId="0" fontId="65" fillId="0" borderId="0" xfId="178" applyFont="1" applyAlignment="1">
      <alignment horizontal="center" vertical="center"/>
    </xf>
    <xf numFmtId="0" fontId="70" fillId="0" borderId="0" xfId="0" applyFont="1" applyAlignment="1">
      <alignment vertical="center"/>
    </xf>
    <xf numFmtId="0" fontId="64" fillId="27" borderId="0" xfId="0" applyFont="1" applyFill="1" applyAlignment="1">
      <alignment horizontal="center" vertical="center"/>
    </xf>
    <xf numFmtId="2" fontId="3" fillId="0" borderId="39" xfId="3" applyNumberFormat="1" applyBorder="1" applyAlignment="1">
      <alignment horizontal="center" vertical="center"/>
    </xf>
    <xf numFmtId="2" fontId="3" fillId="27" borderId="39" xfId="3" applyNumberFormat="1" applyFill="1" applyBorder="1" applyAlignment="1">
      <alignment horizontal="center" vertical="center"/>
    </xf>
    <xf numFmtId="44" fontId="3" fillId="0" borderId="45" xfId="3" applyNumberFormat="1" applyBorder="1" applyAlignment="1">
      <alignment horizontal="center" vertical="center"/>
    </xf>
    <xf numFmtId="44" fontId="3" fillId="0" borderId="76" xfId="3" applyNumberFormat="1" applyBorder="1" applyAlignment="1">
      <alignment horizontal="center" vertical="center"/>
    </xf>
    <xf numFmtId="187" fontId="3" fillId="27" borderId="51" xfId="169" applyNumberFormat="1" applyFont="1" applyFill="1" applyBorder="1" applyAlignment="1">
      <alignment vertical="center"/>
    </xf>
    <xf numFmtId="164" fontId="55" fillId="0" borderId="0" xfId="169" applyFont="1"/>
    <xf numFmtId="0" fontId="65" fillId="0" borderId="39" xfId="0" applyFont="1" applyBorder="1" applyAlignment="1">
      <alignment vertical="center" wrapText="1"/>
    </xf>
    <xf numFmtId="164" fontId="65" fillId="0" borderId="39" xfId="0" applyNumberFormat="1" applyFont="1" applyBorder="1" applyAlignment="1">
      <alignment vertical="center" wrapText="1"/>
    </xf>
    <xf numFmtId="0" fontId="3" fillId="0" borderId="46" xfId="3" applyBorder="1" applyAlignment="1">
      <alignment horizontal="center" vertical="center" wrapText="1"/>
    </xf>
    <xf numFmtId="0" fontId="3" fillId="0" borderId="46" xfId="3" applyBorder="1" applyAlignment="1">
      <alignment vertical="center" wrapText="1"/>
    </xf>
    <xf numFmtId="0" fontId="3" fillId="0" borderId="44" xfId="3" applyBorder="1" applyAlignment="1">
      <alignment vertical="center" wrapText="1"/>
    </xf>
    <xf numFmtId="0" fontId="57" fillId="0" borderId="45" xfId="3" applyFont="1" applyBorder="1" applyAlignment="1">
      <alignment vertical="center" wrapText="1"/>
    </xf>
    <xf numFmtId="2" fontId="3" fillId="0" borderId="46" xfId="3" applyNumberFormat="1" applyBorder="1" applyAlignment="1">
      <alignment vertical="center" wrapText="1"/>
    </xf>
    <xf numFmtId="0" fontId="36" fillId="0" borderId="45" xfId="0" applyFont="1" applyBorder="1" applyAlignment="1">
      <alignment horizontal="left" vertical="center"/>
    </xf>
    <xf numFmtId="0" fontId="36" fillId="0" borderId="46" xfId="0" applyFont="1" applyBorder="1" applyAlignment="1">
      <alignment horizontal="left" vertical="center"/>
    </xf>
    <xf numFmtId="0" fontId="36" fillId="0" borderId="44" xfId="0" applyFont="1" applyBorder="1" applyAlignment="1">
      <alignment horizontal="left" vertical="center"/>
    </xf>
    <xf numFmtId="0" fontId="33" fillId="27" borderId="45" xfId="0" applyFont="1" applyFill="1" applyBorder="1" applyAlignment="1">
      <alignment horizontal="center" vertical="center" wrapText="1"/>
    </xf>
    <xf numFmtId="0" fontId="33" fillId="27" borderId="46" xfId="0" applyFont="1" applyFill="1" applyBorder="1" applyAlignment="1">
      <alignment horizontal="center" vertical="center" wrapText="1"/>
    </xf>
    <xf numFmtId="0" fontId="33" fillId="27" borderId="44" xfId="0" applyFont="1" applyFill="1" applyBorder="1" applyAlignment="1">
      <alignment horizontal="center" vertical="center" wrapText="1"/>
    </xf>
    <xf numFmtId="0" fontId="31" fillId="27" borderId="0" xfId="0" applyFont="1" applyFill="1" applyAlignment="1">
      <alignment vertical="center"/>
    </xf>
    <xf numFmtId="0" fontId="31" fillId="27" borderId="28" xfId="0" applyFont="1" applyFill="1" applyBorder="1" applyAlignment="1">
      <alignment vertical="center"/>
    </xf>
    <xf numFmtId="0" fontId="36" fillId="0" borderId="47" xfId="0" applyFont="1" applyBorder="1" applyAlignment="1">
      <alignment horizontal="left" vertical="center"/>
    </xf>
    <xf numFmtId="0" fontId="36" fillId="0" borderId="48" xfId="0" applyFont="1" applyBorder="1" applyAlignment="1">
      <alignment horizontal="left" vertical="center"/>
    </xf>
    <xf numFmtId="0" fontId="29" fillId="26" borderId="11" xfId="3" applyFont="1" applyFill="1" applyBorder="1" applyAlignment="1">
      <alignment horizontal="center" vertical="center" wrapText="1"/>
    </xf>
    <xf numFmtId="0" fontId="29" fillId="26" borderId="12" xfId="3" applyFont="1" applyFill="1" applyBorder="1" applyAlignment="1">
      <alignment horizontal="center" vertical="center" wrapText="1"/>
    </xf>
    <xf numFmtId="0" fontId="29" fillId="26" borderId="13" xfId="3" applyFont="1" applyFill="1" applyBorder="1" applyAlignment="1">
      <alignment horizontal="center" vertical="center" wrapText="1"/>
    </xf>
    <xf numFmtId="0" fontId="29" fillId="26" borderId="11" xfId="3" applyFont="1" applyFill="1" applyBorder="1" applyAlignment="1">
      <alignment horizontal="center" vertical="center"/>
    </xf>
    <xf numFmtId="0" fontId="29" fillId="26" borderId="12" xfId="3" applyFont="1" applyFill="1" applyBorder="1" applyAlignment="1">
      <alignment horizontal="center" vertical="center"/>
    </xf>
    <xf numFmtId="0" fontId="29" fillId="26" borderId="13" xfId="3" applyFont="1" applyFill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64" fillId="0" borderId="87" xfId="0" applyFont="1" applyBorder="1" applyAlignment="1">
      <alignment horizontal="right" vertical="center" wrapText="1"/>
    </xf>
    <xf numFmtId="0" fontId="64" fillId="0" borderId="79" xfId="0" applyFont="1" applyBorder="1" applyAlignment="1">
      <alignment horizontal="right" vertical="center" wrapText="1"/>
    </xf>
    <xf numFmtId="0" fontId="64" fillId="0" borderId="88" xfId="0" applyFont="1" applyBorder="1" applyAlignment="1">
      <alignment horizontal="right" vertical="center" wrapText="1"/>
    </xf>
    <xf numFmtId="0" fontId="63" fillId="30" borderId="49" xfId="0" applyFont="1" applyFill="1" applyBorder="1" applyAlignment="1">
      <alignment horizontal="left" vertical="center"/>
    </xf>
    <xf numFmtId="0" fontId="63" fillId="30" borderId="50" xfId="0" applyFont="1" applyFill="1" applyBorder="1" applyAlignment="1">
      <alignment horizontal="left" vertical="center"/>
    </xf>
    <xf numFmtId="0" fontId="63" fillId="30" borderId="63" xfId="0" applyFont="1" applyFill="1" applyBorder="1" applyAlignment="1">
      <alignment horizontal="left" vertical="center"/>
    </xf>
    <xf numFmtId="39" fontId="63" fillId="40" borderId="49" xfId="3" applyNumberFormat="1" applyFont="1" applyFill="1" applyBorder="1" applyAlignment="1">
      <alignment horizontal="center" vertical="center" wrapText="1"/>
    </xf>
    <xf numFmtId="39" fontId="63" fillId="40" borderId="50" xfId="3" applyNumberFormat="1" applyFont="1" applyFill="1" applyBorder="1" applyAlignment="1">
      <alignment horizontal="center" vertical="center" wrapText="1"/>
    </xf>
    <xf numFmtId="0" fontId="29" fillId="0" borderId="45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9" fillId="0" borderId="44" xfId="0" applyFont="1" applyBorder="1" applyAlignment="1">
      <alignment horizontal="left" vertical="center"/>
    </xf>
    <xf numFmtId="0" fontId="29" fillId="0" borderId="122" xfId="0" applyFont="1" applyBorder="1" applyAlignment="1">
      <alignment horizontal="left" vertical="center"/>
    </xf>
    <xf numFmtId="0" fontId="29" fillId="0" borderId="123" xfId="0" applyFont="1" applyBorder="1" applyAlignment="1">
      <alignment horizontal="left" vertical="center"/>
    </xf>
    <xf numFmtId="0" fontId="29" fillId="0" borderId="124" xfId="0" applyFont="1" applyBorder="1" applyAlignment="1">
      <alignment horizontal="left" vertical="center"/>
    </xf>
    <xf numFmtId="0" fontId="64" fillId="0" borderId="87" xfId="0" applyFont="1" applyBorder="1" applyAlignment="1">
      <alignment horizontal="right" wrapText="1"/>
    </xf>
    <xf numFmtId="0" fontId="64" fillId="0" borderId="79" xfId="0" applyFont="1" applyBorder="1" applyAlignment="1">
      <alignment horizontal="right" wrapText="1"/>
    </xf>
    <xf numFmtId="0" fontId="64" fillId="0" borderId="88" xfId="0" applyFont="1" applyBorder="1" applyAlignment="1">
      <alignment horizontal="right" wrapText="1"/>
    </xf>
    <xf numFmtId="49" fontId="3" fillId="3" borderId="45" xfId="3" applyNumberFormat="1" applyFill="1" applyBorder="1" applyAlignment="1">
      <alignment vertical="center" wrapText="1"/>
    </xf>
    <xf numFmtId="49" fontId="3" fillId="3" borderId="44" xfId="3" applyNumberFormat="1" applyFill="1" applyBorder="1" applyAlignment="1">
      <alignment vertical="center" wrapText="1"/>
    </xf>
    <xf numFmtId="0" fontId="65" fillId="0" borderId="45" xfId="0" applyFont="1" applyBorder="1" applyAlignment="1">
      <alignment horizontal="left"/>
    </xf>
    <xf numFmtId="0" fontId="65" fillId="0" borderId="44" xfId="0" applyFont="1" applyBorder="1" applyAlignment="1">
      <alignment horizontal="left"/>
    </xf>
    <xf numFmtId="0" fontId="65" fillId="0" borderId="39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57" fillId="30" borderId="45" xfId="3" applyFont="1" applyFill="1" applyBorder="1" applyAlignment="1">
      <alignment horizontal="center" vertical="center"/>
    </xf>
    <xf numFmtId="0" fontId="57" fillId="30" borderId="44" xfId="3" applyFont="1" applyFill="1" applyBorder="1" applyAlignment="1">
      <alignment horizontal="center" vertical="center"/>
    </xf>
    <xf numFmtId="0" fontId="3" fillId="3" borderId="45" xfId="3" applyFill="1" applyBorder="1" applyAlignment="1">
      <alignment horizontal="left" vertical="center"/>
    </xf>
    <xf numFmtId="0" fontId="3" fillId="3" borderId="44" xfId="3" applyFill="1" applyBorder="1" applyAlignment="1">
      <alignment horizontal="left" vertical="center"/>
    </xf>
    <xf numFmtId="0" fontId="65" fillId="0" borderId="45" xfId="0" applyFont="1" applyBorder="1" applyAlignment="1">
      <alignment horizontal="left" wrapText="1"/>
    </xf>
    <xf numFmtId="0" fontId="65" fillId="0" borderId="44" xfId="0" applyFont="1" applyBorder="1" applyAlignment="1">
      <alignment horizontal="left" wrapText="1"/>
    </xf>
    <xf numFmtId="0" fontId="63" fillId="0" borderId="45" xfId="131" applyFont="1" applyBorder="1" applyAlignment="1">
      <alignment horizontal="center" vertical="center"/>
    </xf>
    <xf numFmtId="0" fontId="63" fillId="0" borderId="46" xfId="131" applyFont="1" applyBorder="1" applyAlignment="1">
      <alignment horizontal="center" vertical="center"/>
    </xf>
    <xf numFmtId="0" fontId="63" fillId="0" borderId="44" xfId="131" applyFont="1" applyBorder="1" applyAlignment="1">
      <alignment horizontal="center" vertical="center"/>
    </xf>
    <xf numFmtId="39" fontId="57" fillId="0" borderId="87" xfId="131" applyNumberFormat="1" applyFont="1" applyBorder="1" applyAlignment="1">
      <alignment horizontal="center" vertical="center" wrapText="1"/>
    </xf>
    <xf numFmtId="0" fontId="57" fillId="0" borderId="79" xfId="131" applyFont="1" applyBorder="1" applyAlignment="1">
      <alignment horizontal="center" vertical="center" wrapText="1"/>
    </xf>
    <xf numFmtId="0" fontId="57" fillId="0" borderId="88" xfId="131" applyFont="1" applyBorder="1" applyAlignment="1">
      <alignment horizontal="center" vertical="center" wrapText="1"/>
    </xf>
    <xf numFmtId="0" fontId="57" fillId="0" borderId="81" xfId="131" applyFont="1" applyBorder="1" applyAlignment="1">
      <alignment horizontal="center" vertical="center" wrapText="1"/>
    </xf>
    <xf numFmtId="0" fontId="57" fillId="0" borderId="0" xfId="131" applyFont="1" applyAlignment="1">
      <alignment horizontal="center" vertical="center" wrapText="1"/>
    </xf>
    <xf numFmtId="0" fontId="57" fillId="0" borderId="85" xfId="131" applyFont="1" applyBorder="1" applyAlignment="1">
      <alignment horizontal="center" vertical="center" wrapText="1"/>
    </xf>
    <xf numFmtId="0" fontId="57" fillId="0" borderId="47" xfId="131" applyFont="1" applyBorder="1" applyAlignment="1">
      <alignment horizontal="center" vertical="center" wrapText="1"/>
    </xf>
    <xf numFmtId="0" fontId="57" fillId="0" borderId="48" xfId="131" applyFont="1" applyBorder="1" applyAlignment="1">
      <alignment horizontal="center" vertical="center" wrapText="1"/>
    </xf>
    <xf numFmtId="0" fontId="57" fillId="0" borderId="86" xfId="131" applyFont="1" applyBorder="1" applyAlignment="1">
      <alignment horizontal="center" vertical="center" wrapText="1"/>
    </xf>
    <xf numFmtId="0" fontId="57" fillId="33" borderId="87" xfId="3" applyFont="1" applyFill="1" applyBorder="1" applyAlignment="1">
      <alignment horizontal="left" vertical="center" wrapText="1"/>
    </xf>
    <xf numFmtId="0" fontId="57" fillId="33" borderId="79" xfId="3" applyFont="1" applyFill="1" applyBorder="1" applyAlignment="1">
      <alignment horizontal="left" vertical="center" wrapText="1"/>
    </xf>
    <xf numFmtId="0" fontId="57" fillId="33" borderId="88" xfId="3" applyFont="1" applyFill="1" applyBorder="1" applyAlignment="1">
      <alignment horizontal="left" vertical="center" wrapText="1"/>
    </xf>
    <xf numFmtId="0" fontId="57" fillId="33" borderId="81" xfId="3" applyFont="1" applyFill="1" applyBorder="1" applyAlignment="1">
      <alignment horizontal="left" vertical="center" wrapText="1"/>
    </xf>
    <xf numFmtId="0" fontId="57" fillId="33" borderId="0" xfId="3" applyFont="1" applyFill="1" applyAlignment="1">
      <alignment horizontal="left" vertical="center" wrapText="1"/>
    </xf>
    <xf numFmtId="0" fontId="57" fillId="33" borderId="85" xfId="3" applyFont="1" applyFill="1" applyBorder="1" applyAlignment="1">
      <alignment horizontal="left" vertical="center" wrapText="1"/>
    </xf>
    <xf numFmtId="0" fontId="57" fillId="33" borderId="47" xfId="3" applyFont="1" applyFill="1" applyBorder="1" applyAlignment="1">
      <alignment horizontal="left" vertical="center" wrapText="1"/>
    </xf>
    <xf numFmtId="0" fontId="57" fillId="33" borderId="48" xfId="3" applyFont="1" applyFill="1" applyBorder="1" applyAlignment="1">
      <alignment horizontal="left" vertical="center" wrapText="1"/>
    </xf>
    <xf numFmtId="0" fontId="57" fillId="33" borderId="86" xfId="3" applyFont="1" applyFill="1" applyBorder="1" applyAlignment="1">
      <alignment horizontal="left" vertical="center" wrapText="1"/>
    </xf>
    <xf numFmtId="187" fontId="57" fillId="0" borderId="87" xfId="169" applyNumberFormat="1" applyFont="1" applyFill="1" applyBorder="1" applyAlignment="1">
      <alignment horizontal="center" vertical="center" wrapText="1"/>
    </xf>
    <xf numFmtId="187" fontId="57" fillId="0" borderId="88" xfId="169" applyNumberFormat="1" applyFont="1" applyFill="1" applyBorder="1" applyAlignment="1">
      <alignment horizontal="center" vertical="center" wrapText="1"/>
    </xf>
    <xf numFmtId="187" fontId="57" fillId="0" borderId="81" xfId="169" applyNumberFormat="1" applyFont="1" applyFill="1" applyBorder="1" applyAlignment="1">
      <alignment horizontal="center" vertical="center" wrapText="1"/>
    </xf>
    <xf numFmtId="187" fontId="57" fillId="0" borderId="85" xfId="169" applyNumberFormat="1" applyFont="1" applyFill="1" applyBorder="1" applyAlignment="1">
      <alignment horizontal="center" vertical="center" wrapText="1"/>
    </xf>
    <xf numFmtId="187" fontId="57" fillId="0" borderId="47" xfId="169" applyNumberFormat="1" applyFont="1" applyFill="1" applyBorder="1" applyAlignment="1">
      <alignment horizontal="center" vertical="center" wrapText="1"/>
    </xf>
    <xf numFmtId="187" fontId="57" fillId="0" borderId="86" xfId="169" applyNumberFormat="1" applyFont="1" applyFill="1" applyBorder="1" applyAlignment="1">
      <alignment horizontal="center" vertical="center" wrapText="1"/>
    </xf>
    <xf numFmtId="0" fontId="3" fillId="27" borderId="45" xfId="3" applyFill="1" applyBorder="1" applyAlignment="1">
      <alignment horizontal="left" vertical="center"/>
    </xf>
    <xf numFmtId="0" fontId="3" fillId="27" borderId="44" xfId="3" applyFill="1" applyBorder="1" applyAlignment="1">
      <alignment horizontal="left" vertical="center"/>
    </xf>
    <xf numFmtId="0" fontId="3" fillId="3" borderId="39" xfId="3" applyFill="1" applyBorder="1" applyAlignment="1">
      <alignment horizontal="left" vertical="center" wrapText="1"/>
    </xf>
    <xf numFmtId="0" fontId="3" fillId="3" borderId="45" xfId="3" applyFill="1" applyBorder="1" applyAlignment="1">
      <alignment horizontal="left" vertical="center" wrapText="1"/>
    </xf>
    <xf numFmtId="0" fontId="3" fillId="3" borderId="44" xfId="3" applyFill="1" applyBorder="1" applyAlignment="1">
      <alignment horizontal="left" vertical="center" wrapText="1"/>
    </xf>
    <xf numFmtId="0" fontId="3" fillId="3" borderId="45" xfId="3" applyFill="1" applyBorder="1" applyAlignment="1">
      <alignment horizontal="left"/>
    </xf>
    <xf numFmtId="0" fontId="3" fillId="3" borderId="44" xfId="3" applyFill="1" applyBorder="1" applyAlignment="1">
      <alignment horizontal="left"/>
    </xf>
    <xf numFmtId="3" fontId="3" fillId="3" borderId="45" xfId="3" applyNumberFormat="1" applyFill="1" applyBorder="1" applyAlignment="1">
      <alignment horizontal="left" vertical="center" wrapText="1"/>
    </xf>
    <xf numFmtId="3" fontId="3" fillId="3" borderId="44" xfId="3" applyNumberFormat="1" applyFill="1" applyBorder="1" applyAlignment="1">
      <alignment horizontal="left" vertical="center" wrapText="1"/>
    </xf>
    <xf numFmtId="0" fontId="57" fillId="30" borderId="39" xfId="3" applyFont="1" applyFill="1" applyBorder="1" applyAlignment="1">
      <alignment horizontal="center" vertical="center"/>
    </xf>
    <xf numFmtId="0" fontId="3" fillId="3" borderId="39" xfId="3" applyFill="1" applyBorder="1" applyAlignment="1">
      <alignment horizontal="left"/>
    </xf>
    <xf numFmtId="3" fontId="3" fillId="3" borderId="39" xfId="3" applyNumberFormat="1" applyFill="1" applyBorder="1" applyAlignment="1">
      <alignment horizontal="left" vertical="center" wrapText="1"/>
    </xf>
    <xf numFmtId="0" fontId="3" fillId="3" borderId="39" xfId="3" applyFill="1" applyBorder="1" applyAlignment="1">
      <alignment horizontal="left" vertical="center"/>
    </xf>
    <xf numFmtId="49" fontId="3" fillId="3" borderId="39" xfId="3" applyNumberFormat="1" applyFill="1" applyBorder="1" applyAlignment="1">
      <alignment vertical="center" wrapText="1"/>
    </xf>
    <xf numFmtId="49" fontId="3" fillId="3" borderId="45" xfId="3" applyNumberFormat="1" applyFill="1" applyBorder="1" applyAlignment="1">
      <alignment horizontal="left" vertical="center" wrapText="1"/>
    </xf>
    <xf numFmtId="49" fontId="3" fillId="3" borderId="44" xfId="3" applyNumberFormat="1" applyFill="1" applyBorder="1" applyAlignment="1">
      <alignment horizontal="left" vertical="center" wrapText="1"/>
    </xf>
    <xf numFmtId="0" fontId="63" fillId="0" borderId="39" xfId="131" applyFont="1" applyBorder="1" applyAlignment="1">
      <alignment horizontal="center" vertical="center"/>
    </xf>
    <xf numFmtId="49" fontId="3" fillId="3" borderId="45" xfId="3" applyNumberFormat="1" applyFill="1" applyBorder="1" applyAlignment="1">
      <alignment horizontal="center" vertical="center" wrapText="1"/>
    </xf>
    <xf numFmtId="49" fontId="3" fillId="3" borderId="44" xfId="3" applyNumberFormat="1" applyFill="1" applyBorder="1" applyAlignment="1">
      <alignment horizontal="center" vertical="center" wrapText="1"/>
    </xf>
    <xf numFmtId="0" fontId="7" fillId="3" borderId="39" xfId="3" applyFont="1" applyFill="1" applyBorder="1" applyAlignment="1">
      <alignment horizontal="left" vertical="center" wrapText="1"/>
    </xf>
    <xf numFmtId="0" fontId="3" fillId="3" borderId="39" xfId="3" applyFill="1" applyBorder="1" applyAlignment="1">
      <alignment horizontal="center" vertical="center" wrapText="1"/>
    </xf>
    <xf numFmtId="0" fontId="7" fillId="3" borderId="39" xfId="3" applyFont="1" applyFill="1" applyBorder="1" applyAlignment="1">
      <alignment horizontal="left"/>
    </xf>
    <xf numFmtId="187" fontId="84" fillId="0" borderId="87" xfId="169" applyNumberFormat="1" applyFont="1" applyFill="1" applyBorder="1" applyAlignment="1">
      <alignment horizontal="center" vertical="center" wrapText="1"/>
    </xf>
    <xf numFmtId="187" fontId="84" fillId="0" borderId="88" xfId="169" applyNumberFormat="1" applyFont="1" applyFill="1" applyBorder="1" applyAlignment="1">
      <alignment horizontal="center" vertical="center" wrapText="1"/>
    </xf>
    <xf numFmtId="187" fontId="84" fillId="0" borderId="81" xfId="169" applyNumberFormat="1" applyFont="1" applyFill="1" applyBorder="1" applyAlignment="1">
      <alignment horizontal="center" vertical="center" wrapText="1"/>
    </xf>
    <xf numFmtId="187" fontId="84" fillId="0" borderId="85" xfId="169" applyNumberFormat="1" applyFont="1" applyFill="1" applyBorder="1" applyAlignment="1">
      <alignment horizontal="center" vertical="center" wrapText="1"/>
    </xf>
    <xf numFmtId="187" fontId="84" fillId="0" borderId="47" xfId="169" applyNumberFormat="1" applyFont="1" applyFill="1" applyBorder="1" applyAlignment="1">
      <alignment horizontal="center" vertical="center" wrapText="1"/>
    </xf>
    <xf numFmtId="187" fontId="84" fillId="0" borderId="86" xfId="169" applyNumberFormat="1" applyFont="1" applyFill="1" applyBorder="1" applyAlignment="1">
      <alignment horizontal="center" vertical="center" wrapText="1"/>
    </xf>
    <xf numFmtId="0" fontId="65" fillId="0" borderId="39" xfId="0" applyFont="1" applyBorder="1" applyAlignment="1">
      <alignment horizontal="center" vertical="center"/>
    </xf>
    <xf numFmtId="0" fontId="65" fillId="0" borderId="39" xfId="0" applyFont="1" applyBorder="1" applyAlignment="1">
      <alignment horizontal="center"/>
    </xf>
    <xf numFmtId="0" fontId="65" fillId="0" borderId="39" xfId="0" applyFont="1" applyBorder="1"/>
    <xf numFmtId="0" fontId="55" fillId="0" borderId="45" xfId="0" applyFont="1" applyBorder="1" applyAlignment="1">
      <alignment horizontal="center"/>
    </xf>
    <xf numFmtId="0" fontId="55" fillId="0" borderId="44" xfId="0" applyFont="1" applyBorder="1" applyAlignment="1">
      <alignment horizontal="center"/>
    </xf>
    <xf numFmtId="0" fontId="65" fillId="0" borderId="45" xfId="0" applyFont="1" applyBorder="1" applyAlignment="1">
      <alignment horizontal="left" vertical="center" wrapText="1"/>
    </xf>
    <xf numFmtId="0" fontId="65" fillId="0" borderId="44" xfId="0" applyFont="1" applyBorder="1" applyAlignment="1">
      <alignment horizontal="left" vertical="center" wrapText="1"/>
    </xf>
    <xf numFmtId="49" fontId="3" fillId="3" borderId="39" xfId="3" applyNumberFormat="1" applyFill="1" applyBorder="1" applyAlignment="1">
      <alignment horizontal="left" vertical="center" wrapText="1"/>
    </xf>
    <xf numFmtId="39" fontId="63" fillId="0" borderId="87" xfId="131" applyNumberFormat="1" applyFont="1" applyBorder="1" applyAlignment="1">
      <alignment horizontal="center" vertical="center" wrapText="1"/>
    </xf>
    <xf numFmtId="39" fontId="63" fillId="0" borderId="79" xfId="131" applyNumberFormat="1" applyFont="1" applyBorder="1" applyAlignment="1">
      <alignment horizontal="center" vertical="center" wrapText="1"/>
    </xf>
    <xf numFmtId="39" fontId="63" fillId="0" borderId="88" xfId="131" applyNumberFormat="1" applyFont="1" applyBorder="1" applyAlignment="1">
      <alignment horizontal="center" vertical="center" wrapText="1"/>
    </xf>
    <xf numFmtId="39" fontId="63" fillId="0" borderId="81" xfId="131" applyNumberFormat="1" applyFont="1" applyBorder="1" applyAlignment="1">
      <alignment horizontal="center" vertical="center" wrapText="1"/>
    </xf>
    <xf numFmtId="39" fontId="63" fillId="0" borderId="0" xfId="131" applyNumberFormat="1" applyFont="1" applyAlignment="1">
      <alignment horizontal="center" vertical="center" wrapText="1"/>
    </xf>
    <xf numFmtId="39" fontId="63" fillId="0" borderId="85" xfId="131" applyNumberFormat="1" applyFont="1" applyBorder="1" applyAlignment="1">
      <alignment horizontal="center" vertical="center" wrapText="1"/>
    </xf>
    <xf numFmtId="39" fontId="63" fillId="0" borderId="47" xfId="131" applyNumberFormat="1" applyFont="1" applyBorder="1" applyAlignment="1">
      <alignment horizontal="center" vertical="center" wrapText="1"/>
    </xf>
    <xf numFmtId="39" fontId="63" fillId="0" borderId="48" xfId="131" applyNumberFormat="1" applyFont="1" applyBorder="1" applyAlignment="1">
      <alignment horizontal="center" vertical="center" wrapText="1"/>
    </xf>
    <xf numFmtId="39" fontId="63" fillId="0" borderId="86" xfId="131" applyNumberFormat="1" applyFont="1" applyBorder="1" applyAlignment="1">
      <alignment horizontal="center" vertical="center" wrapText="1"/>
    </xf>
    <xf numFmtId="39" fontId="57" fillId="0" borderId="79" xfId="131" applyNumberFormat="1" applyFont="1" applyBorder="1" applyAlignment="1">
      <alignment horizontal="center" vertical="center" wrapText="1"/>
    </xf>
    <xf numFmtId="39" fontId="57" fillId="0" borderId="88" xfId="131" applyNumberFormat="1" applyFont="1" applyBorder="1" applyAlignment="1">
      <alignment horizontal="center" vertical="center" wrapText="1"/>
    </xf>
    <xf numFmtId="39" fontId="57" fillId="0" borderId="81" xfId="131" applyNumberFormat="1" applyFont="1" applyBorder="1" applyAlignment="1">
      <alignment horizontal="center" vertical="center" wrapText="1"/>
    </xf>
    <xf numFmtId="39" fontId="57" fillId="0" borderId="0" xfId="131" applyNumberFormat="1" applyFont="1" applyAlignment="1">
      <alignment horizontal="center" vertical="center" wrapText="1"/>
    </xf>
    <xf numFmtId="39" fontId="57" fillId="0" borderId="85" xfId="131" applyNumberFormat="1" applyFont="1" applyBorder="1" applyAlignment="1">
      <alignment horizontal="center" vertical="center" wrapText="1"/>
    </xf>
    <xf numFmtId="39" fontId="57" fillId="0" borderId="47" xfId="131" applyNumberFormat="1" applyFont="1" applyBorder="1" applyAlignment="1">
      <alignment horizontal="center" vertical="center" wrapText="1"/>
    </xf>
    <xf numFmtId="39" fontId="57" fillId="0" borderId="48" xfId="131" applyNumberFormat="1" applyFont="1" applyBorder="1" applyAlignment="1">
      <alignment horizontal="center" vertical="center" wrapText="1"/>
    </xf>
    <xf numFmtId="39" fontId="57" fillId="0" borderId="86" xfId="131" applyNumberFormat="1" applyFont="1" applyBorder="1" applyAlignment="1">
      <alignment horizontal="center" vertical="center" wrapText="1"/>
    </xf>
    <xf numFmtId="0" fontId="3" fillId="3" borderId="129" xfId="3" applyFill="1" applyBorder="1" applyAlignment="1">
      <alignment horizontal="left" vertical="center"/>
    </xf>
    <xf numFmtId="0" fontId="3" fillId="3" borderId="130" xfId="3" applyFill="1" applyBorder="1" applyAlignment="1">
      <alignment horizontal="left" vertical="center"/>
    </xf>
    <xf numFmtId="0" fontId="57" fillId="3" borderId="0" xfId="3" applyFont="1" applyFill="1" applyAlignment="1">
      <alignment horizontal="right" vertical="center"/>
    </xf>
    <xf numFmtId="0" fontId="57" fillId="3" borderId="85" xfId="3" applyFont="1" applyFill="1" applyBorder="1" applyAlignment="1">
      <alignment horizontal="right" vertical="center"/>
    </xf>
    <xf numFmtId="0" fontId="65" fillId="0" borderId="39" xfId="0" applyFont="1" applyBorder="1" applyAlignment="1">
      <alignment horizontal="left" wrapText="1"/>
    </xf>
    <xf numFmtId="0" fontId="3" fillId="0" borderId="45" xfId="3" applyBorder="1" applyAlignment="1">
      <alignment horizontal="center" vertical="center" wrapText="1"/>
    </xf>
    <xf numFmtId="0" fontId="3" fillId="0" borderId="46" xfId="3" applyBorder="1" applyAlignment="1">
      <alignment horizontal="center" vertical="center" wrapText="1"/>
    </xf>
    <xf numFmtId="0" fontId="3" fillId="0" borderId="44" xfId="3" applyBorder="1" applyAlignment="1">
      <alignment horizontal="center" vertical="center" wrapText="1"/>
    </xf>
    <xf numFmtId="0" fontId="3" fillId="27" borderId="45" xfId="3" applyFill="1" applyBorder="1" applyAlignment="1">
      <alignment horizontal="left" vertical="center" wrapText="1"/>
    </xf>
    <xf numFmtId="0" fontId="3" fillId="27" borderId="44" xfId="3" applyFill="1" applyBorder="1" applyAlignment="1">
      <alignment horizontal="left" vertical="center" wrapText="1"/>
    </xf>
    <xf numFmtId="0" fontId="57" fillId="0" borderId="45" xfId="3" applyFont="1" applyBorder="1" applyAlignment="1">
      <alignment horizontal="center" vertical="center"/>
    </xf>
    <xf numFmtId="0" fontId="57" fillId="0" borderId="44" xfId="3" applyFont="1" applyBorder="1" applyAlignment="1">
      <alignment horizontal="center" vertical="center"/>
    </xf>
    <xf numFmtId="0" fontId="76" fillId="0" borderId="110" xfId="0" applyFont="1" applyBorder="1" applyAlignment="1">
      <alignment horizontal="left" vertical="center"/>
    </xf>
    <xf numFmtId="0" fontId="60" fillId="0" borderId="111" xfId="0" applyFont="1" applyBorder="1"/>
    <xf numFmtId="0" fontId="78" fillId="37" borderId="105" xfId="0" applyFont="1" applyFill="1" applyBorder="1" applyAlignment="1">
      <alignment horizontal="left" vertical="center" wrapText="1"/>
    </xf>
    <xf numFmtId="0" fontId="78" fillId="37" borderId="103" xfId="0" applyFont="1" applyFill="1" applyBorder="1" applyAlignment="1">
      <alignment horizontal="left" vertical="center" wrapText="1"/>
    </xf>
    <xf numFmtId="0" fontId="78" fillId="37" borderId="106" xfId="0" applyFont="1" applyFill="1" applyBorder="1" applyAlignment="1">
      <alignment horizontal="left" vertical="center" wrapText="1"/>
    </xf>
    <xf numFmtId="0" fontId="76" fillId="0" borderId="112" xfId="0" applyFont="1" applyBorder="1" applyAlignment="1">
      <alignment horizontal="center" vertical="center" wrapText="1"/>
    </xf>
    <xf numFmtId="0" fontId="60" fillId="0" borderId="113" xfId="0" applyFont="1" applyBorder="1"/>
    <xf numFmtId="0" fontId="76" fillId="0" borderId="115" xfId="0" applyFont="1" applyBorder="1" applyAlignment="1">
      <alignment horizontal="left" vertical="center"/>
    </xf>
    <xf numFmtId="0" fontId="60" fillId="0" borderId="116" xfId="0" applyFont="1" applyBorder="1"/>
    <xf numFmtId="49" fontId="77" fillId="0" borderId="117" xfId="0" applyNumberFormat="1" applyFont="1" applyBorder="1" applyAlignment="1">
      <alignment horizontal="left" vertical="center" wrapText="1"/>
    </xf>
    <xf numFmtId="0" fontId="60" fillId="0" borderId="98" xfId="0" applyFont="1" applyBorder="1"/>
    <xf numFmtId="0" fontId="60" fillId="0" borderId="99" xfId="0" applyFont="1" applyBorder="1"/>
    <xf numFmtId="0" fontId="76" fillId="39" borderId="118" xfId="0" applyFont="1" applyFill="1" applyBorder="1" applyAlignment="1">
      <alignment horizontal="center" vertical="center" textRotation="45" wrapText="1"/>
    </xf>
    <xf numFmtId="0" fontId="60" fillId="39" borderId="121" xfId="0" applyFont="1" applyFill="1" applyBorder="1"/>
    <xf numFmtId="0" fontId="76" fillId="0" borderId="117" xfId="0" applyFont="1" applyBorder="1" applyAlignment="1">
      <alignment horizontal="center" vertical="center" wrapText="1"/>
    </xf>
    <xf numFmtId="0" fontId="60" fillId="0" borderId="100" xfId="0" applyFont="1" applyBorder="1"/>
    <xf numFmtId="0" fontId="60" fillId="0" borderId="94" xfId="0" applyFont="1" applyBorder="1"/>
    <xf numFmtId="0" fontId="60" fillId="0" borderId="95" xfId="0" applyFont="1" applyBorder="1"/>
    <xf numFmtId="0" fontId="76" fillId="0" borderId="119" xfId="0" applyFont="1" applyBorder="1" applyAlignment="1">
      <alignment horizontal="center" vertical="center" textRotation="60" wrapText="1"/>
    </xf>
    <xf numFmtId="0" fontId="60" fillId="0" borderId="119" xfId="0" applyFont="1" applyBorder="1"/>
    <xf numFmtId="0" fontId="76" fillId="36" borderId="87" xfId="0" applyFont="1" applyFill="1" applyBorder="1" applyAlignment="1">
      <alignment horizontal="center" vertical="center" wrapText="1"/>
    </xf>
    <xf numFmtId="0" fontId="60" fillId="0" borderId="79" xfId="0" applyFont="1" applyBorder="1"/>
    <xf numFmtId="0" fontId="60" fillId="0" borderId="91" xfId="0" applyFont="1" applyBorder="1"/>
    <xf numFmtId="0" fontId="60" fillId="0" borderId="93" xfId="0" applyFont="1" applyBorder="1"/>
    <xf numFmtId="0" fontId="76" fillId="0" borderId="92" xfId="0" applyFont="1" applyBorder="1" applyAlignment="1">
      <alignment horizontal="center" vertical="center" wrapText="1"/>
    </xf>
    <xf numFmtId="0" fontId="60" fillId="0" borderId="88" xfId="0" applyFont="1" applyBorder="1"/>
    <xf numFmtId="0" fontId="60" fillId="0" borderId="96" xfId="0" applyFont="1" applyBorder="1"/>
    <xf numFmtId="0" fontId="77" fillId="0" borderId="0" xfId="0" applyFont="1"/>
    <xf numFmtId="0" fontId="60" fillId="0" borderId="85" xfId="0" applyFont="1" applyBorder="1"/>
    <xf numFmtId="0" fontId="60" fillId="0" borderId="101" xfId="0" applyFont="1" applyBorder="1"/>
    <xf numFmtId="0" fontId="76" fillId="0" borderId="97" xfId="0" applyFont="1" applyBorder="1" applyAlignment="1">
      <alignment horizontal="center" vertical="center" wrapText="1"/>
    </xf>
    <xf numFmtId="39" fontId="76" fillId="0" borderId="96" xfId="0" applyNumberFormat="1" applyFont="1" applyBorder="1" applyAlignment="1">
      <alignment horizontal="center" vertical="center" wrapText="1"/>
    </xf>
    <xf numFmtId="0" fontId="76" fillId="0" borderId="102" xfId="0" applyFont="1" applyBorder="1" applyAlignment="1">
      <alignment horizontal="left" vertical="center" wrapText="1"/>
    </xf>
    <xf numFmtId="0" fontId="60" fillId="0" borderId="103" xfId="0" applyFont="1" applyBorder="1"/>
    <xf numFmtId="14" fontId="78" fillId="0" borderId="105" xfId="0" applyNumberFormat="1" applyFont="1" applyBorder="1" applyAlignment="1">
      <alignment horizontal="center" vertical="center" wrapText="1"/>
    </xf>
    <xf numFmtId="0" fontId="60" fillId="0" borderId="106" xfId="0" applyFont="1" applyBorder="1"/>
    <xf numFmtId="0" fontId="76" fillId="0" borderId="107" xfId="0" applyFont="1" applyBorder="1" applyAlignment="1">
      <alignment horizontal="center" vertical="center" wrapText="1"/>
    </xf>
    <xf numFmtId="0" fontId="60" fillId="0" borderId="108" xfId="0" applyFont="1" applyBorder="1"/>
    <xf numFmtId="0" fontId="80" fillId="38" borderId="81" xfId="0" applyFont="1" applyFill="1" applyBorder="1" applyAlignment="1">
      <alignment horizontal="center" vertical="top" wrapText="1"/>
    </xf>
    <xf numFmtId="0" fontId="80" fillId="38" borderId="0" xfId="0" applyFont="1" applyFill="1" applyAlignment="1">
      <alignment horizontal="center" vertical="top" wrapText="1"/>
    </xf>
    <xf numFmtId="0" fontId="80" fillId="38" borderId="85" xfId="0" applyFont="1" applyFill="1" applyBorder="1" applyAlignment="1">
      <alignment horizontal="center" vertical="top" wrapText="1"/>
    </xf>
    <xf numFmtId="0" fontId="76" fillId="0" borderId="120" xfId="0" applyFont="1" applyBorder="1" applyAlignment="1">
      <alignment horizontal="center" vertical="center" wrapText="1"/>
    </xf>
    <xf numFmtId="0" fontId="60" fillId="0" borderId="120" xfId="0" applyFont="1" applyBorder="1"/>
    <xf numFmtId="0" fontId="76" fillId="0" borderId="87" xfId="0" applyFont="1" applyBorder="1" applyAlignment="1">
      <alignment horizontal="center" vertical="center"/>
    </xf>
    <xf numFmtId="0" fontId="76" fillId="0" borderId="79" xfId="0" applyFont="1" applyBorder="1" applyAlignment="1">
      <alignment horizontal="center" vertical="center"/>
    </xf>
    <xf numFmtId="0" fontId="76" fillId="0" borderId="88" xfId="0" applyFont="1" applyBorder="1" applyAlignment="1">
      <alignment horizontal="center" vertical="center"/>
    </xf>
    <xf numFmtId="0" fontId="76" fillId="0" borderId="81" xfId="0" applyFont="1" applyBorder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6" fillId="0" borderId="85" xfId="0" applyFont="1" applyBorder="1" applyAlignment="1">
      <alignment horizontal="center" vertical="center"/>
    </xf>
    <xf numFmtId="0" fontId="76" fillId="0" borderId="47" xfId="0" applyFont="1" applyBorder="1" applyAlignment="1">
      <alignment horizontal="center" vertical="center"/>
    </xf>
    <xf numFmtId="0" fontId="76" fillId="0" borderId="48" xfId="0" applyFont="1" applyBorder="1" applyAlignment="1">
      <alignment horizontal="center" vertical="center"/>
    </xf>
    <xf numFmtId="0" fontId="76" fillId="0" borderId="86" xfId="0" applyFont="1" applyBorder="1" applyAlignment="1">
      <alignment horizontal="center" vertical="center"/>
    </xf>
    <xf numFmtId="3" fontId="77" fillId="0" borderId="46" xfId="0" applyNumberFormat="1" applyFont="1" applyBorder="1" applyAlignment="1">
      <alignment horizontal="center" vertical="center" wrapText="1"/>
    </xf>
    <xf numFmtId="3" fontId="77" fillId="0" borderId="44" xfId="0" applyNumberFormat="1" applyFont="1" applyBorder="1" applyAlignment="1">
      <alignment horizontal="center" vertical="center" wrapText="1"/>
    </xf>
    <xf numFmtId="3" fontId="79" fillId="36" borderId="96" xfId="0" applyNumberFormat="1" applyFont="1" applyFill="1" applyBorder="1" applyAlignment="1">
      <alignment horizontal="center" vertical="center"/>
    </xf>
    <xf numFmtId="0" fontId="71" fillId="0" borderId="0" xfId="0" applyFont="1"/>
    <xf numFmtId="0" fontId="71" fillId="0" borderId="121" xfId="0" applyFont="1" applyBorder="1"/>
    <xf numFmtId="0" fontId="79" fillId="38" borderId="87" xfId="0" applyFont="1" applyFill="1" applyBorder="1" applyAlignment="1">
      <alignment horizontal="left" vertical="top" wrapText="1"/>
    </xf>
    <xf numFmtId="0" fontId="79" fillId="38" borderId="79" xfId="0" applyFont="1" applyFill="1" applyBorder="1" applyAlignment="1">
      <alignment horizontal="left" vertical="top" wrapText="1"/>
    </xf>
    <xf numFmtId="0" fontId="79" fillId="38" borderId="88" xfId="0" applyFont="1" applyFill="1" applyBorder="1" applyAlignment="1">
      <alignment horizontal="left" vertical="top" wrapText="1"/>
    </xf>
    <xf numFmtId="0" fontId="79" fillId="38" borderId="81" xfId="0" applyFont="1" applyFill="1" applyBorder="1" applyAlignment="1">
      <alignment horizontal="center" vertical="top" wrapText="1"/>
    </xf>
    <xf numFmtId="0" fontId="79" fillId="38" borderId="0" xfId="0" applyFont="1" applyFill="1" applyAlignment="1">
      <alignment horizontal="center" vertical="top" wrapText="1"/>
    </xf>
    <xf numFmtId="0" fontId="79" fillId="38" borderId="85" xfId="0" applyFont="1" applyFill="1" applyBorder="1" applyAlignment="1">
      <alignment horizontal="center" vertical="top" wrapText="1"/>
    </xf>
    <xf numFmtId="0" fontId="63" fillId="0" borderId="79" xfId="131" applyFont="1" applyBorder="1" applyAlignment="1">
      <alignment horizontal="center" vertical="center" wrapText="1"/>
    </xf>
    <xf numFmtId="0" fontId="63" fillId="0" borderId="88" xfId="131" applyFont="1" applyBorder="1" applyAlignment="1">
      <alignment horizontal="center" vertical="center" wrapText="1"/>
    </xf>
    <xf numFmtId="0" fontId="63" fillId="0" borderId="81" xfId="131" applyFont="1" applyBorder="1" applyAlignment="1">
      <alignment horizontal="center" vertical="center" wrapText="1"/>
    </xf>
    <xf numFmtId="0" fontId="63" fillId="0" borderId="0" xfId="131" applyFont="1" applyAlignment="1">
      <alignment horizontal="center" vertical="center" wrapText="1"/>
    </xf>
    <xf numFmtId="0" fontId="63" fillId="0" borderId="85" xfId="131" applyFont="1" applyBorder="1" applyAlignment="1">
      <alignment horizontal="center" vertical="center" wrapText="1"/>
    </xf>
    <xf numFmtId="0" fontId="63" fillId="0" borderId="47" xfId="131" applyFont="1" applyBorder="1" applyAlignment="1">
      <alignment horizontal="center" vertical="center" wrapText="1"/>
    </xf>
    <xf numFmtId="0" fontId="63" fillId="0" borderId="48" xfId="131" applyFont="1" applyBorder="1" applyAlignment="1">
      <alignment horizontal="center" vertical="center" wrapText="1"/>
    </xf>
    <xf numFmtId="0" fontId="63" fillId="0" borderId="86" xfId="131" applyFont="1" applyBorder="1" applyAlignment="1">
      <alignment horizontal="center" vertical="center" wrapText="1"/>
    </xf>
    <xf numFmtId="0" fontId="65" fillId="0" borderId="45" xfId="0" applyFont="1" applyBorder="1" applyAlignment="1">
      <alignment horizontal="left" vertical="center"/>
    </xf>
    <xf numFmtId="0" fontId="65" fillId="0" borderId="44" xfId="0" applyFont="1" applyBorder="1" applyAlignment="1">
      <alignment horizontal="left" vertical="center"/>
    </xf>
    <xf numFmtId="39" fontId="63" fillId="0" borderId="87" xfId="131" applyNumberFormat="1" applyFont="1" applyBorder="1" applyAlignment="1">
      <alignment horizontal="left" vertical="center" wrapText="1"/>
    </xf>
    <xf numFmtId="0" fontId="63" fillId="0" borderId="79" xfId="131" applyFont="1" applyBorder="1" applyAlignment="1">
      <alignment horizontal="left" vertical="center" wrapText="1"/>
    </xf>
    <xf numFmtId="0" fontId="63" fillId="0" borderId="88" xfId="131" applyFont="1" applyBorder="1" applyAlignment="1">
      <alignment horizontal="left" vertical="center" wrapText="1"/>
    </xf>
    <xf numFmtId="0" fontId="63" fillId="0" borderId="81" xfId="131" applyFont="1" applyBorder="1" applyAlignment="1">
      <alignment horizontal="left" vertical="center" wrapText="1"/>
    </xf>
    <xf numFmtId="0" fontId="63" fillId="0" borderId="0" xfId="131" applyFont="1" applyAlignment="1">
      <alignment horizontal="left" vertical="center" wrapText="1"/>
    </xf>
    <xf numFmtId="0" fontId="63" fillId="0" borderId="85" xfId="131" applyFont="1" applyBorder="1" applyAlignment="1">
      <alignment horizontal="left" vertical="center" wrapText="1"/>
    </xf>
    <xf numFmtId="0" fontId="63" fillId="0" borderId="47" xfId="131" applyFont="1" applyBorder="1" applyAlignment="1">
      <alignment horizontal="left" vertical="center" wrapText="1"/>
    </xf>
    <xf numFmtId="0" fontId="63" fillId="0" borderId="48" xfId="131" applyFont="1" applyBorder="1" applyAlignment="1">
      <alignment horizontal="left" vertical="center" wrapText="1"/>
    </xf>
    <xf numFmtId="0" fontId="63" fillId="0" borderId="86" xfId="131" applyFont="1" applyBorder="1" applyAlignment="1">
      <alignment horizontal="left" vertical="center" wrapText="1"/>
    </xf>
    <xf numFmtId="0" fontId="57" fillId="33" borderId="87" xfId="3" applyFont="1" applyFill="1" applyBorder="1" applyAlignment="1">
      <alignment horizontal="left" vertical="top" wrapText="1"/>
    </xf>
    <xf numFmtId="0" fontId="57" fillId="33" borderId="79" xfId="3" applyFont="1" applyFill="1" applyBorder="1" applyAlignment="1">
      <alignment horizontal="left" vertical="top" wrapText="1"/>
    </xf>
    <xf numFmtId="0" fontId="57" fillId="33" borderId="88" xfId="3" applyFont="1" applyFill="1" applyBorder="1" applyAlignment="1">
      <alignment horizontal="left" vertical="top" wrapText="1"/>
    </xf>
    <xf numFmtId="0" fontId="57" fillId="33" borderId="81" xfId="3" applyFont="1" applyFill="1" applyBorder="1" applyAlignment="1">
      <alignment horizontal="left" vertical="top" wrapText="1"/>
    </xf>
    <xf numFmtId="0" fontId="57" fillId="33" borderId="0" xfId="3" applyFont="1" applyFill="1" applyAlignment="1">
      <alignment horizontal="left" vertical="top" wrapText="1"/>
    </xf>
    <xf numFmtId="0" fontId="57" fillId="33" borderId="85" xfId="3" applyFont="1" applyFill="1" applyBorder="1" applyAlignment="1">
      <alignment horizontal="left" vertical="top" wrapText="1"/>
    </xf>
    <xf numFmtId="0" fontId="57" fillId="33" borderId="47" xfId="3" applyFont="1" applyFill="1" applyBorder="1" applyAlignment="1">
      <alignment horizontal="left" vertical="top" wrapText="1"/>
    </xf>
    <xf numFmtId="0" fontId="57" fillId="33" borderId="48" xfId="3" applyFont="1" applyFill="1" applyBorder="1" applyAlignment="1">
      <alignment horizontal="left" vertical="top" wrapText="1"/>
    </xf>
    <xf numFmtId="0" fontId="57" fillId="33" borderId="86" xfId="3" applyFont="1" applyFill="1" applyBorder="1" applyAlignment="1">
      <alignment horizontal="left" vertical="top" wrapText="1"/>
    </xf>
    <xf numFmtId="49" fontId="3" fillId="0" borderId="45" xfId="3" applyNumberFormat="1" applyBorder="1" applyAlignment="1">
      <alignment vertical="center" wrapText="1"/>
    </xf>
    <xf numFmtId="49" fontId="3" fillId="0" borderId="44" xfId="3" applyNumberFormat="1" applyBorder="1" applyAlignment="1">
      <alignment vertical="center" wrapText="1"/>
    </xf>
    <xf numFmtId="4" fontId="72" fillId="34" borderId="0" xfId="0" applyNumberFormat="1" applyFont="1" applyFill="1" applyAlignment="1">
      <alignment horizontal="center" vertical="center"/>
    </xf>
    <xf numFmtId="0" fontId="72" fillId="34" borderId="0" xfId="0" applyFont="1" applyFill="1" applyAlignment="1">
      <alignment horizontal="center" vertical="center"/>
    </xf>
    <xf numFmtId="0" fontId="40" fillId="26" borderId="11" xfId="68" applyFont="1" applyFill="1" applyBorder="1" applyAlignment="1">
      <alignment horizontal="center" vertical="center"/>
    </xf>
    <xf numFmtId="0" fontId="40" fillId="26" borderId="26" xfId="68" applyFont="1" applyFill="1" applyBorder="1" applyAlignment="1">
      <alignment horizontal="center" vertical="center"/>
    </xf>
    <xf numFmtId="0" fontId="40" fillId="26" borderId="49" xfId="68" applyFont="1" applyFill="1" applyBorder="1" applyAlignment="1">
      <alignment horizontal="center" vertical="center"/>
    </xf>
    <xf numFmtId="0" fontId="40" fillId="26" borderId="50" xfId="68" applyFont="1" applyFill="1" applyBorder="1" applyAlignment="1">
      <alignment horizontal="center" vertical="center"/>
    </xf>
    <xf numFmtId="0" fontId="40" fillId="26" borderId="63" xfId="68" applyFont="1" applyFill="1" applyBorder="1" applyAlignment="1">
      <alignment horizontal="center" vertical="center"/>
    </xf>
    <xf numFmtId="39" fontId="57" fillId="31" borderId="72" xfId="170" applyFont="1" applyFill="1" applyBorder="1" applyAlignment="1">
      <alignment horizontal="center" vertical="center" wrapText="1"/>
    </xf>
    <xf numFmtId="39" fontId="57" fillId="31" borderId="73" xfId="170" applyFont="1" applyFill="1" applyBorder="1" applyAlignment="1">
      <alignment horizontal="center" vertical="center" wrapText="1"/>
    </xf>
    <xf numFmtId="39" fontId="57" fillId="31" borderId="74" xfId="170" applyFont="1" applyFill="1" applyBorder="1" applyAlignment="1">
      <alignment horizontal="center" vertical="center" wrapText="1"/>
    </xf>
    <xf numFmtId="39" fontId="57" fillId="31" borderId="75" xfId="170" applyFont="1" applyFill="1" applyBorder="1" applyAlignment="1">
      <alignment horizontal="center" vertical="center" wrapText="1"/>
    </xf>
    <xf numFmtId="39" fontId="57" fillId="0" borderId="64" xfId="170" applyFont="1" applyBorder="1" applyAlignment="1">
      <alignment horizontal="center" vertical="center" wrapText="1"/>
    </xf>
    <xf numFmtId="39" fontId="57" fillId="0" borderId="66" xfId="170" applyFont="1" applyBorder="1" applyAlignment="1">
      <alignment horizontal="center" vertical="center" wrapText="1"/>
    </xf>
    <xf numFmtId="39" fontId="57" fillId="0" borderId="65" xfId="170" applyFont="1" applyBorder="1" applyAlignment="1">
      <alignment horizontal="center" vertical="center" wrapText="1"/>
    </xf>
    <xf numFmtId="39" fontId="57" fillId="0" borderId="67" xfId="170" applyFont="1" applyBorder="1" applyAlignment="1">
      <alignment horizontal="center" vertical="center" wrapText="1"/>
    </xf>
    <xf numFmtId="39" fontId="57" fillId="0" borderId="0" xfId="170" applyFont="1" applyAlignment="1">
      <alignment horizontal="center" vertical="center" wrapText="1"/>
    </xf>
    <xf numFmtId="39" fontId="57" fillId="0" borderId="68" xfId="170" applyFont="1" applyBorder="1" applyAlignment="1">
      <alignment horizontal="center" vertical="center" wrapText="1"/>
    </xf>
    <xf numFmtId="39" fontId="57" fillId="0" borderId="69" xfId="170" applyFont="1" applyBorder="1" applyAlignment="1">
      <alignment horizontal="center" vertical="center" wrapText="1"/>
    </xf>
    <xf numFmtId="39" fontId="57" fillId="0" borderId="71" xfId="170" applyFont="1" applyBorder="1" applyAlignment="1">
      <alignment horizontal="center" vertical="center" wrapText="1"/>
    </xf>
    <xf numFmtId="39" fontId="57" fillId="0" borderId="70" xfId="170" applyFont="1" applyBorder="1" applyAlignment="1">
      <alignment horizontal="center" vertical="center" wrapText="1"/>
    </xf>
    <xf numFmtId="39" fontId="15" fillId="0" borderId="64" xfId="170" applyFont="1" applyBorder="1" applyAlignment="1">
      <alignment horizontal="center"/>
    </xf>
    <xf numFmtId="39" fontId="15" fillId="0" borderId="66" xfId="170" applyFont="1" applyBorder="1" applyAlignment="1">
      <alignment horizontal="center"/>
    </xf>
    <xf numFmtId="39" fontId="15" fillId="0" borderId="65" xfId="170" applyFont="1" applyBorder="1" applyAlignment="1">
      <alignment horizontal="center"/>
    </xf>
    <xf numFmtId="39" fontId="15" fillId="0" borderId="67" xfId="170" applyFont="1" applyBorder="1" applyAlignment="1">
      <alignment horizontal="center"/>
    </xf>
    <xf numFmtId="39" fontId="15" fillId="0" borderId="0" xfId="170" applyFont="1" applyAlignment="1">
      <alignment horizontal="center"/>
    </xf>
    <xf numFmtId="39" fontId="15" fillId="0" borderId="68" xfId="170" applyFont="1" applyBorder="1" applyAlignment="1">
      <alignment horizontal="center"/>
    </xf>
    <xf numFmtId="39" fontId="15" fillId="0" borderId="69" xfId="170" applyFont="1" applyBorder="1" applyAlignment="1">
      <alignment horizontal="center"/>
    </xf>
    <xf numFmtId="39" fontId="15" fillId="0" borderId="71" xfId="170" applyFont="1" applyBorder="1" applyAlignment="1">
      <alignment horizontal="center"/>
    </xf>
    <xf numFmtId="39" fontId="15" fillId="0" borderId="70" xfId="170" applyFont="1" applyBorder="1" applyAlignment="1">
      <alignment horizontal="center"/>
    </xf>
    <xf numFmtId="0" fontId="40" fillId="26" borderId="13" xfId="68" applyFont="1" applyFill="1" applyBorder="1" applyAlignment="1">
      <alignment horizontal="center" vertical="center"/>
    </xf>
    <xf numFmtId="0" fontId="34" fillId="26" borderId="24" xfId="3" applyFont="1" applyFill="1" applyBorder="1" applyAlignment="1">
      <alignment horizontal="center" vertical="center"/>
    </xf>
    <xf numFmtId="0" fontId="34" fillId="26" borderId="25" xfId="3" applyFont="1" applyFill="1" applyBorder="1" applyAlignment="1">
      <alignment horizontal="center" vertical="center"/>
    </xf>
    <xf numFmtId="0" fontId="34" fillId="26" borderId="26" xfId="3" applyFont="1" applyFill="1" applyBorder="1" applyAlignment="1">
      <alignment horizontal="center" vertical="center"/>
    </xf>
    <xf numFmtId="0" fontId="34" fillId="26" borderId="27" xfId="3" applyFont="1" applyFill="1" applyBorder="1" applyAlignment="1">
      <alignment horizontal="center" vertical="center"/>
    </xf>
    <xf numFmtId="0" fontId="34" fillId="26" borderId="28" xfId="3" applyFont="1" applyFill="1" applyBorder="1" applyAlignment="1">
      <alignment horizontal="center" vertical="center"/>
    </xf>
    <xf numFmtId="0" fontId="34" fillId="26" borderId="29" xfId="3" applyFont="1" applyFill="1" applyBorder="1" applyAlignment="1">
      <alignment horizontal="center" vertical="center"/>
    </xf>
    <xf numFmtId="0" fontId="29" fillId="26" borderId="11" xfId="3" applyFont="1" applyFill="1" applyBorder="1" applyAlignment="1">
      <alignment horizontal="left" vertical="center" wrapText="1"/>
    </xf>
    <xf numFmtId="0" fontId="29" fillId="26" borderId="12" xfId="3" applyFont="1" applyFill="1" applyBorder="1" applyAlignment="1">
      <alignment horizontal="left" vertical="center" wrapText="1"/>
    </xf>
    <xf numFmtId="0" fontId="29" fillId="26" borderId="13" xfId="3" applyFont="1" applyFill="1" applyBorder="1" applyAlignment="1">
      <alignment horizontal="left" vertical="center" wrapText="1"/>
    </xf>
    <xf numFmtId="0" fontId="29" fillId="26" borderId="24" xfId="3" applyFont="1" applyFill="1" applyBorder="1" applyAlignment="1">
      <alignment horizontal="center" vertical="center" wrapText="1"/>
    </xf>
    <xf numFmtId="0" fontId="29" fillId="26" borderId="25" xfId="3" applyFont="1" applyFill="1" applyBorder="1" applyAlignment="1">
      <alignment horizontal="center" vertical="center" wrapText="1"/>
    </xf>
    <xf numFmtId="0" fontId="29" fillId="26" borderId="26" xfId="3" applyFont="1" applyFill="1" applyBorder="1" applyAlignment="1">
      <alignment horizontal="center" vertical="center" wrapText="1"/>
    </xf>
    <xf numFmtId="0" fontId="29" fillId="26" borderId="30" xfId="3" applyFont="1" applyFill="1" applyBorder="1" applyAlignment="1">
      <alignment horizontal="center" vertical="center" wrapText="1"/>
    </xf>
    <xf numFmtId="0" fontId="29" fillId="26" borderId="0" xfId="3" applyFont="1" applyFill="1" applyAlignment="1">
      <alignment horizontal="center" vertical="center" wrapText="1"/>
    </xf>
    <xf numFmtId="0" fontId="29" fillId="26" borderId="31" xfId="3" applyFont="1" applyFill="1" applyBorder="1" applyAlignment="1">
      <alignment horizontal="center" vertical="center" wrapText="1"/>
    </xf>
    <xf numFmtId="0" fontId="29" fillId="26" borderId="27" xfId="3" applyFont="1" applyFill="1" applyBorder="1" applyAlignment="1">
      <alignment horizontal="center" vertical="center" wrapText="1"/>
    </xf>
    <xf numFmtId="0" fontId="29" fillId="26" borderId="28" xfId="3" applyFont="1" applyFill="1" applyBorder="1" applyAlignment="1">
      <alignment horizontal="center" vertical="center" wrapText="1"/>
    </xf>
    <xf numFmtId="0" fontId="29" fillId="26" borderId="29" xfId="3" applyFont="1" applyFill="1" applyBorder="1" applyAlignment="1">
      <alignment horizontal="center" vertical="center" wrapText="1"/>
    </xf>
    <xf numFmtId="0" fontId="38" fillId="2" borderId="14" xfId="3" applyFont="1" applyFill="1" applyBorder="1" applyAlignment="1">
      <alignment horizontal="center"/>
    </xf>
    <xf numFmtId="0" fontId="38" fillId="3" borderId="14" xfId="3" applyFont="1" applyFill="1" applyBorder="1" applyAlignment="1">
      <alignment horizontal="center"/>
    </xf>
    <xf numFmtId="0" fontId="38" fillId="3" borderId="15" xfId="3" applyFont="1" applyFill="1" applyBorder="1" applyAlignment="1">
      <alignment horizontal="left"/>
    </xf>
    <xf numFmtId="0" fontId="38" fillId="3" borderId="16" xfId="3" applyFont="1" applyFill="1" applyBorder="1" applyAlignment="1">
      <alignment horizontal="left"/>
    </xf>
    <xf numFmtId="0" fontId="38" fillId="3" borderId="18" xfId="3" applyFont="1" applyFill="1" applyBorder="1" applyAlignment="1">
      <alignment horizontal="left"/>
    </xf>
    <xf numFmtId="0" fontId="38" fillId="3" borderId="19" xfId="3" applyFont="1" applyFill="1" applyBorder="1" applyAlignment="1">
      <alignment horizontal="left"/>
    </xf>
    <xf numFmtId="0" fontId="38" fillId="3" borderId="21" xfId="3" applyFont="1" applyFill="1" applyBorder="1" applyAlignment="1">
      <alignment horizontal="left"/>
    </xf>
    <xf numFmtId="0" fontId="38" fillId="3" borderId="22" xfId="3" applyFont="1" applyFill="1" applyBorder="1" applyAlignment="1">
      <alignment horizontal="left"/>
    </xf>
    <xf numFmtId="0" fontId="38" fillId="3" borderId="34" xfId="3" applyFont="1" applyFill="1" applyBorder="1" applyAlignment="1">
      <alignment horizontal="left"/>
    </xf>
    <xf numFmtId="0" fontId="38" fillId="3" borderId="35" xfId="3" applyFont="1" applyFill="1" applyBorder="1" applyAlignment="1">
      <alignment horizontal="left"/>
    </xf>
    <xf numFmtId="0" fontId="36" fillId="3" borderId="0" xfId="3" applyFont="1" applyFill="1" applyAlignment="1">
      <alignment horizontal="right"/>
    </xf>
    <xf numFmtId="0" fontId="38" fillId="2" borderId="11" xfId="3" applyFont="1" applyFill="1" applyBorder="1" applyAlignment="1">
      <alignment horizontal="center"/>
    </xf>
    <xf numFmtId="0" fontId="38" fillId="2" borderId="13" xfId="3" applyFont="1" applyFill="1" applyBorder="1" applyAlignment="1">
      <alignment horizontal="center"/>
    </xf>
    <xf numFmtId="0" fontId="38" fillId="3" borderId="32" xfId="3" applyFont="1" applyFill="1" applyBorder="1"/>
    <xf numFmtId="0" fontId="38" fillId="3" borderId="33" xfId="3" applyFont="1" applyFill="1" applyBorder="1"/>
    <xf numFmtId="0" fontId="38" fillId="3" borderId="34" xfId="3" applyFont="1" applyFill="1" applyBorder="1"/>
    <xf numFmtId="0" fontId="38" fillId="3" borderId="35" xfId="3" applyFont="1" applyFill="1" applyBorder="1"/>
    <xf numFmtId="0" fontId="38" fillId="3" borderId="36" xfId="3" applyFont="1" applyFill="1" applyBorder="1"/>
    <xf numFmtId="0" fontId="38" fillId="3" borderId="37" xfId="3" applyFont="1" applyFill="1" applyBorder="1"/>
    <xf numFmtId="0" fontId="38" fillId="3" borderId="32" xfId="3" applyFont="1" applyFill="1" applyBorder="1" applyAlignment="1">
      <alignment horizontal="left" wrapText="1"/>
    </xf>
    <xf numFmtId="0" fontId="38" fillId="3" borderId="33" xfId="3" applyFont="1" applyFill="1" applyBorder="1" applyAlignment="1">
      <alignment horizontal="left" wrapText="1"/>
    </xf>
  </cellXfs>
  <cellStyles count="201">
    <cellStyle name="%" xfId="6" xr:uid="{00000000-0005-0000-0000-000000000000}"/>
    <cellStyle name="% 2" xfId="7" xr:uid="{00000000-0005-0000-0000-000001000000}"/>
    <cellStyle name="% 2 2" xfId="8" xr:uid="{00000000-0005-0000-0000-000002000000}"/>
    <cellStyle name="20% - Énfasis1 2" xfId="9" xr:uid="{00000000-0005-0000-0000-000003000000}"/>
    <cellStyle name="20% - Énfasis1 3" xfId="85" xr:uid="{00000000-0005-0000-0000-000004000000}"/>
    <cellStyle name="20% - Énfasis2 2" xfId="10" xr:uid="{00000000-0005-0000-0000-000005000000}"/>
    <cellStyle name="20% - Énfasis2 3" xfId="86" xr:uid="{00000000-0005-0000-0000-000006000000}"/>
    <cellStyle name="20% - Énfasis3 2" xfId="11" xr:uid="{00000000-0005-0000-0000-000007000000}"/>
    <cellStyle name="20% - Énfasis3 3" xfId="87" xr:uid="{00000000-0005-0000-0000-000008000000}"/>
    <cellStyle name="20% - Énfasis4 2" xfId="12" xr:uid="{00000000-0005-0000-0000-000009000000}"/>
    <cellStyle name="20% - Énfasis4 3" xfId="88" xr:uid="{00000000-0005-0000-0000-00000A000000}"/>
    <cellStyle name="20% - Énfasis5 2" xfId="13" xr:uid="{00000000-0005-0000-0000-00000B000000}"/>
    <cellStyle name="20% - Énfasis5 3" xfId="89" xr:uid="{00000000-0005-0000-0000-00000C000000}"/>
    <cellStyle name="20% - Énfasis6 2" xfId="14" xr:uid="{00000000-0005-0000-0000-00000D000000}"/>
    <cellStyle name="20% - Énfasis6 3" xfId="90" xr:uid="{00000000-0005-0000-0000-00000E000000}"/>
    <cellStyle name="40% - Énfasis1 2" xfId="15" xr:uid="{00000000-0005-0000-0000-00000F000000}"/>
    <cellStyle name="40% - Énfasis1 3" xfId="91" xr:uid="{00000000-0005-0000-0000-000010000000}"/>
    <cellStyle name="40% - Énfasis2 2" xfId="16" xr:uid="{00000000-0005-0000-0000-000011000000}"/>
    <cellStyle name="40% - Énfasis2 3" xfId="92" xr:uid="{00000000-0005-0000-0000-000012000000}"/>
    <cellStyle name="40% - Énfasis3 2" xfId="17" xr:uid="{00000000-0005-0000-0000-000013000000}"/>
    <cellStyle name="40% - Énfasis3 3" xfId="93" xr:uid="{00000000-0005-0000-0000-000014000000}"/>
    <cellStyle name="40% - Énfasis4 2" xfId="18" xr:uid="{00000000-0005-0000-0000-000015000000}"/>
    <cellStyle name="40% - Énfasis4 3" xfId="94" xr:uid="{00000000-0005-0000-0000-000016000000}"/>
    <cellStyle name="40% - Énfasis5 2" xfId="19" xr:uid="{00000000-0005-0000-0000-000017000000}"/>
    <cellStyle name="40% - Énfasis5 3" xfId="95" xr:uid="{00000000-0005-0000-0000-000018000000}"/>
    <cellStyle name="40% - Énfasis6 2" xfId="20" xr:uid="{00000000-0005-0000-0000-000019000000}"/>
    <cellStyle name="40% - Énfasis6 3" xfId="96" xr:uid="{00000000-0005-0000-0000-00001A000000}"/>
    <cellStyle name="60% - Énfasis1 2" xfId="21" xr:uid="{00000000-0005-0000-0000-00001B000000}"/>
    <cellStyle name="60% - Énfasis1 3" xfId="97" xr:uid="{00000000-0005-0000-0000-00001C000000}"/>
    <cellStyle name="60% - Énfasis2 2" xfId="22" xr:uid="{00000000-0005-0000-0000-00001D000000}"/>
    <cellStyle name="60% - Énfasis2 3" xfId="98" xr:uid="{00000000-0005-0000-0000-00001E000000}"/>
    <cellStyle name="60% - Énfasis3 2" xfId="23" xr:uid="{00000000-0005-0000-0000-00001F000000}"/>
    <cellStyle name="60% - Énfasis3 3" xfId="99" xr:uid="{00000000-0005-0000-0000-000020000000}"/>
    <cellStyle name="60% - Énfasis4 2" xfId="24" xr:uid="{00000000-0005-0000-0000-000021000000}"/>
    <cellStyle name="60% - Énfasis4 3" xfId="100" xr:uid="{00000000-0005-0000-0000-000022000000}"/>
    <cellStyle name="60% - Énfasis5 2" xfId="25" xr:uid="{00000000-0005-0000-0000-000023000000}"/>
    <cellStyle name="60% - Énfasis5 3" xfId="101" xr:uid="{00000000-0005-0000-0000-000024000000}"/>
    <cellStyle name="60% - Énfasis6 2" xfId="26" xr:uid="{00000000-0005-0000-0000-000025000000}"/>
    <cellStyle name="60% - Énfasis6 3" xfId="102" xr:uid="{00000000-0005-0000-0000-000026000000}"/>
    <cellStyle name="80" xfId="27" xr:uid="{00000000-0005-0000-0000-000027000000}"/>
    <cellStyle name="Buena 2" xfId="28" xr:uid="{00000000-0005-0000-0000-000028000000}"/>
    <cellStyle name="Buena 3" xfId="103" xr:uid="{00000000-0005-0000-0000-000029000000}"/>
    <cellStyle name="Cálculo 2" xfId="29" xr:uid="{00000000-0005-0000-0000-00002A000000}"/>
    <cellStyle name="Cálculo 3" xfId="104" xr:uid="{00000000-0005-0000-0000-00002B000000}"/>
    <cellStyle name="Celda de comprobación 2" xfId="30" xr:uid="{00000000-0005-0000-0000-00002C000000}"/>
    <cellStyle name="Celda de comprobación 3" xfId="105" xr:uid="{00000000-0005-0000-0000-00002D000000}"/>
    <cellStyle name="Celda vinculada 2" xfId="31" xr:uid="{00000000-0005-0000-0000-00002E000000}"/>
    <cellStyle name="Celda vinculada 3" xfId="106" xr:uid="{00000000-0005-0000-0000-00002F000000}"/>
    <cellStyle name="Comma" xfId="32" xr:uid="{00000000-0005-0000-0000-000030000000}"/>
    <cellStyle name="Comma 2" xfId="161" xr:uid="{00000000-0005-0000-0000-000031000000}"/>
    <cellStyle name="Currency" xfId="1" xr:uid="{00000000-0005-0000-0000-000032000000}"/>
    <cellStyle name="Date" xfId="33" xr:uid="{00000000-0005-0000-0000-000033000000}"/>
    <cellStyle name="Encabezado 4 2" xfId="34" xr:uid="{00000000-0005-0000-0000-000034000000}"/>
    <cellStyle name="Encabezado 4 3" xfId="107" xr:uid="{00000000-0005-0000-0000-000035000000}"/>
    <cellStyle name="Énfasis1 2" xfId="35" xr:uid="{00000000-0005-0000-0000-000036000000}"/>
    <cellStyle name="Énfasis1 3" xfId="108" xr:uid="{00000000-0005-0000-0000-000037000000}"/>
    <cellStyle name="Énfasis2 2" xfId="36" xr:uid="{00000000-0005-0000-0000-000038000000}"/>
    <cellStyle name="Énfasis2 3" xfId="109" xr:uid="{00000000-0005-0000-0000-000039000000}"/>
    <cellStyle name="Énfasis3 2" xfId="37" xr:uid="{00000000-0005-0000-0000-00003A000000}"/>
    <cellStyle name="Énfasis3 3" xfId="110" xr:uid="{00000000-0005-0000-0000-00003B000000}"/>
    <cellStyle name="Énfasis4 2" xfId="38" xr:uid="{00000000-0005-0000-0000-00003C000000}"/>
    <cellStyle name="Énfasis4 3" xfId="111" xr:uid="{00000000-0005-0000-0000-00003D000000}"/>
    <cellStyle name="Énfasis5 2" xfId="39" xr:uid="{00000000-0005-0000-0000-00003E000000}"/>
    <cellStyle name="Énfasis5 3" xfId="112" xr:uid="{00000000-0005-0000-0000-00003F000000}"/>
    <cellStyle name="Énfasis6 2" xfId="40" xr:uid="{00000000-0005-0000-0000-000040000000}"/>
    <cellStyle name="Énfasis6 3" xfId="113" xr:uid="{00000000-0005-0000-0000-000041000000}"/>
    <cellStyle name="Entrada 2" xfId="41" xr:uid="{00000000-0005-0000-0000-000042000000}"/>
    <cellStyle name="Entrada 3" xfId="114" xr:uid="{00000000-0005-0000-0000-000043000000}"/>
    <cellStyle name="Euro" xfId="42" xr:uid="{00000000-0005-0000-0000-000044000000}"/>
    <cellStyle name="Euro 2" xfId="43" xr:uid="{00000000-0005-0000-0000-000045000000}"/>
    <cellStyle name="Excel Built-in Normal" xfId="44" xr:uid="{00000000-0005-0000-0000-000046000000}"/>
    <cellStyle name="Fixed" xfId="45" xr:uid="{00000000-0005-0000-0000-000047000000}"/>
    <cellStyle name="Heading1" xfId="46" xr:uid="{00000000-0005-0000-0000-000048000000}"/>
    <cellStyle name="Heading2" xfId="47" xr:uid="{00000000-0005-0000-0000-000049000000}"/>
    <cellStyle name="Hipervínculo" xfId="164" builtinId="8"/>
    <cellStyle name="Hipervínculo 2" xfId="48" xr:uid="{00000000-0005-0000-0000-00004B000000}"/>
    <cellStyle name="Incorrecto 2" xfId="49" xr:uid="{00000000-0005-0000-0000-00004C000000}"/>
    <cellStyle name="Incorrecto 3" xfId="115" xr:uid="{00000000-0005-0000-0000-00004D000000}"/>
    <cellStyle name="Millares" xfId="168" builtinId="3"/>
    <cellStyle name="Millares [0]" xfId="167" builtinId="6"/>
    <cellStyle name="Millares [0] 2" xfId="50" xr:uid="{00000000-0005-0000-0000-000050000000}"/>
    <cellStyle name="Millares [0] 2 2" xfId="116" xr:uid="{00000000-0005-0000-0000-000051000000}"/>
    <cellStyle name="Millares [0] 2 3" xfId="117" xr:uid="{00000000-0005-0000-0000-000052000000}"/>
    <cellStyle name="Millares [0] 3" xfId="51" xr:uid="{00000000-0005-0000-0000-000053000000}"/>
    <cellStyle name="Millares [0] 4" xfId="176" xr:uid="{5A9EAA85-B9B7-456E-B933-C77BEB55E735}"/>
    <cellStyle name="Millares 10" xfId="200" xr:uid="{B4EDDF4F-A2B0-4FAC-B5F1-3F734352A59E}"/>
    <cellStyle name="Millares 11" xfId="197" xr:uid="{71C522C0-7849-45E6-AE49-4518027F0B63}"/>
    <cellStyle name="Millares 2" xfId="52" xr:uid="{00000000-0005-0000-0000-000054000000}"/>
    <cellStyle name="Millares 2 10" xfId="179" xr:uid="{12C379FB-0DF9-48AB-801A-1C48965D7151}"/>
    <cellStyle name="Millares 2 2" xfId="53" xr:uid="{00000000-0005-0000-0000-000055000000}"/>
    <cellStyle name="Millares 2 2 2" xfId="118" xr:uid="{00000000-0005-0000-0000-000056000000}"/>
    <cellStyle name="Millares 2 2 2 3" xfId="182" xr:uid="{25D68F1E-6712-42A3-843A-A60BA554DD1C}"/>
    <cellStyle name="Millares 2 2 3" xfId="119" xr:uid="{00000000-0005-0000-0000-000057000000}"/>
    <cellStyle name="Millares 2 2 4" xfId="133" xr:uid="{00000000-0005-0000-0000-000058000000}"/>
    <cellStyle name="Millares 2 3" xfId="54" xr:uid="{00000000-0005-0000-0000-000059000000}"/>
    <cellStyle name="Millares 2 3 10" xfId="134" xr:uid="{00000000-0005-0000-0000-00005A000000}"/>
    <cellStyle name="Millares 2 3 11" xfId="135" xr:uid="{00000000-0005-0000-0000-00005B000000}"/>
    <cellStyle name="Millares 2 3 12" xfId="136" xr:uid="{00000000-0005-0000-0000-00005C000000}"/>
    <cellStyle name="Millares 2 3 2" xfId="137" xr:uid="{00000000-0005-0000-0000-00005D000000}"/>
    <cellStyle name="Millares 2 3 3" xfId="138" xr:uid="{00000000-0005-0000-0000-00005E000000}"/>
    <cellStyle name="Millares 2 3 4" xfId="139" xr:uid="{00000000-0005-0000-0000-00005F000000}"/>
    <cellStyle name="Millares 2 3 5" xfId="140" xr:uid="{00000000-0005-0000-0000-000060000000}"/>
    <cellStyle name="Millares 2 3 6" xfId="141" xr:uid="{00000000-0005-0000-0000-000061000000}"/>
    <cellStyle name="Millares 2 3 7" xfId="142" xr:uid="{00000000-0005-0000-0000-000062000000}"/>
    <cellStyle name="Millares 2 3 8" xfId="143" xr:uid="{00000000-0005-0000-0000-000063000000}"/>
    <cellStyle name="Millares 2 3 9" xfId="144" xr:uid="{00000000-0005-0000-0000-000064000000}"/>
    <cellStyle name="Millares 2 4" xfId="5" xr:uid="{00000000-0005-0000-0000-000065000000}"/>
    <cellStyle name="Millares 2 5" xfId="145" xr:uid="{00000000-0005-0000-0000-000066000000}"/>
    <cellStyle name="Millares 2 6" xfId="146" xr:uid="{00000000-0005-0000-0000-000067000000}"/>
    <cellStyle name="Millares 2 7" xfId="147" xr:uid="{00000000-0005-0000-0000-000068000000}"/>
    <cellStyle name="Millares 2 8" xfId="148" xr:uid="{00000000-0005-0000-0000-000069000000}"/>
    <cellStyle name="Millares 2 9" xfId="149" xr:uid="{00000000-0005-0000-0000-00006A000000}"/>
    <cellStyle name="Millares 3" xfId="55" xr:uid="{00000000-0005-0000-0000-00006B000000}"/>
    <cellStyle name="Millares 3 2" xfId="2" xr:uid="{00000000-0005-0000-0000-00006C000000}"/>
    <cellStyle name="Millares 3 2 2" xfId="183" xr:uid="{008C324A-937C-4579-BB08-6AF6587308C1}"/>
    <cellStyle name="Millares 4" xfId="56" xr:uid="{00000000-0005-0000-0000-00006D000000}"/>
    <cellStyle name="Millares 5" xfId="57" xr:uid="{00000000-0005-0000-0000-00006E000000}"/>
    <cellStyle name="Millares 6" xfId="162" xr:uid="{00000000-0005-0000-0000-00006F000000}"/>
    <cellStyle name="Millares 7" xfId="180" xr:uid="{BFAB4F7B-CEB4-4751-A074-C67B80AF909E}"/>
    <cellStyle name="Millares 8" xfId="198" xr:uid="{0F6E73D0-6441-4485-8DEB-B5D30F894BB6}"/>
    <cellStyle name="Millares 9" xfId="199" xr:uid="{A23821A4-5005-4B82-A3C9-9B5AA2ABF066}"/>
    <cellStyle name="Moneda" xfId="169" builtinId="4"/>
    <cellStyle name="Moneda [0]" xfId="166" builtinId="7"/>
    <cellStyle name="Moneda [0] 2" xfId="177" xr:uid="{F23BB291-ABB2-4345-8973-1537EE5A87A4}"/>
    <cellStyle name="Moneda [0] 3" xfId="189" xr:uid="{B2245718-28A7-4C8A-9646-C026FF5836B3}"/>
    <cellStyle name="Moneda [0] 4" xfId="187" xr:uid="{4B72D2CD-C1E1-4ABA-AA6D-5F3521F19087}"/>
    <cellStyle name="Moneda 10 2" xfId="193" xr:uid="{5522EF99-E003-47C3-8A78-017BA0D96D8A}"/>
    <cellStyle name="Moneda 14 5" xfId="188" xr:uid="{2E672AA2-FC71-4A77-8C50-00A113B0A893}"/>
    <cellStyle name="Moneda 2" xfId="58" xr:uid="{00000000-0005-0000-0000-000072000000}"/>
    <cellStyle name="Moneda 2 2" xfId="59" xr:uid="{00000000-0005-0000-0000-000073000000}"/>
    <cellStyle name="Moneda 2 3" xfId="191" xr:uid="{DBE92972-0DF2-494E-AD15-7C922A5C5B79}"/>
    <cellStyle name="Moneda 3" xfId="60" xr:uid="{00000000-0005-0000-0000-000074000000}"/>
    <cellStyle name="Moneda 3 2" xfId="61" xr:uid="{00000000-0005-0000-0000-000075000000}"/>
    <cellStyle name="Moneda 3 3" xfId="62" xr:uid="{00000000-0005-0000-0000-000076000000}"/>
    <cellStyle name="Neutral 2" xfId="63" xr:uid="{00000000-0005-0000-0000-000077000000}"/>
    <cellStyle name="Neutral 3" xfId="120" xr:uid="{00000000-0005-0000-0000-000078000000}"/>
    <cellStyle name="No-definido" xfId="64" xr:uid="{00000000-0005-0000-0000-000079000000}"/>
    <cellStyle name="Normal" xfId="0" builtinId="0"/>
    <cellStyle name="Normal 11" xfId="150" xr:uid="{00000000-0005-0000-0000-00007B000000}"/>
    <cellStyle name="Normal 11 2" xfId="195" xr:uid="{B33872EC-8355-41B8-9F0F-7E80D12B9CC3}"/>
    <cellStyle name="Normal 12" xfId="171" xr:uid="{00000000-0005-0000-0000-00007C000000}"/>
    <cellStyle name="Normal 13" xfId="151" xr:uid="{00000000-0005-0000-0000-00007D000000}"/>
    <cellStyle name="Normal 14" xfId="152" xr:uid="{00000000-0005-0000-0000-00007E000000}"/>
    <cellStyle name="Normal 15" xfId="153" xr:uid="{00000000-0005-0000-0000-00007F000000}"/>
    <cellStyle name="Normal 16" xfId="154" xr:uid="{00000000-0005-0000-0000-000080000000}"/>
    <cellStyle name="Normal 17" xfId="185" xr:uid="{D4B27121-8426-49F3-921D-A4A729059A6F}"/>
    <cellStyle name="Normal 18" xfId="155" xr:uid="{00000000-0005-0000-0000-000081000000}"/>
    <cellStyle name="Normal 19" xfId="156" xr:uid="{00000000-0005-0000-0000-000082000000}"/>
    <cellStyle name="Normal 2" xfId="3" xr:uid="{00000000-0005-0000-0000-000083000000}"/>
    <cellStyle name="Normal 2 10" xfId="65" xr:uid="{00000000-0005-0000-0000-000084000000}"/>
    <cellStyle name="Normal 2 10 2" xfId="174" xr:uid="{00000000-0005-0000-0000-000085000000}"/>
    <cellStyle name="Normal 2 2" xfId="66" xr:uid="{00000000-0005-0000-0000-000086000000}"/>
    <cellStyle name="Normal 2 2 2" xfId="181" xr:uid="{931007ED-38AA-47EC-BAA4-C176DD090406}"/>
    <cellStyle name="Normal 2 2 2 2" xfId="172" xr:uid="{00000000-0005-0000-0000-000087000000}"/>
    <cellStyle name="Normal 2 2 2 3" xfId="196" xr:uid="{89136E3A-7F43-4D79-8C81-44B14F3AD857}"/>
    <cellStyle name="Normal 2 3" xfId="67" xr:uid="{00000000-0005-0000-0000-000088000000}"/>
    <cellStyle name="Normal 2 3 2" xfId="131" xr:uid="{00000000-0005-0000-0000-000089000000}"/>
    <cellStyle name="Normal 22" xfId="157" xr:uid="{00000000-0005-0000-0000-00008A000000}"/>
    <cellStyle name="Normal 24" xfId="158" xr:uid="{00000000-0005-0000-0000-00008B000000}"/>
    <cellStyle name="Normal 3" xfId="68" xr:uid="{00000000-0005-0000-0000-00008C000000}"/>
    <cellStyle name="Normal 3 2" xfId="4" xr:uid="{00000000-0005-0000-0000-00008D000000}"/>
    <cellStyle name="Normal 3 2 2" xfId="69" xr:uid="{00000000-0005-0000-0000-00008E000000}"/>
    <cellStyle name="Normal 3 2 2 2" xfId="186" xr:uid="{EA0AAB9A-EA94-45C6-BB96-079FC96ADE29}"/>
    <cellStyle name="Normal 3 2 3" xfId="70" xr:uid="{00000000-0005-0000-0000-00008F000000}"/>
    <cellStyle name="Normal 3 2 3 2" xfId="190" xr:uid="{BB3107BC-D46F-4D02-BF42-357AA4ACD2B3}"/>
    <cellStyle name="Normal 4" xfId="71" xr:uid="{00000000-0005-0000-0000-000090000000}"/>
    <cellStyle name="Normal 4 2" xfId="130" xr:uid="{00000000-0005-0000-0000-000091000000}"/>
    <cellStyle name="Normal 4 3" xfId="132" xr:uid="{00000000-0005-0000-0000-000092000000}"/>
    <cellStyle name="Normal 5" xfId="72" xr:uid="{00000000-0005-0000-0000-000093000000}"/>
    <cellStyle name="Normal 6" xfId="73" xr:uid="{00000000-0005-0000-0000-000094000000}"/>
    <cellStyle name="Normal 6 2 2" xfId="184" xr:uid="{17EF994D-FE69-4F20-A646-3996B93F95A7}"/>
    <cellStyle name="Normal 7" xfId="159" xr:uid="{00000000-0005-0000-0000-000095000000}"/>
    <cellStyle name="Normal 7 2" xfId="160" xr:uid="{00000000-0005-0000-0000-000096000000}"/>
    <cellStyle name="Normal 8" xfId="165" xr:uid="{00000000-0005-0000-0000-000097000000}"/>
    <cellStyle name="Normal 8 2" xfId="178" xr:uid="{399EFEE6-EDA0-40BC-A2EF-7F0172217F53}"/>
    <cellStyle name="Normal_PRESUPUESTO PR 82+400" xfId="170" xr:uid="{00000000-0005-0000-0000-000098000000}"/>
    <cellStyle name="Notas 2" xfId="74" xr:uid="{00000000-0005-0000-0000-000099000000}"/>
    <cellStyle name="Notas 3" xfId="121" xr:uid="{00000000-0005-0000-0000-00009A000000}"/>
    <cellStyle name="Percent" xfId="75" xr:uid="{00000000-0005-0000-0000-00009B000000}"/>
    <cellStyle name="Percent 2" xfId="163" xr:uid="{00000000-0005-0000-0000-00009C000000}"/>
    <cellStyle name="Porcentaje" xfId="175" builtinId="5"/>
    <cellStyle name="Porcentaje 10" xfId="192" xr:uid="{0688A2D1-8FFC-423E-A91E-98F55DC87076}"/>
    <cellStyle name="Porcentaje 2 2" xfId="173" xr:uid="{00000000-0005-0000-0000-00009E000000}"/>
    <cellStyle name="Porcentaje 4 2" xfId="194" xr:uid="{EF7B42B0-353D-4427-99E6-EC99D2E06F69}"/>
    <cellStyle name="Porcentual 2" xfId="76" xr:uid="{00000000-0005-0000-0000-00009F000000}"/>
    <cellStyle name="Salida 2" xfId="77" xr:uid="{00000000-0005-0000-0000-0000A0000000}"/>
    <cellStyle name="Salida 3" xfId="122" xr:uid="{00000000-0005-0000-0000-0000A1000000}"/>
    <cellStyle name="Texto de advertencia 2" xfId="78" xr:uid="{00000000-0005-0000-0000-0000A2000000}"/>
    <cellStyle name="Texto de advertencia 3" xfId="123" xr:uid="{00000000-0005-0000-0000-0000A3000000}"/>
    <cellStyle name="Texto explicativo 2" xfId="79" xr:uid="{00000000-0005-0000-0000-0000A4000000}"/>
    <cellStyle name="Texto explicativo 3" xfId="124" xr:uid="{00000000-0005-0000-0000-0000A5000000}"/>
    <cellStyle name="Título 1 2" xfId="80" xr:uid="{00000000-0005-0000-0000-0000A6000000}"/>
    <cellStyle name="Título 1 3" xfId="125" xr:uid="{00000000-0005-0000-0000-0000A7000000}"/>
    <cellStyle name="Título 2 2" xfId="81" xr:uid="{00000000-0005-0000-0000-0000A8000000}"/>
    <cellStyle name="Título 2 3" xfId="126" xr:uid="{00000000-0005-0000-0000-0000A9000000}"/>
    <cellStyle name="Título 3 2" xfId="82" xr:uid="{00000000-0005-0000-0000-0000AA000000}"/>
    <cellStyle name="Título 3 3" xfId="127" xr:uid="{00000000-0005-0000-0000-0000AB000000}"/>
    <cellStyle name="Título 4" xfId="83" xr:uid="{00000000-0005-0000-0000-0000AC000000}"/>
    <cellStyle name="Título 5" xfId="128" xr:uid="{00000000-0005-0000-0000-0000AD000000}"/>
    <cellStyle name="Total 2" xfId="84" xr:uid="{00000000-0005-0000-0000-0000AE000000}"/>
    <cellStyle name="Total 3" xfId="129" xr:uid="{00000000-0005-0000-0000-0000A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65</xdr:row>
      <xdr:rowOff>0</xdr:rowOff>
    </xdr:from>
    <xdr:to>
      <xdr:col>1</xdr:col>
      <xdr:colOff>1238250</xdr:colOff>
      <xdr:row>65</xdr:row>
      <xdr:rowOff>0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839825"/>
          <a:ext cx="168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3067050</xdr:colOff>
      <xdr:row>65</xdr:row>
      <xdr:rowOff>0</xdr:rowOff>
    </xdr:from>
    <xdr:to>
      <xdr:col>5</xdr:col>
      <xdr:colOff>685800</xdr:colOff>
      <xdr:row>65</xdr:row>
      <xdr:rowOff>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438525" y="13839825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Anteproyecto de Acueducto y </a:t>
          </a:r>
        </a:p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Alcantarillado urbano de Argelia</a:t>
          </a:r>
        </a:p>
        <a:p>
          <a:pPr algn="ctr" rtl="0"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65</xdr:row>
      <xdr:rowOff>0</xdr:rowOff>
    </xdr:from>
    <xdr:to>
      <xdr:col>1</xdr:col>
      <xdr:colOff>1238250</xdr:colOff>
      <xdr:row>65</xdr:row>
      <xdr:rowOff>0</xdr:rowOff>
    </xdr:to>
    <xdr:pic>
      <xdr:nvPicPr>
        <xdr:cNvPr id="4" name="Picture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839825"/>
          <a:ext cx="168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1</xdr:col>
      <xdr:colOff>1238250</xdr:colOff>
      <xdr:row>100</xdr:row>
      <xdr:rowOff>0</xdr:rowOff>
    </xdr:to>
    <xdr:pic>
      <xdr:nvPicPr>
        <xdr:cNvPr id="5" name="Picture 2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168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3067050</xdr:colOff>
      <xdr:row>100</xdr:row>
      <xdr:rowOff>0</xdr:rowOff>
    </xdr:from>
    <xdr:to>
      <xdr:col>5</xdr:col>
      <xdr:colOff>685800</xdr:colOff>
      <xdr:row>100</xdr:row>
      <xdr:rowOff>0</xdr:rowOff>
    </xdr:to>
    <xdr:sp macro="" textlink="">
      <xdr:nvSpPr>
        <xdr:cNvPr id="6" name="Text Box 2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438525" y="22564725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Anteproyecto de Acueducto y </a:t>
          </a:r>
        </a:p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Alcantarillado urbano de Argelia</a:t>
          </a:r>
        </a:p>
        <a:p>
          <a:pPr algn="ctr" rtl="0"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1</xdr:col>
      <xdr:colOff>1238250</xdr:colOff>
      <xdr:row>100</xdr:row>
      <xdr:rowOff>0</xdr:rowOff>
    </xdr:to>
    <xdr:pic>
      <xdr:nvPicPr>
        <xdr:cNvPr id="7" name="Picture 2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168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3067050</xdr:colOff>
      <xdr:row>100</xdr:row>
      <xdr:rowOff>0</xdr:rowOff>
    </xdr:from>
    <xdr:to>
      <xdr:col>5</xdr:col>
      <xdr:colOff>685800</xdr:colOff>
      <xdr:row>100</xdr:row>
      <xdr:rowOff>0</xdr:rowOff>
    </xdr:to>
    <xdr:sp macro="" textlink="">
      <xdr:nvSpPr>
        <xdr:cNvPr id="8" name="Text Box 3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438525" y="22564725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Anteproyecto de Acueducto y </a:t>
          </a:r>
        </a:p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Alcantarillado urbano de Argelia</a:t>
          </a:r>
        </a:p>
        <a:p>
          <a:pPr algn="ctr" rtl="0"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3067050</xdr:colOff>
      <xdr:row>122</xdr:row>
      <xdr:rowOff>0</xdr:rowOff>
    </xdr:from>
    <xdr:to>
      <xdr:col>5</xdr:col>
      <xdr:colOff>685800</xdr:colOff>
      <xdr:row>122</xdr:row>
      <xdr:rowOff>0</xdr:rowOff>
    </xdr:to>
    <xdr:sp macro="" textlink="">
      <xdr:nvSpPr>
        <xdr:cNvPr id="9" name="Text Box 2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438525" y="2767965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Anteproyecto de Acueducto y </a:t>
          </a:r>
        </a:p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Alcantarillado urbano de Argelia</a:t>
          </a:r>
        </a:p>
        <a:p>
          <a:pPr algn="ctr" rtl="0"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3067050</xdr:colOff>
      <xdr:row>123</xdr:row>
      <xdr:rowOff>0</xdr:rowOff>
    </xdr:from>
    <xdr:to>
      <xdr:col>5</xdr:col>
      <xdr:colOff>685800</xdr:colOff>
      <xdr:row>123</xdr:row>
      <xdr:rowOff>0</xdr:rowOff>
    </xdr:to>
    <xdr:sp macro="" textlink="">
      <xdr:nvSpPr>
        <xdr:cNvPr id="10" name="Text Box 2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438525" y="2796540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Anteproyecto de Acueducto y </a:t>
          </a:r>
        </a:p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Alcantarillado urbano de Argelia</a:t>
          </a:r>
        </a:p>
        <a:p>
          <a:pPr algn="ctr" rtl="0"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139</xdr:row>
      <xdr:rowOff>0</xdr:rowOff>
    </xdr:from>
    <xdr:to>
      <xdr:col>1</xdr:col>
      <xdr:colOff>1238250</xdr:colOff>
      <xdr:row>139</xdr:row>
      <xdr:rowOff>0</xdr:rowOff>
    </xdr:to>
    <xdr:pic>
      <xdr:nvPicPr>
        <xdr:cNvPr id="11" name="Picture 3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18200"/>
          <a:ext cx="168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1</xdr:col>
      <xdr:colOff>1238250</xdr:colOff>
      <xdr:row>139</xdr:row>
      <xdr:rowOff>0</xdr:rowOff>
    </xdr:to>
    <xdr:pic>
      <xdr:nvPicPr>
        <xdr:cNvPr id="12" name="Picture 4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18200"/>
          <a:ext cx="168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460779</xdr:colOff>
      <xdr:row>0</xdr:row>
      <xdr:rowOff>38877</xdr:rowOff>
    </xdr:from>
    <xdr:to>
      <xdr:col>6</xdr:col>
      <xdr:colOff>1234362</xdr:colOff>
      <xdr:row>0</xdr:row>
      <xdr:rowOff>712573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2CB86AED-C2EC-422B-AF65-1070D87F5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2947" y="38877"/>
          <a:ext cx="773583" cy="6736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225489</xdr:colOff>
      <xdr:row>69</xdr:row>
      <xdr:rowOff>39883</xdr:rowOff>
    </xdr:from>
    <xdr:to>
      <xdr:col>2</xdr:col>
      <xdr:colOff>2231571</xdr:colOff>
      <xdr:row>72</xdr:row>
      <xdr:rowOff>31101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177EA0-C9E6-4ED2-B40F-D957BC730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4101" y="21422536"/>
          <a:ext cx="2006082" cy="5743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C74AE2BB-01C7-4F79-AB16-72AAC5E3A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62</xdr:row>
      <xdr:rowOff>0</xdr:rowOff>
    </xdr:from>
    <xdr:to>
      <xdr:col>12</xdr:col>
      <xdr:colOff>304800</xdr:colOff>
      <xdr:row>63</xdr:row>
      <xdr:rowOff>114297</xdr:rowOff>
    </xdr:to>
    <xdr:sp macro="" textlink="">
      <xdr:nvSpPr>
        <xdr:cNvPr id="3" name="AutoShape 5" descr="Resultado de imagen de dosificaciones de concreto colombia ">
          <a:extLst>
            <a:ext uri="{FF2B5EF4-FFF2-40B4-BE49-F238E27FC236}">
              <a16:creationId xmlns:a16="http://schemas.microsoft.com/office/drawing/2014/main" id="{27A11FEE-FA82-41D9-901F-8691682E2E18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120205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56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53910D92-04E2-47AF-BCDC-03D26AB96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108</xdr:row>
      <xdr:rowOff>117287</xdr:rowOff>
    </xdr:from>
    <xdr:ext cx="580490" cy="521526"/>
    <xdr:pic>
      <xdr:nvPicPr>
        <xdr:cNvPr id="5" name="Imagen 5">
          <a:extLst>
            <a:ext uri="{FF2B5EF4-FFF2-40B4-BE49-F238E27FC236}">
              <a16:creationId xmlns:a16="http://schemas.microsoft.com/office/drawing/2014/main" id="{AFA5BD3A-5E03-44A9-A062-52B3C71E9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157</xdr:row>
      <xdr:rowOff>117287</xdr:rowOff>
    </xdr:from>
    <xdr:ext cx="580490" cy="521526"/>
    <xdr:pic>
      <xdr:nvPicPr>
        <xdr:cNvPr id="6" name="Imagen 5">
          <a:extLst>
            <a:ext uri="{FF2B5EF4-FFF2-40B4-BE49-F238E27FC236}">
              <a16:creationId xmlns:a16="http://schemas.microsoft.com/office/drawing/2014/main" id="{95AECD62-B619-4B08-BBCE-34812DD95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210</xdr:row>
      <xdr:rowOff>117287</xdr:rowOff>
    </xdr:from>
    <xdr:ext cx="580490" cy="521526"/>
    <xdr:pic>
      <xdr:nvPicPr>
        <xdr:cNvPr id="7" name="Imagen 5">
          <a:extLst>
            <a:ext uri="{FF2B5EF4-FFF2-40B4-BE49-F238E27FC236}">
              <a16:creationId xmlns:a16="http://schemas.microsoft.com/office/drawing/2014/main" id="{65A2F43E-7E02-4FFA-9302-8287E8A29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260</xdr:row>
      <xdr:rowOff>117287</xdr:rowOff>
    </xdr:from>
    <xdr:ext cx="580490" cy="521526"/>
    <xdr:pic>
      <xdr:nvPicPr>
        <xdr:cNvPr id="8" name="Imagen 5">
          <a:extLst>
            <a:ext uri="{FF2B5EF4-FFF2-40B4-BE49-F238E27FC236}">
              <a16:creationId xmlns:a16="http://schemas.microsoft.com/office/drawing/2014/main" id="{CE6D8688-3FF6-44EA-A24A-5271CBAC6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315</xdr:row>
      <xdr:rowOff>117287</xdr:rowOff>
    </xdr:from>
    <xdr:ext cx="580490" cy="521526"/>
    <xdr:pic>
      <xdr:nvPicPr>
        <xdr:cNvPr id="9" name="Imagen 5">
          <a:extLst>
            <a:ext uri="{FF2B5EF4-FFF2-40B4-BE49-F238E27FC236}">
              <a16:creationId xmlns:a16="http://schemas.microsoft.com/office/drawing/2014/main" id="{213AD919-CC16-41BB-945D-B6ABACC13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365</xdr:row>
      <xdr:rowOff>117287</xdr:rowOff>
    </xdr:from>
    <xdr:ext cx="580490" cy="521526"/>
    <xdr:pic>
      <xdr:nvPicPr>
        <xdr:cNvPr id="10" name="Imagen 5">
          <a:extLst>
            <a:ext uri="{FF2B5EF4-FFF2-40B4-BE49-F238E27FC236}">
              <a16:creationId xmlns:a16="http://schemas.microsoft.com/office/drawing/2014/main" id="{FEA800CE-4DD2-4133-B248-93E9D5A4F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416</xdr:row>
      <xdr:rowOff>117287</xdr:rowOff>
    </xdr:from>
    <xdr:ext cx="580490" cy="521526"/>
    <xdr:pic>
      <xdr:nvPicPr>
        <xdr:cNvPr id="11" name="Imagen 5">
          <a:extLst>
            <a:ext uri="{FF2B5EF4-FFF2-40B4-BE49-F238E27FC236}">
              <a16:creationId xmlns:a16="http://schemas.microsoft.com/office/drawing/2014/main" id="{E91C32FD-32BB-45C4-AC64-9254B7EFC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469</xdr:row>
      <xdr:rowOff>117287</xdr:rowOff>
    </xdr:from>
    <xdr:ext cx="580490" cy="521526"/>
    <xdr:pic>
      <xdr:nvPicPr>
        <xdr:cNvPr id="12" name="Imagen 5">
          <a:extLst>
            <a:ext uri="{FF2B5EF4-FFF2-40B4-BE49-F238E27FC236}">
              <a16:creationId xmlns:a16="http://schemas.microsoft.com/office/drawing/2014/main" id="{D6F34B70-072B-4840-ADEC-3314D86AB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522</xdr:row>
      <xdr:rowOff>117287</xdr:rowOff>
    </xdr:from>
    <xdr:ext cx="580490" cy="521526"/>
    <xdr:pic>
      <xdr:nvPicPr>
        <xdr:cNvPr id="13" name="Imagen 5">
          <a:extLst>
            <a:ext uri="{FF2B5EF4-FFF2-40B4-BE49-F238E27FC236}">
              <a16:creationId xmlns:a16="http://schemas.microsoft.com/office/drawing/2014/main" id="{158C6930-0ACC-42ED-8B3F-DCA41A1F1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575</xdr:row>
      <xdr:rowOff>117287</xdr:rowOff>
    </xdr:from>
    <xdr:ext cx="580490" cy="521526"/>
    <xdr:pic>
      <xdr:nvPicPr>
        <xdr:cNvPr id="14" name="Imagen 5">
          <a:extLst>
            <a:ext uri="{FF2B5EF4-FFF2-40B4-BE49-F238E27FC236}">
              <a16:creationId xmlns:a16="http://schemas.microsoft.com/office/drawing/2014/main" id="{085499FC-5B27-46C0-9C87-B639AD5E8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626</xdr:row>
      <xdr:rowOff>117287</xdr:rowOff>
    </xdr:from>
    <xdr:ext cx="580490" cy="521526"/>
    <xdr:pic>
      <xdr:nvPicPr>
        <xdr:cNvPr id="15" name="Imagen 5">
          <a:extLst>
            <a:ext uri="{FF2B5EF4-FFF2-40B4-BE49-F238E27FC236}">
              <a16:creationId xmlns:a16="http://schemas.microsoft.com/office/drawing/2014/main" id="{D96611A6-4EC6-4F1A-9620-FA1B7793C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679</xdr:row>
      <xdr:rowOff>117287</xdr:rowOff>
    </xdr:from>
    <xdr:ext cx="580490" cy="521526"/>
    <xdr:pic>
      <xdr:nvPicPr>
        <xdr:cNvPr id="16" name="Imagen 5">
          <a:extLst>
            <a:ext uri="{FF2B5EF4-FFF2-40B4-BE49-F238E27FC236}">
              <a16:creationId xmlns:a16="http://schemas.microsoft.com/office/drawing/2014/main" id="{E3CBF101-3AF8-43CF-A9F7-E5B2AFC97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210</xdr:row>
      <xdr:rowOff>117287</xdr:rowOff>
    </xdr:from>
    <xdr:ext cx="580490" cy="521526"/>
    <xdr:pic>
      <xdr:nvPicPr>
        <xdr:cNvPr id="22" name="Imagen 21">
          <a:extLst>
            <a:ext uri="{FF2B5EF4-FFF2-40B4-BE49-F238E27FC236}">
              <a16:creationId xmlns:a16="http://schemas.microsoft.com/office/drawing/2014/main" id="{D37A0855-0050-45D7-AFA9-B85A786F4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722" y="29134026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469</xdr:row>
      <xdr:rowOff>117287</xdr:rowOff>
    </xdr:from>
    <xdr:ext cx="580490" cy="521526"/>
    <xdr:pic>
      <xdr:nvPicPr>
        <xdr:cNvPr id="25" name="Imagen 5">
          <a:extLst>
            <a:ext uri="{FF2B5EF4-FFF2-40B4-BE49-F238E27FC236}">
              <a16:creationId xmlns:a16="http://schemas.microsoft.com/office/drawing/2014/main" id="{03300048-7D32-4341-BE74-537F86C4E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8702" y="77098551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574302</xdr:colOff>
      <xdr:row>89</xdr:row>
      <xdr:rowOff>32655</xdr:rowOff>
    </xdr:from>
    <xdr:ext cx="1344706" cy="370162"/>
    <xdr:pic>
      <xdr:nvPicPr>
        <xdr:cNvPr id="28" name="Imagen 27">
          <a:extLst>
            <a:ext uri="{FF2B5EF4-FFF2-40B4-BE49-F238E27FC236}">
              <a16:creationId xmlns:a16="http://schemas.microsoft.com/office/drawing/2014/main" id="{2A5D81C1-F499-4987-8BDC-EF5123608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9633" y="17149640"/>
          <a:ext cx="1344706" cy="370162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40</xdr:row>
      <xdr:rowOff>16208</xdr:rowOff>
    </xdr:from>
    <xdr:ext cx="1302684" cy="358595"/>
    <xdr:pic>
      <xdr:nvPicPr>
        <xdr:cNvPr id="29" name="Imagen 28">
          <a:extLst>
            <a:ext uri="{FF2B5EF4-FFF2-40B4-BE49-F238E27FC236}">
              <a16:creationId xmlns:a16="http://schemas.microsoft.com/office/drawing/2014/main" id="{AE7AA9C9-3040-4728-88F1-1298BD145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141</xdr:row>
      <xdr:rowOff>16208</xdr:rowOff>
    </xdr:from>
    <xdr:ext cx="1302684" cy="358595"/>
    <xdr:pic>
      <xdr:nvPicPr>
        <xdr:cNvPr id="31" name="Imagen 30">
          <a:extLst>
            <a:ext uri="{FF2B5EF4-FFF2-40B4-BE49-F238E27FC236}">
              <a16:creationId xmlns:a16="http://schemas.microsoft.com/office/drawing/2014/main" id="{EE76495A-20BE-44BC-B608-5EB4F1471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191</xdr:row>
      <xdr:rowOff>16208</xdr:rowOff>
    </xdr:from>
    <xdr:ext cx="1302684" cy="358595"/>
    <xdr:pic>
      <xdr:nvPicPr>
        <xdr:cNvPr id="32" name="Imagen 31">
          <a:extLst>
            <a:ext uri="{FF2B5EF4-FFF2-40B4-BE49-F238E27FC236}">
              <a16:creationId xmlns:a16="http://schemas.microsoft.com/office/drawing/2014/main" id="{0F02A8B5-FB08-4637-BC87-11E8372AC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244</xdr:row>
      <xdr:rowOff>16208</xdr:rowOff>
    </xdr:from>
    <xdr:ext cx="1302684" cy="358595"/>
    <xdr:pic>
      <xdr:nvPicPr>
        <xdr:cNvPr id="33" name="Imagen 32">
          <a:extLst>
            <a:ext uri="{FF2B5EF4-FFF2-40B4-BE49-F238E27FC236}">
              <a16:creationId xmlns:a16="http://schemas.microsoft.com/office/drawing/2014/main" id="{C96B2012-D1C7-4D13-99B1-4EB588046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298</xdr:row>
      <xdr:rowOff>16208</xdr:rowOff>
    </xdr:from>
    <xdr:ext cx="1302684" cy="358595"/>
    <xdr:pic>
      <xdr:nvPicPr>
        <xdr:cNvPr id="34" name="Imagen 33">
          <a:extLst>
            <a:ext uri="{FF2B5EF4-FFF2-40B4-BE49-F238E27FC236}">
              <a16:creationId xmlns:a16="http://schemas.microsoft.com/office/drawing/2014/main" id="{01964DF1-CCA9-4015-B024-24AB2A337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348</xdr:row>
      <xdr:rowOff>16208</xdr:rowOff>
    </xdr:from>
    <xdr:ext cx="1302684" cy="358595"/>
    <xdr:pic>
      <xdr:nvPicPr>
        <xdr:cNvPr id="35" name="Imagen 34">
          <a:extLst>
            <a:ext uri="{FF2B5EF4-FFF2-40B4-BE49-F238E27FC236}">
              <a16:creationId xmlns:a16="http://schemas.microsoft.com/office/drawing/2014/main" id="{1210CAFA-59C3-415F-8D2F-0DB25D929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401</xdr:row>
      <xdr:rowOff>16208</xdr:rowOff>
    </xdr:from>
    <xdr:ext cx="1302684" cy="358595"/>
    <xdr:pic>
      <xdr:nvPicPr>
        <xdr:cNvPr id="36" name="Imagen 35">
          <a:extLst>
            <a:ext uri="{FF2B5EF4-FFF2-40B4-BE49-F238E27FC236}">
              <a16:creationId xmlns:a16="http://schemas.microsoft.com/office/drawing/2014/main" id="{A7931AA6-C01F-4FE7-8069-4F0843312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09845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451</xdr:row>
      <xdr:rowOff>16208</xdr:rowOff>
    </xdr:from>
    <xdr:ext cx="1302684" cy="358595"/>
    <xdr:pic>
      <xdr:nvPicPr>
        <xdr:cNvPr id="37" name="Imagen 36">
          <a:extLst>
            <a:ext uri="{FF2B5EF4-FFF2-40B4-BE49-F238E27FC236}">
              <a16:creationId xmlns:a16="http://schemas.microsoft.com/office/drawing/2014/main" id="{87EAFA31-237B-4C45-A12D-7B996090B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7498356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504</xdr:row>
      <xdr:rowOff>16208</xdr:rowOff>
    </xdr:from>
    <xdr:ext cx="1302684" cy="358595"/>
    <xdr:pic>
      <xdr:nvPicPr>
        <xdr:cNvPr id="38" name="Imagen 37">
          <a:extLst>
            <a:ext uri="{FF2B5EF4-FFF2-40B4-BE49-F238E27FC236}">
              <a16:creationId xmlns:a16="http://schemas.microsoft.com/office/drawing/2014/main" id="{BBE6CC9F-DE51-4751-8C40-A2AF00DA0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84186392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555</xdr:row>
      <xdr:rowOff>16208</xdr:rowOff>
    </xdr:from>
    <xdr:ext cx="1302684" cy="358595"/>
    <xdr:pic>
      <xdr:nvPicPr>
        <xdr:cNvPr id="39" name="Imagen 38">
          <a:extLst>
            <a:ext uri="{FF2B5EF4-FFF2-40B4-BE49-F238E27FC236}">
              <a16:creationId xmlns:a16="http://schemas.microsoft.com/office/drawing/2014/main" id="{F9DAA14A-7691-4EAF-ABCE-C117C2DAD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94229664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608</xdr:row>
      <xdr:rowOff>16208</xdr:rowOff>
    </xdr:from>
    <xdr:ext cx="1302684" cy="358595"/>
    <xdr:pic>
      <xdr:nvPicPr>
        <xdr:cNvPr id="40" name="Imagen 39">
          <a:extLst>
            <a:ext uri="{FF2B5EF4-FFF2-40B4-BE49-F238E27FC236}">
              <a16:creationId xmlns:a16="http://schemas.microsoft.com/office/drawing/2014/main" id="{22FF38D5-431A-4CE4-A84B-DDDA51B4B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103712642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662</xdr:row>
      <xdr:rowOff>16208</xdr:rowOff>
    </xdr:from>
    <xdr:ext cx="1302684" cy="358595"/>
    <xdr:pic>
      <xdr:nvPicPr>
        <xdr:cNvPr id="42" name="Imagen 41">
          <a:extLst>
            <a:ext uri="{FF2B5EF4-FFF2-40B4-BE49-F238E27FC236}">
              <a16:creationId xmlns:a16="http://schemas.microsoft.com/office/drawing/2014/main" id="{19866231-5105-4BE1-8159-6073B19ED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113461759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720</xdr:row>
      <xdr:rowOff>16208</xdr:rowOff>
    </xdr:from>
    <xdr:ext cx="1302684" cy="358595"/>
    <xdr:pic>
      <xdr:nvPicPr>
        <xdr:cNvPr id="43" name="Imagen 42">
          <a:extLst>
            <a:ext uri="{FF2B5EF4-FFF2-40B4-BE49-F238E27FC236}">
              <a16:creationId xmlns:a16="http://schemas.microsoft.com/office/drawing/2014/main" id="{975C1102-E47A-4D60-889C-863029689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9670" y="113461759"/>
          <a:ext cx="1302684" cy="35859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7FAD00CD-E95C-4887-AE11-3D0D47EB2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62</xdr:row>
      <xdr:rowOff>0</xdr:rowOff>
    </xdr:from>
    <xdr:to>
      <xdr:col>12</xdr:col>
      <xdr:colOff>304800</xdr:colOff>
      <xdr:row>63</xdr:row>
      <xdr:rowOff>114298</xdr:rowOff>
    </xdr:to>
    <xdr:sp macro="" textlink="">
      <xdr:nvSpPr>
        <xdr:cNvPr id="3" name="AutoShape 5" descr="Resultado de imagen de dosificaciones de concreto colombia ">
          <a:extLst>
            <a:ext uri="{FF2B5EF4-FFF2-40B4-BE49-F238E27FC236}">
              <a16:creationId xmlns:a16="http://schemas.microsoft.com/office/drawing/2014/main" id="{6AC65738-1ECA-40AC-B736-53B0048607E4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120205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4EA385A8-7565-4427-9639-88226D247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5" name="Imagen 5">
          <a:extLst>
            <a:ext uri="{FF2B5EF4-FFF2-40B4-BE49-F238E27FC236}">
              <a16:creationId xmlns:a16="http://schemas.microsoft.com/office/drawing/2014/main" id="{ED71F8BE-734B-4BEB-9E5F-850A27DEF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40</xdr:row>
      <xdr:rowOff>16208</xdr:rowOff>
    </xdr:from>
    <xdr:ext cx="1302684" cy="358595"/>
    <xdr:pic>
      <xdr:nvPicPr>
        <xdr:cNvPr id="6" name="Imagen 5">
          <a:extLst>
            <a:ext uri="{FF2B5EF4-FFF2-40B4-BE49-F238E27FC236}">
              <a16:creationId xmlns:a16="http://schemas.microsoft.com/office/drawing/2014/main" id="{54E003C2-9958-411B-B212-76F0A2C28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58</xdr:row>
      <xdr:rowOff>117287</xdr:rowOff>
    </xdr:from>
    <xdr:ext cx="580490" cy="521526"/>
    <xdr:pic>
      <xdr:nvPicPr>
        <xdr:cNvPr id="7" name="Imagen 5">
          <a:extLst>
            <a:ext uri="{FF2B5EF4-FFF2-40B4-BE49-F238E27FC236}">
              <a16:creationId xmlns:a16="http://schemas.microsoft.com/office/drawing/2014/main" id="{87F3D57A-CCA3-4032-B76F-E3AA65899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58</xdr:row>
      <xdr:rowOff>117287</xdr:rowOff>
    </xdr:from>
    <xdr:ext cx="580490" cy="521526"/>
    <xdr:pic>
      <xdr:nvPicPr>
        <xdr:cNvPr id="8" name="Imagen 5">
          <a:extLst>
            <a:ext uri="{FF2B5EF4-FFF2-40B4-BE49-F238E27FC236}">
              <a16:creationId xmlns:a16="http://schemas.microsoft.com/office/drawing/2014/main" id="{4B9C18AE-20D6-4859-9C55-B82370618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91</xdr:row>
      <xdr:rowOff>16208</xdr:rowOff>
    </xdr:from>
    <xdr:ext cx="1302684" cy="358595"/>
    <xdr:pic>
      <xdr:nvPicPr>
        <xdr:cNvPr id="9" name="Imagen 8">
          <a:extLst>
            <a:ext uri="{FF2B5EF4-FFF2-40B4-BE49-F238E27FC236}">
              <a16:creationId xmlns:a16="http://schemas.microsoft.com/office/drawing/2014/main" id="{6EFC3079-6E1D-468B-BE9F-38A9AB391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111</xdr:row>
      <xdr:rowOff>117287</xdr:rowOff>
    </xdr:from>
    <xdr:ext cx="580490" cy="521526"/>
    <xdr:pic>
      <xdr:nvPicPr>
        <xdr:cNvPr id="10" name="Imagen 5">
          <a:extLst>
            <a:ext uri="{FF2B5EF4-FFF2-40B4-BE49-F238E27FC236}">
              <a16:creationId xmlns:a16="http://schemas.microsoft.com/office/drawing/2014/main" id="{117A45D2-7005-477E-B2B3-C15D5D792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111</xdr:row>
      <xdr:rowOff>117287</xdr:rowOff>
    </xdr:from>
    <xdr:ext cx="580490" cy="521526"/>
    <xdr:pic>
      <xdr:nvPicPr>
        <xdr:cNvPr id="11" name="Imagen 5">
          <a:extLst>
            <a:ext uri="{FF2B5EF4-FFF2-40B4-BE49-F238E27FC236}">
              <a16:creationId xmlns:a16="http://schemas.microsoft.com/office/drawing/2014/main" id="{16157805-51C9-4A10-BFC0-559E1ED87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145</xdr:row>
      <xdr:rowOff>16208</xdr:rowOff>
    </xdr:from>
    <xdr:ext cx="1302684" cy="358595"/>
    <xdr:pic>
      <xdr:nvPicPr>
        <xdr:cNvPr id="12" name="Imagen 11">
          <a:extLst>
            <a:ext uri="{FF2B5EF4-FFF2-40B4-BE49-F238E27FC236}">
              <a16:creationId xmlns:a16="http://schemas.microsoft.com/office/drawing/2014/main" id="{66421E48-C67B-4889-B194-23D7F4256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1050" y="2763870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163</xdr:row>
      <xdr:rowOff>117287</xdr:rowOff>
    </xdr:from>
    <xdr:ext cx="580490" cy="521526"/>
    <xdr:pic>
      <xdr:nvPicPr>
        <xdr:cNvPr id="13" name="Imagen 5">
          <a:extLst>
            <a:ext uri="{FF2B5EF4-FFF2-40B4-BE49-F238E27FC236}">
              <a16:creationId xmlns:a16="http://schemas.microsoft.com/office/drawing/2014/main" id="{C9B81C8F-5431-4832-8940-9B7A5108B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163</xdr:row>
      <xdr:rowOff>117287</xdr:rowOff>
    </xdr:from>
    <xdr:ext cx="580490" cy="521526"/>
    <xdr:pic>
      <xdr:nvPicPr>
        <xdr:cNvPr id="14" name="Imagen 5">
          <a:extLst>
            <a:ext uri="{FF2B5EF4-FFF2-40B4-BE49-F238E27FC236}">
              <a16:creationId xmlns:a16="http://schemas.microsoft.com/office/drawing/2014/main" id="{3C373566-24D5-4D19-99FF-011FF2B89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214</xdr:row>
      <xdr:rowOff>117287</xdr:rowOff>
    </xdr:from>
    <xdr:ext cx="580490" cy="521526"/>
    <xdr:pic>
      <xdr:nvPicPr>
        <xdr:cNvPr id="16" name="Imagen 5">
          <a:extLst>
            <a:ext uri="{FF2B5EF4-FFF2-40B4-BE49-F238E27FC236}">
              <a16:creationId xmlns:a16="http://schemas.microsoft.com/office/drawing/2014/main" id="{D6A08212-0EA8-4A00-9DB7-171836348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214</xdr:row>
      <xdr:rowOff>117287</xdr:rowOff>
    </xdr:from>
    <xdr:ext cx="580490" cy="521526"/>
    <xdr:pic>
      <xdr:nvPicPr>
        <xdr:cNvPr id="17" name="Imagen 5">
          <a:extLst>
            <a:ext uri="{FF2B5EF4-FFF2-40B4-BE49-F238E27FC236}">
              <a16:creationId xmlns:a16="http://schemas.microsoft.com/office/drawing/2014/main" id="{2AFC5653-4B5A-42C1-9CF0-489F13476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247</xdr:row>
      <xdr:rowOff>16208</xdr:rowOff>
    </xdr:from>
    <xdr:ext cx="1302684" cy="358595"/>
    <xdr:pic>
      <xdr:nvPicPr>
        <xdr:cNvPr id="18" name="Imagen 17">
          <a:extLst>
            <a:ext uri="{FF2B5EF4-FFF2-40B4-BE49-F238E27FC236}">
              <a16:creationId xmlns:a16="http://schemas.microsoft.com/office/drawing/2014/main" id="{AAFE4866-88AE-44FF-ABD0-3B256DBB4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264</xdr:row>
      <xdr:rowOff>117287</xdr:rowOff>
    </xdr:from>
    <xdr:ext cx="580490" cy="521526"/>
    <xdr:pic>
      <xdr:nvPicPr>
        <xdr:cNvPr id="19" name="Imagen 5">
          <a:extLst>
            <a:ext uri="{FF2B5EF4-FFF2-40B4-BE49-F238E27FC236}">
              <a16:creationId xmlns:a16="http://schemas.microsoft.com/office/drawing/2014/main" id="{F8B9AAB8-40EE-494B-8EEA-D132ADBE0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264</xdr:row>
      <xdr:rowOff>117287</xdr:rowOff>
    </xdr:from>
    <xdr:ext cx="580490" cy="521526"/>
    <xdr:pic>
      <xdr:nvPicPr>
        <xdr:cNvPr id="20" name="Imagen 5">
          <a:extLst>
            <a:ext uri="{FF2B5EF4-FFF2-40B4-BE49-F238E27FC236}">
              <a16:creationId xmlns:a16="http://schemas.microsoft.com/office/drawing/2014/main" id="{521EC1E5-E6A8-4601-81E4-9D436E0A2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315</xdr:row>
      <xdr:rowOff>117287</xdr:rowOff>
    </xdr:from>
    <xdr:ext cx="580490" cy="521526"/>
    <xdr:pic>
      <xdr:nvPicPr>
        <xdr:cNvPr id="22" name="Imagen 5">
          <a:extLst>
            <a:ext uri="{FF2B5EF4-FFF2-40B4-BE49-F238E27FC236}">
              <a16:creationId xmlns:a16="http://schemas.microsoft.com/office/drawing/2014/main" id="{41170FD5-276F-4C80-A923-AB98EB223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315</xdr:row>
      <xdr:rowOff>117287</xdr:rowOff>
    </xdr:from>
    <xdr:ext cx="580490" cy="521526"/>
    <xdr:pic>
      <xdr:nvPicPr>
        <xdr:cNvPr id="23" name="Imagen 5">
          <a:extLst>
            <a:ext uri="{FF2B5EF4-FFF2-40B4-BE49-F238E27FC236}">
              <a16:creationId xmlns:a16="http://schemas.microsoft.com/office/drawing/2014/main" id="{3C1B76C1-C57A-4EED-8D0A-9BF84A1F9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34" name="Imagen 5">
          <a:extLst>
            <a:ext uri="{FF2B5EF4-FFF2-40B4-BE49-F238E27FC236}">
              <a16:creationId xmlns:a16="http://schemas.microsoft.com/office/drawing/2014/main" id="{5F02F399-21F7-4D23-AEAB-313CE6F79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40</xdr:row>
      <xdr:rowOff>16208</xdr:rowOff>
    </xdr:from>
    <xdr:ext cx="1302684" cy="358595"/>
    <xdr:pic>
      <xdr:nvPicPr>
        <xdr:cNvPr id="35" name="Imagen 34">
          <a:extLst>
            <a:ext uri="{FF2B5EF4-FFF2-40B4-BE49-F238E27FC236}">
              <a16:creationId xmlns:a16="http://schemas.microsoft.com/office/drawing/2014/main" id="{3DD1AC64-E85B-4775-B65D-56423A440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58</xdr:row>
      <xdr:rowOff>117287</xdr:rowOff>
    </xdr:from>
    <xdr:ext cx="580490" cy="521526"/>
    <xdr:pic>
      <xdr:nvPicPr>
        <xdr:cNvPr id="36" name="Imagen 5">
          <a:extLst>
            <a:ext uri="{FF2B5EF4-FFF2-40B4-BE49-F238E27FC236}">
              <a16:creationId xmlns:a16="http://schemas.microsoft.com/office/drawing/2014/main" id="{1E0E0C7B-8216-4261-9867-B9E5A251D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11567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111</xdr:row>
      <xdr:rowOff>117287</xdr:rowOff>
    </xdr:from>
    <xdr:ext cx="580490" cy="521526"/>
    <xdr:pic>
      <xdr:nvPicPr>
        <xdr:cNvPr id="38" name="Imagen 37">
          <a:extLst>
            <a:ext uri="{FF2B5EF4-FFF2-40B4-BE49-F238E27FC236}">
              <a16:creationId xmlns:a16="http://schemas.microsoft.com/office/drawing/2014/main" id="{D9141ABF-9938-449D-B906-1FCFD8718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296828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163</xdr:row>
      <xdr:rowOff>117287</xdr:rowOff>
    </xdr:from>
    <xdr:ext cx="580490" cy="521526"/>
    <xdr:pic>
      <xdr:nvPicPr>
        <xdr:cNvPr id="40" name="Imagen 5">
          <a:extLst>
            <a:ext uri="{FF2B5EF4-FFF2-40B4-BE49-F238E27FC236}">
              <a16:creationId xmlns:a16="http://schemas.microsoft.com/office/drawing/2014/main" id="{FBB1F688-14CA-4A97-AF47-44C6EDC4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3953173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163</xdr:row>
      <xdr:rowOff>117287</xdr:rowOff>
    </xdr:from>
    <xdr:ext cx="580490" cy="521526"/>
    <xdr:pic>
      <xdr:nvPicPr>
        <xdr:cNvPr id="41" name="Imagen 40">
          <a:extLst>
            <a:ext uri="{FF2B5EF4-FFF2-40B4-BE49-F238E27FC236}">
              <a16:creationId xmlns:a16="http://schemas.microsoft.com/office/drawing/2014/main" id="{D388F438-6756-4731-A29A-F43590613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3953173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197</xdr:row>
      <xdr:rowOff>16208</xdr:rowOff>
    </xdr:from>
    <xdr:ext cx="1302684" cy="358595"/>
    <xdr:pic>
      <xdr:nvPicPr>
        <xdr:cNvPr id="42" name="Imagen 41">
          <a:extLst>
            <a:ext uri="{FF2B5EF4-FFF2-40B4-BE49-F238E27FC236}">
              <a16:creationId xmlns:a16="http://schemas.microsoft.com/office/drawing/2014/main" id="{61A2D4BD-9F26-47D4-8EFD-FE03E436F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4588860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214</xdr:row>
      <xdr:rowOff>117287</xdr:rowOff>
    </xdr:from>
    <xdr:ext cx="580490" cy="521526"/>
    <xdr:pic>
      <xdr:nvPicPr>
        <xdr:cNvPr id="43" name="Imagen 5">
          <a:extLst>
            <a:ext uri="{FF2B5EF4-FFF2-40B4-BE49-F238E27FC236}">
              <a16:creationId xmlns:a16="http://schemas.microsoft.com/office/drawing/2014/main" id="{E82E6F71-69CB-425F-A423-5627802C3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90484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247</xdr:row>
      <xdr:rowOff>16208</xdr:rowOff>
    </xdr:from>
    <xdr:ext cx="1302684" cy="358595"/>
    <xdr:pic>
      <xdr:nvPicPr>
        <xdr:cNvPr id="44" name="Imagen 43">
          <a:extLst>
            <a:ext uri="{FF2B5EF4-FFF2-40B4-BE49-F238E27FC236}">
              <a16:creationId xmlns:a16="http://schemas.microsoft.com/office/drawing/2014/main" id="{A4451248-FB4E-4C34-943F-1539D1788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6493860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264</xdr:row>
      <xdr:rowOff>117287</xdr:rowOff>
    </xdr:from>
    <xdr:ext cx="580490" cy="521526"/>
    <xdr:pic>
      <xdr:nvPicPr>
        <xdr:cNvPr id="45" name="Imagen 5">
          <a:extLst>
            <a:ext uri="{FF2B5EF4-FFF2-40B4-BE49-F238E27FC236}">
              <a16:creationId xmlns:a16="http://schemas.microsoft.com/office/drawing/2014/main" id="{59F18C6B-43DA-4A29-9B0A-60E873104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682019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300</xdr:row>
      <xdr:rowOff>16208</xdr:rowOff>
    </xdr:from>
    <xdr:ext cx="1302684" cy="358595"/>
    <xdr:pic>
      <xdr:nvPicPr>
        <xdr:cNvPr id="46" name="Imagen 45">
          <a:extLst>
            <a:ext uri="{FF2B5EF4-FFF2-40B4-BE49-F238E27FC236}">
              <a16:creationId xmlns:a16="http://schemas.microsoft.com/office/drawing/2014/main" id="{A22F3807-F14C-4608-BE6C-B3ACE99C4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746350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315</xdr:row>
      <xdr:rowOff>117287</xdr:rowOff>
    </xdr:from>
    <xdr:ext cx="580490" cy="521526"/>
    <xdr:pic>
      <xdr:nvPicPr>
        <xdr:cNvPr id="47" name="Imagen 5">
          <a:extLst>
            <a:ext uri="{FF2B5EF4-FFF2-40B4-BE49-F238E27FC236}">
              <a16:creationId xmlns:a16="http://schemas.microsoft.com/office/drawing/2014/main" id="{F63DE76A-2C13-42E0-B5E4-C39A854B5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775364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350</xdr:row>
      <xdr:rowOff>16208</xdr:rowOff>
    </xdr:from>
    <xdr:ext cx="1302684" cy="358595"/>
    <xdr:pic>
      <xdr:nvPicPr>
        <xdr:cNvPr id="48" name="Imagen 47">
          <a:extLst>
            <a:ext uri="{FF2B5EF4-FFF2-40B4-BE49-F238E27FC236}">
              <a16:creationId xmlns:a16="http://schemas.microsoft.com/office/drawing/2014/main" id="{3B64D6FB-4862-4AE6-A218-484B772D3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3788583"/>
          <a:ext cx="1302684" cy="35859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0DE33586-056F-4BF3-9502-BFFE7454F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60</xdr:row>
      <xdr:rowOff>0</xdr:rowOff>
    </xdr:from>
    <xdr:to>
      <xdr:col>12</xdr:col>
      <xdr:colOff>304800</xdr:colOff>
      <xdr:row>61</xdr:row>
      <xdr:rowOff>114298</xdr:rowOff>
    </xdr:to>
    <xdr:sp macro="" textlink="">
      <xdr:nvSpPr>
        <xdr:cNvPr id="3" name="AutoShape 5" descr="Resultado de imagen de dosificaciones de concreto colombia ">
          <a:extLst>
            <a:ext uri="{FF2B5EF4-FFF2-40B4-BE49-F238E27FC236}">
              <a16:creationId xmlns:a16="http://schemas.microsoft.com/office/drawing/2014/main" id="{46D33946-4F90-4F3A-98FD-42A667550092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120205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DF5258E4-4AA8-474A-B889-97CE0473D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4" name="Imagen 5">
          <a:extLst>
            <a:ext uri="{FF2B5EF4-FFF2-40B4-BE49-F238E27FC236}">
              <a16:creationId xmlns:a16="http://schemas.microsoft.com/office/drawing/2014/main" id="{34454B5D-25A4-4B82-B08E-1D0A78B10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955196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48</xdr:row>
      <xdr:rowOff>16208</xdr:rowOff>
    </xdr:from>
    <xdr:ext cx="1302684" cy="358595"/>
    <xdr:pic>
      <xdr:nvPicPr>
        <xdr:cNvPr id="25" name="Imagen 24">
          <a:extLst>
            <a:ext uri="{FF2B5EF4-FFF2-40B4-BE49-F238E27FC236}">
              <a16:creationId xmlns:a16="http://schemas.microsoft.com/office/drawing/2014/main" id="{95A8C64A-7F7A-49E8-A9E2-60816D748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102876683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64</xdr:row>
      <xdr:rowOff>117287</xdr:rowOff>
    </xdr:from>
    <xdr:ext cx="580490" cy="521526"/>
    <xdr:pic>
      <xdr:nvPicPr>
        <xdr:cNvPr id="7" name="Imagen 5">
          <a:extLst>
            <a:ext uri="{FF2B5EF4-FFF2-40B4-BE49-F238E27FC236}">
              <a16:creationId xmlns:a16="http://schemas.microsoft.com/office/drawing/2014/main" id="{0A3994B6-40B1-44B7-A87A-2F7347485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41380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64</xdr:row>
      <xdr:rowOff>117287</xdr:rowOff>
    </xdr:from>
    <xdr:ext cx="580490" cy="521526"/>
    <xdr:pic>
      <xdr:nvPicPr>
        <xdr:cNvPr id="8" name="Imagen 5">
          <a:extLst>
            <a:ext uri="{FF2B5EF4-FFF2-40B4-BE49-F238E27FC236}">
              <a16:creationId xmlns:a16="http://schemas.microsoft.com/office/drawing/2014/main" id="{2555DB65-2ECE-4F4F-9C44-E8FE8E424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41380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64</xdr:row>
      <xdr:rowOff>117287</xdr:rowOff>
    </xdr:from>
    <xdr:ext cx="580490" cy="521526"/>
    <xdr:pic>
      <xdr:nvPicPr>
        <xdr:cNvPr id="9" name="Imagen 8">
          <a:extLst>
            <a:ext uri="{FF2B5EF4-FFF2-40B4-BE49-F238E27FC236}">
              <a16:creationId xmlns:a16="http://schemas.microsoft.com/office/drawing/2014/main" id="{426DEA99-866F-4053-81DF-5A687B6A6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41380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97</xdr:row>
      <xdr:rowOff>0</xdr:rowOff>
    </xdr:from>
    <xdr:ext cx="1575154" cy="433599"/>
    <xdr:pic>
      <xdr:nvPicPr>
        <xdr:cNvPr id="10" name="Imagen 9">
          <a:extLst>
            <a:ext uri="{FF2B5EF4-FFF2-40B4-BE49-F238E27FC236}">
              <a16:creationId xmlns:a16="http://schemas.microsoft.com/office/drawing/2014/main" id="{E83343AF-A394-489C-A2CE-811EC512A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20031075"/>
          <a:ext cx="1575154" cy="433599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ECF108B6-110E-4C20-8514-4122D7CA1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62</xdr:row>
      <xdr:rowOff>0</xdr:rowOff>
    </xdr:from>
    <xdr:to>
      <xdr:col>12</xdr:col>
      <xdr:colOff>304800</xdr:colOff>
      <xdr:row>63</xdr:row>
      <xdr:rowOff>114298</xdr:rowOff>
    </xdr:to>
    <xdr:sp macro="" textlink="">
      <xdr:nvSpPr>
        <xdr:cNvPr id="3" name="AutoShape 5" descr="Resultado de imagen de dosificaciones de concreto colombia ">
          <a:extLst>
            <a:ext uri="{FF2B5EF4-FFF2-40B4-BE49-F238E27FC236}">
              <a16:creationId xmlns:a16="http://schemas.microsoft.com/office/drawing/2014/main" id="{1DB89E76-AE94-4B87-A909-F14B01C19564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120205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54E8C490-9136-4A99-BE82-7B6ED5219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5" name="Imagen 5">
          <a:extLst>
            <a:ext uri="{FF2B5EF4-FFF2-40B4-BE49-F238E27FC236}">
              <a16:creationId xmlns:a16="http://schemas.microsoft.com/office/drawing/2014/main" id="{CAFE0CC3-B93B-4391-A84E-8356CC4D4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40</xdr:row>
      <xdr:rowOff>16208</xdr:rowOff>
    </xdr:from>
    <xdr:ext cx="1302684" cy="358595"/>
    <xdr:pic>
      <xdr:nvPicPr>
        <xdr:cNvPr id="6" name="Imagen 5">
          <a:extLst>
            <a:ext uri="{FF2B5EF4-FFF2-40B4-BE49-F238E27FC236}">
              <a16:creationId xmlns:a16="http://schemas.microsoft.com/office/drawing/2014/main" id="{8A90C429-8030-413F-838D-070705A4E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58</xdr:row>
      <xdr:rowOff>117287</xdr:rowOff>
    </xdr:from>
    <xdr:ext cx="580490" cy="521526"/>
    <xdr:pic>
      <xdr:nvPicPr>
        <xdr:cNvPr id="7" name="Imagen 5">
          <a:extLst>
            <a:ext uri="{FF2B5EF4-FFF2-40B4-BE49-F238E27FC236}">
              <a16:creationId xmlns:a16="http://schemas.microsoft.com/office/drawing/2014/main" id="{2BAF9635-0238-4CAD-8789-2D1C8DAD3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58</xdr:row>
      <xdr:rowOff>117287</xdr:rowOff>
    </xdr:from>
    <xdr:ext cx="580490" cy="521526"/>
    <xdr:pic>
      <xdr:nvPicPr>
        <xdr:cNvPr id="8" name="Imagen 5">
          <a:extLst>
            <a:ext uri="{FF2B5EF4-FFF2-40B4-BE49-F238E27FC236}">
              <a16:creationId xmlns:a16="http://schemas.microsoft.com/office/drawing/2014/main" id="{955F39D5-C2EA-4F4A-8995-561E12C73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116</xdr:row>
      <xdr:rowOff>117287</xdr:rowOff>
    </xdr:from>
    <xdr:ext cx="580490" cy="521526"/>
    <xdr:pic>
      <xdr:nvPicPr>
        <xdr:cNvPr id="10" name="Imagen 5">
          <a:extLst>
            <a:ext uri="{FF2B5EF4-FFF2-40B4-BE49-F238E27FC236}">
              <a16:creationId xmlns:a16="http://schemas.microsoft.com/office/drawing/2014/main" id="{470CAE92-39AF-4DA6-9FF3-46605127D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615047</xdr:colOff>
      <xdr:row>116</xdr:row>
      <xdr:rowOff>80176</xdr:rowOff>
    </xdr:from>
    <xdr:ext cx="580490" cy="521526"/>
    <xdr:pic>
      <xdr:nvPicPr>
        <xdr:cNvPr id="11" name="Imagen 5">
          <a:extLst>
            <a:ext uri="{FF2B5EF4-FFF2-40B4-BE49-F238E27FC236}">
              <a16:creationId xmlns:a16="http://schemas.microsoft.com/office/drawing/2014/main" id="{C37DC2AE-0B42-4598-9DA3-452A67226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2579" y="21455760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149</xdr:row>
      <xdr:rowOff>16208</xdr:rowOff>
    </xdr:from>
    <xdr:ext cx="1302684" cy="358595"/>
    <xdr:pic>
      <xdr:nvPicPr>
        <xdr:cNvPr id="12" name="Imagen 11">
          <a:extLst>
            <a:ext uri="{FF2B5EF4-FFF2-40B4-BE49-F238E27FC236}">
              <a16:creationId xmlns:a16="http://schemas.microsoft.com/office/drawing/2014/main" id="{D091CA3B-B2AE-4FBF-BFE0-14F41074C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168</xdr:row>
      <xdr:rowOff>117287</xdr:rowOff>
    </xdr:from>
    <xdr:ext cx="580490" cy="521526"/>
    <xdr:pic>
      <xdr:nvPicPr>
        <xdr:cNvPr id="13" name="Imagen 5">
          <a:extLst>
            <a:ext uri="{FF2B5EF4-FFF2-40B4-BE49-F238E27FC236}">
              <a16:creationId xmlns:a16="http://schemas.microsoft.com/office/drawing/2014/main" id="{8F8E0BB9-1FEF-47C0-8D33-7A6A6F0D2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168</xdr:row>
      <xdr:rowOff>117287</xdr:rowOff>
    </xdr:from>
    <xdr:ext cx="580490" cy="521526"/>
    <xdr:pic>
      <xdr:nvPicPr>
        <xdr:cNvPr id="14" name="Imagen 5">
          <a:extLst>
            <a:ext uri="{FF2B5EF4-FFF2-40B4-BE49-F238E27FC236}">
              <a16:creationId xmlns:a16="http://schemas.microsoft.com/office/drawing/2014/main" id="{9779C53F-FFB4-4DE9-AE48-AA7B5CB91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221</xdr:row>
      <xdr:rowOff>117287</xdr:rowOff>
    </xdr:from>
    <xdr:ext cx="580490" cy="521526"/>
    <xdr:pic>
      <xdr:nvPicPr>
        <xdr:cNvPr id="16" name="Imagen 5">
          <a:extLst>
            <a:ext uri="{FF2B5EF4-FFF2-40B4-BE49-F238E27FC236}">
              <a16:creationId xmlns:a16="http://schemas.microsoft.com/office/drawing/2014/main" id="{0DF97B19-D025-4120-848D-4C4643F77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221</xdr:row>
      <xdr:rowOff>117287</xdr:rowOff>
    </xdr:from>
    <xdr:ext cx="580490" cy="521526"/>
    <xdr:pic>
      <xdr:nvPicPr>
        <xdr:cNvPr id="17" name="Imagen 5">
          <a:extLst>
            <a:ext uri="{FF2B5EF4-FFF2-40B4-BE49-F238E27FC236}">
              <a16:creationId xmlns:a16="http://schemas.microsoft.com/office/drawing/2014/main" id="{07114AA0-D6FE-4C6E-AE96-6767E04F8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254</xdr:row>
      <xdr:rowOff>16208</xdr:rowOff>
    </xdr:from>
    <xdr:ext cx="1302684" cy="358595"/>
    <xdr:pic>
      <xdr:nvPicPr>
        <xdr:cNvPr id="18" name="Imagen 17">
          <a:extLst>
            <a:ext uri="{FF2B5EF4-FFF2-40B4-BE49-F238E27FC236}">
              <a16:creationId xmlns:a16="http://schemas.microsoft.com/office/drawing/2014/main" id="{721248A2-A1AC-4E91-B955-030C6D91A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272</xdr:row>
      <xdr:rowOff>117287</xdr:rowOff>
    </xdr:from>
    <xdr:ext cx="580490" cy="521526"/>
    <xdr:pic>
      <xdr:nvPicPr>
        <xdr:cNvPr id="19" name="Imagen 5">
          <a:extLst>
            <a:ext uri="{FF2B5EF4-FFF2-40B4-BE49-F238E27FC236}">
              <a16:creationId xmlns:a16="http://schemas.microsoft.com/office/drawing/2014/main" id="{1BC18918-CF73-4470-84BA-01490CA55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272</xdr:row>
      <xdr:rowOff>117287</xdr:rowOff>
    </xdr:from>
    <xdr:ext cx="580490" cy="521526"/>
    <xdr:pic>
      <xdr:nvPicPr>
        <xdr:cNvPr id="20" name="Imagen 5">
          <a:extLst>
            <a:ext uri="{FF2B5EF4-FFF2-40B4-BE49-F238E27FC236}">
              <a16:creationId xmlns:a16="http://schemas.microsoft.com/office/drawing/2014/main" id="{0C2D38D2-2C0C-4AC5-A687-628C9DEB9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324</xdr:row>
      <xdr:rowOff>117287</xdr:rowOff>
    </xdr:from>
    <xdr:ext cx="580490" cy="521526"/>
    <xdr:pic>
      <xdr:nvPicPr>
        <xdr:cNvPr id="22" name="Imagen 5">
          <a:extLst>
            <a:ext uri="{FF2B5EF4-FFF2-40B4-BE49-F238E27FC236}">
              <a16:creationId xmlns:a16="http://schemas.microsoft.com/office/drawing/2014/main" id="{52EA74AA-5C20-44A7-A8AD-E7D4563F3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324</xdr:row>
      <xdr:rowOff>117287</xdr:rowOff>
    </xdr:from>
    <xdr:ext cx="580490" cy="521526"/>
    <xdr:pic>
      <xdr:nvPicPr>
        <xdr:cNvPr id="23" name="Imagen 5">
          <a:extLst>
            <a:ext uri="{FF2B5EF4-FFF2-40B4-BE49-F238E27FC236}">
              <a16:creationId xmlns:a16="http://schemas.microsoft.com/office/drawing/2014/main" id="{DC5EA5F3-4776-4C98-9985-E58000313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375</xdr:row>
      <xdr:rowOff>117287</xdr:rowOff>
    </xdr:from>
    <xdr:ext cx="580490" cy="521526"/>
    <xdr:pic>
      <xdr:nvPicPr>
        <xdr:cNvPr id="25" name="Imagen 5">
          <a:extLst>
            <a:ext uri="{FF2B5EF4-FFF2-40B4-BE49-F238E27FC236}">
              <a16:creationId xmlns:a16="http://schemas.microsoft.com/office/drawing/2014/main" id="{F3EF4B87-077B-4F92-8ECF-E6B74BA9D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375</xdr:row>
      <xdr:rowOff>117287</xdr:rowOff>
    </xdr:from>
    <xdr:ext cx="580490" cy="521526"/>
    <xdr:pic>
      <xdr:nvPicPr>
        <xdr:cNvPr id="26" name="Imagen 5">
          <a:extLst>
            <a:ext uri="{FF2B5EF4-FFF2-40B4-BE49-F238E27FC236}">
              <a16:creationId xmlns:a16="http://schemas.microsoft.com/office/drawing/2014/main" id="{69C7F3F7-C1C1-48A5-AA5F-69AF9E92F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426</xdr:row>
      <xdr:rowOff>117287</xdr:rowOff>
    </xdr:from>
    <xdr:ext cx="580490" cy="521526"/>
    <xdr:pic>
      <xdr:nvPicPr>
        <xdr:cNvPr id="28" name="Imagen 5">
          <a:extLst>
            <a:ext uri="{FF2B5EF4-FFF2-40B4-BE49-F238E27FC236}">
              <a16:creationId xmlns:a16="http://schemas.microsoft.com/office/drawing/2014/main" id="{2ED05D7E-EC33-4A3D-858B-50A48F604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426</xdr:row>
      <xdr:rowOff>117287</xdr:rowOff>
    </xdr:from>
    <xdr:ext cx="580490" cy="521526"/>
    <xdr:pic>
      <xdr:nvPicPr>
        <xdr:cNvPr id="29" name="Imagen 5">
          <a:extLst>
            <a:ext uri="{FF2B5EF4-FFF2-40B4-BE49-F238E27FC236}">
              <a16:creationId xmlns:a16="http://schemas.microsoft.com/office/drawing/2014/main" id="{93A193E6-0B6D-4C7A-A943-88873C96A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96</xdr:row>
      <xdr:rowOff>16208</xdr:rowOff>
    </xdr:from>
    <xdr:ext cx="1302684" cy="358595"/>
    <xdr:pic>
      <xdr:nvPicPr>
        <xdr:cNvPr id="41" name="Imagen 40">
          <a:extLst>
            <a:ext uri="{FF2B5EF4-FFF2-40B4-BE49-F238E27FC236}">
              <a16:creationId xmlns:a16="http://schemas.microsoft.com/office/drawing/2014/main" id="{F70BF15B-2266-4251-808B-430B39569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92586" y="8217604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168</xdr:row>
      <xdr:rowOff>117287</xdr:rowOff>
    </xdr:from>
    <xdr:ext cx="580490" cy="521526"/>
    <xdr:pic>
      <xdr:nvPicPr>
        <xdr:cNvPr id="42" name="Imagen 5">
          <a:extLst>
            <a:ext uri="{FF2B5EF4-FFF2-40B4-BE49-F238E27FC236}">
              <a16:creationId xmlns:a16="http://schemas.microsoft.com/office/drawing/2014/main" id="{D7FEFA7C-D63A-4192-9E78-2A8CB8B1D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955196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209</xdr:row>
      <xdr:rowOff>16208</xdr:rowOff>
    </xdr:from>
    <xdr:ext cx="1302684" cy="358595"/>
    <xdr:pic>
      <xdr:nvPicPr>
        <xdr:cNvPr id="43" name="Imagen 42">
          <a:extLst>
            <a:ext uri="{FF2B5EF4-FFF2-40B4-BE49-F238E27FC236}">
              <a16:creationId xmlns:a16="http://schemas.microsoft.com/office/drawing/2014/main" id="{A212D97F-C206-44E4-A9C1-03A014DD2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102876683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221</xdr:row>
      <xdr:rowOff>117287</xdr:rowOff>
    </xdr:from>
    <xdr:ext cx="580490" cy="521526"/>
    <xdr:pic>
      <xdr:nvPicPr>
        <xdr:cNvPr id="44" name="Imagen 5">
          <a:extLst>
            <a:ext uri="{FF2B5EF4-FFF2-40B4-BE49-F238E27FC236}">
              <a16:creationId xmlns:a16="http://schemas.microsoft.com/office/drawing/2014/main" id="{53905088-8B49-4E34-9B2B-6D979EB1A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7645063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221</xdr:row>
      <xdr:rowOff>117287</xdr:rowOff>
    </xdr:from>
    <xdr:ext cx="580490" cy="521526"/>
    <xdr:pic>
      <xdr:nvPicPr>
        <xdr:cNvPr id="45" name="Imagen 5">
          <a:extLst>
            <a:ext uri="{FF2B5EF4-FFF2-40B4-BE49-F238E27FC236}">
              <a16:creationId xmlns:a16="http://schemas.microsoft.com/office/drawing/2014/main" id="{17DEC5FA-F902-4AFB-BDA8-12FFFE588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7645063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254</xdr:row>
      <xdr:rowOff>16208</xdr:rowOff>
    </xdr:from>
    <xdr:ext cx="1302684" cy="358595"/>
    <xdr:pic>
      <xdr:nvPicPr>
        <xdr:cNvPr id="46" name="Imagen 45">
          <a:extLst>
            <a:ext uri="{FF2B5EF4-FFF2-40B4-BE49-F238E27FC236}">
              <a16:creationId xmlns:a16="http://schemas.microsoft.com/office/drawing/2014/main" id="{87F5B779-BAA6-4C66-85C0-95AB25DF9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2359833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221</xdr:row>
      <xdr:rowOff>117287</xdr:rowOff>
    </xdr:from>
    <xdr:ext cx="580490" cy="521526"/>
    <xdr:pic>
      <xdr:nvPicPr>
        <xdr:cNvPr id="47" name="Imagen 5">
          <a:extLst>
            <a:ext uri="{FF2B5EF4-FFF2-40B4-BE49-F238E27FC236}">
              <a16:creationId xmlns:a16="http://schemas.microsoft.com/office/drawing/2014/main" id="{02C4A973-8BBD-457F-815E-8D8181306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7645063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272</xdr:row>
      <xdr:rowOff>117287</xdr:rowOff>
    </xdr:from>
    <xdr:ext cx="580490" cy="521526"/>
    <xdr:pic>
      <xdr:nvPicPr>
        <xdr:cNvPr id="48" name="Imagen 5">
          <a:extLst>
            <a:ext uri="{FF2B5EF4-FFF2-40B4-BE49-F238E27FC236}">
              <a16:creationId xmlns:a16="http://schemas.microsoft.com/office/drawing/2014/main" id="{1AB0F9F0-76AA-4F5F-AEDE-352D80EEA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85985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272</xdr:row>
      <xdr:rowOff>117287</xdr:rowOff>
    </xdr:from>
    <xdr:ext cx="580490" cy="521526"/>
    <xdr:pic>
      <xdr:nvPicPr>
        <xdr:cNvPr id="49" name="Imagen 5">
          <a:extLst>
            <a:ext uri="{FF2B5EF4-FFF2-40B4-BE49-F238E27FC236}">
              <a16:creationId xmlns:a16="http://schemas.microsoft.com/office/drawing/2014/main" id="{90F213F9-35DA-45E0-B43F-6705E632E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85985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272</xdr:row>
      <xdr:rowOff>117287</xdr:rowOff>
    </xdr:from>
    <xdr:ext cx="580490" cy="521526"/>
    <xdr:pic>
      <xdr:nvPicPr>
        <xdr:cNvPr id="50" name="Imagen 5">
          <a:extLst>
            <a:ext uri="{FF2B5EF4-FFF2-40B4-BE49-F238E27FC236}">
              <a16:creationId xmlns:a16="http://schemas.microsoft.com/office/drawing/2014/main" id="{CFEECDCC-779D-40C7-98E7-749D01AC9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85985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308</xdr:row>
      <xdr:rowOff>16208</xdr:rowOff>
    </xdr:from>
    <xdr:ext cx="1302684" cy="358595"/>
    <xdr:pic>
      <xdr:nvPicPr>
        <xdr:cNvPr id="51" name="Imagen 50">
          <a:extLst>
            <a:ext uri="{FF2B5EF4-FFF2-40B4-BE49-F238E27FC236}">
              <a16:creationId xmlns:a16="http://schemas.microsoft.com/office/drawing/2014/main" id="{D266D52C-4868-4F39-8567-AF8FAC550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92437283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324</xdr:row>
      <xdr:rowOff>117287</xdr:rowOff>
    </xdr:from>
    <xdr:ext cx="580490" cy="521526"/>
    <xdr:pic>
      <xdr:nvPicPr>
        <xdr:cNvPr id="52" name="Imagen 5">
          <a:extLst>
            <a:ext uri="{FF2B5EF4-FFF2-40B4-BE49-F238E27FC236}">
              <a16:creationId xmlns:a16="http://schemas.microsoft.com/office/drawing/2014/main" id="{C71B262F-74C9-4D8F-BF36-30722D25D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492948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324</xdr:row>
      <xdr:rowOff>117287</xdr:rowOff>
    </xdr:from>
    <xdr:ext cx="580490" cy="521526"/>
    <xdr:pic>
      <xdr:nvPicPr>
        <xdr:cNvPr id="53" name="Imagen 5">
          <a:extLst>
            <a:ext uri="{FF2B5EF4-FFF2-40B4-BE49-F238E27FC236}">
              <a16:creationId xmlns:a16="http://schemas.microsoft.com/office/drawing/2014/main" id="{DEFCF95B-C17C-4261-96C6-1A311C9B0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492948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324</xdr:row>
      <xdr:rowOff>117287</xdr:rowOff>
    </xdr:from>
    <xdr:ext cx="580490" cy="521526"/>
    <xdr:pic>
      <xdr:nvPicPr>
        <xdr:cNvPr id="54" name="Imagen 5">
          <a:extLst>
            <a:ext uri="{FF2B5EF4-FFF2-40B4-BE49-F238E27FC236}">
              <a16:creationId xmlns:a16="http://schemas.microsoft.com/office/drawing/2014/main" id="{9244843A-C708-4358-A0D3-768164E12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492948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360</xdr:row>
      <xdr:rowOff>16208</xdr:rowOff>
    </xdr:from>
    <xdr:ext cx="1302684" cy="358595"/>
    <xdr:pic>
      <xdr:nvPicPr>
        <xdr:cNvPr id="55" name="Imagen 54">
          <a:extLst>
            <a:ext uri="{FF2B5EF4-FFF2-40B4-BE49-F238E27FC236}">
              <a16:creationId xmlns:a16="http://schemas.microsoft.com/office/drawing/2014/main" id="{04D2AF72-6B66-401C-A9C9-25AB7B181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55746983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375</xdr:row>
      <xdr:rowOff>117287</xdr:rowOff>
    </xdr:from>
    <xdr:ext cx="580490" cy="521526"/>
    <xdr:pic>
      <xdr:nvPicPr>
        <xdr:cNvPr id="56" name="Imagen 5">
          <a:extLst>
            <a:ext uri="{FF2B5EF4-FFF2-40B4-BE49-F238E27FC236}">
              <a16:creationId xmlns:a16="http://schemas.microsoft.com/office/drawing/2014/main" id="{80FCF852-2312-49D6-9DBF-202FCE5C2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86484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375</xdr:row>
      <xdr:rowOff>117287</xdr:rowOff>
    </xdr:from>
    <xdr:ext cx="580490" cy="521526"/>
    <xdr:pic>
      <xdr:nvPicPr>
        <xdr:cNvPr id="57" name="Imagen 5">
          <a:extLst>
            <a:ext uri="{FF2B5EF4-FFF2-40B4-BE49-F238E27FC236}">
              <a16:creationId xmlns:a16="http://schemas.microsoft.com/office/drawing/2014/main" id="{8FF79F5C-B027-435B-B9DB-D81D2B8B4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86484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375</xdr:row>
      <xdr:rowOff>117287</xdr:rowOff>
    </xdr:from>
    <xdr:ext cx="580490" cy="521526"/>
    <xdr:pic>
      <xdr:nvPicPr>
        <xdr:cNvPr id="58" name="Imagen 5">
          <a:extLst>
            <a:ext uri="{FF2B5EF4-FFF2-40B4-BE49-F238E27FC236}">
              <a16:creationId xmlns:a16="http://schemas.microsoft.com/office/drawing/2014/main" id="{7B7C6ECD-7156-4850-88D9-42355B231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86484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410</xdr:row>
      <xdr:rowOff>16208</xdr:rowOff>
    </xdr:from>
    <xdr:ext cx="1302684" cy="358595"/>
    <xdr:pic>
      <xdr:nvPicPr>
        <xdr:cNvPr id="59" name="Imagen 58">
          <a:extLst>
            <a:ext uri="{FF2B5EF4-FFF2-40B4-BE49-F238E27FC236}">
              <a16:creationId xmlns:a16="http://schemas.microsoft.com/office/drawing/2014/main" id="{8813AFE4-EC27-4D55-880B-212FC3ECF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649195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426</xdr:row>
      <xdr:rowOff>117287</xdr:rowOff>
    </xdr:from>
    <xdr:ext cx="580490" cy="521526"/>
    <xdr:pic>
      <xdr:nvPicPr>
        <xdr:cNvPr id="60" name="Imagen 59">
          <a:extLst>
            <a:ext uri="{FF2B5EF4-FFF2-40B4-BE49-F238E27FC236}">
              <a16:creationId xmlns:a16="http://schemas.microsoft.com/office/drawing/2014/main" id="{D1E64749-1B65-4061-97E2-135B1A985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296828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460</xdr:row>
      <xdr:rowOff>16208</xdr:rowOff>
    </xdr:from>
    <xdr:ext cx="1302684" cy="358595"/>
    <xdr:pic>
      <xdr:nvPicPr>
        <xdr:cNvPr id="61" name="Imagen 60">
          <a:extLst>
            <a:ext uri="{FF2B5EF4-FFF2-40B4-BE49-F238E27FC236}">
              <a16:creationId xmlns:a16="http://schemas.microsoft.com/office/drawing/2014/main" id="{EEA97DC0-B673-4D08-B327-06C767EEB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3590640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529</xdr:row>
      <xdr:rowOff>117287</xdr:rowOff>
    </xdr:from>
    <xdr:ext cx="580490" cy="521526"/>
    <xdr:pic>
      <xdr:nvPicPr>
        <xdr:cNvPr id="62" name="Imagen 5">
          <a:extLst>
            <a:ext uri="{FF2B5EF4-FFF2-40B4-BE49-F238E27FC236}">
              <a16:creationId xmlns:a16="http://schemas.microsoft.com/office/drawing/2014/main" id="{332AB7BA-5EC0-422F-A2AD-E58627F39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9689" y="9069137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529</xdr:row>
      <xdr:rowOff>117287</xdr:rowOff>
    </xdr:from>
    <xdr:ext cx="580490" cy="521526"/>
    <xdr:pic>
      <xdr:nvPicPr>
        <xdr:cNvPr id="63" name="Imagen 5">
          <a:extLst>
            <a:ext uri="{FF2B5EF4-FFF2-40B4-BE49-F238E27FC236}">
              <a16:creationId xmlns:a16="http://schemas.microsoft.com/office/drawing/2014/main" id="{DCF39BE4-CE9B-4AAC-BF0E-081C9492E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9689" y="9069137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562</xdr:row>
      <xdr:rowOff>16208</xdr:rowOff>
    </xdr:from>
    <xdr:ext cx="1302684" cy="358595"/>
    <xdr:pic>
      <xdr:nvPicPr>
        <xdr:cNvPr id="64" name="Imagen 63">
          <a:extLst>
            <a:ext uri="{FF2B5EF4-FFF2-40B4-BE49-F238E27FC236}">
              <a16:creationId xmlns:a16="http://schemas.microsoft.com/office/drawing/2014/main" id="{DCA1D9CE-D5D2-46EB-B2F8-F59EAB344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92586" y="96738253"/>
          <a:ext cx="1302684" cy="358595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C95F21CC-2ED5-4C81-AB62-986601B4E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64</xdr:row>
      <xdr:rowOff>0</xdr:rowOff>
    </xdr:from>
    <xdr:to>
      <xdr:col>12</xdr:col>
      <xdr:colOff>304800</xdr:colOff>
      <xdr:row>109</xdr:row>
      <xdr:rowOff>114297</xdr:rowOff>
    </xdr:to>
    <xdr:sp macro="" textlink="">
      <xdr:nvSpPr>
        <xdr:cNvPr id="3" name="AutoShape 5" descr="Resultado de imagen de dosificaciones de concreto colombia ">
          <a:extLst>
            <a:ext uri="{FF2B5EF4-FFF2-40B4-BE49-F238E27FC236}">
              <a16:creationId xmlns:a16="http://schemas.microsoft.com/office/drawing/2014/main" id="{ADC18B3C-E842-4028-AAE5-725E4E3B7BC2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120205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5D6500FE-5895-476D-BF75-36D7F39FA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5" name="Imagen 5">
          <a:extLst>
            <a:ext uri="{FF2B5EF4-FFF2-40B4-BE49-F238E27FC236}">
              <a16:creationId xmlns:a16="http://schemas.microsoft.com/office/drawing/2014/main" id="{5CB0E44C-8506-499E-B72B-E60964AC3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10" name="Imagen 5">
          <a:extLst>
            <a:ext uri="{FF2B5EF4-FFF2-40B4-BE49-F238E27FC236}">
              <a16:creationId xmlns:a16="http://schemas.microsoft.com/office/drawing/2014/main" id="{D5CD98F6-5D08-442E-9D94-B808CF367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11" name="Imagen 5">
          <a:extLst>
            <a:ext uri="{FF2B5EF4-FFF2-40B4-BE49-F238E27FC236}">
              <a16:creationId xmlns:a16="http://schemas.microsoft.com/office/drawing/2014/main" id="{409B1213-BD32-4438-8F46-85965EAD8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165</xdr:row>
      <xdr:rowOff>117287</xdr:rowOff>
    </xdr:from>
    <xdr:ext cx="580490" cy="521526"/>
    <xdr:pic>
      <xdr:nvPicPr>
        <xdr:cNvPr id="13" name="Imagen 5">
          <a:extLst>
            <a:ext uri="{FF2B5EF4-FFF2-40B4-BE49-F238E27FC236}">
              <a16:creationId xmlns:a16="http://schemas.microsoft.com/office/drawing/2014/main" id="{962A6A55-4988-4001-859C-EC088D87D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165</xdr:row>
      <xdr:rowOff>117287</xdr:rowOff>
    </xdr:from>
    <xdr:ext cx="580490" cy="521526"/>
    <xdr:pic>
      <xdr:nvPicPr>
        <xdr:cNvPr id="14" name="Imagen 5">
          <a:extLst>
            <a:ext uri="{FF2B5EF4-FFF2-40B4-BE49-F238E27FC236}">
              <a16:creationId xmlns:a16="http://schemas.microsoft.com/office/drawing/2014/main" id="{72AF71FB-5FB5-46A3-B13D-E6A5E5EB7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34" name="Imagen 5">
          <a:extLst>
            <a:ext uri="{FF2B5EF4-FFF2-40B4-BE49-F238E27FC236}">
              <a16:creationId xmlns:a16="http://schemas.microsoft.com/office/drawing/2014/main" id="{26B8F75E-13E7-42F1-8016-7ED6952F9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3186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35" name="Imagen 5">
          <a:extLst>
            <a:ext uri="{FF2B5EF4-FFF2-40B4-BE49-F238E27FC236}">
              <a16:creationId xmlns:a16="http://schemas.microsoft.com/office/drawing/2014/main" id="{729A6371-97C7-420C-B8C3-FCDE1BCB8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3186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36" name="Imagen 5">
          <a:extLst>
            <a:ext uri="{FF2B5EF4-FFF2-40B4-BE49-F238E27FC236}">
              <a16:creationId xmlns:a16="http://schemas.microsoft.com/office/drawing/2014/main" id="{8EA2E708-0333-4E08-9943-A725E9FD3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3186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48</xdr:row>
      <xdr:rowOff>16208</xdr:rowOff>
    </xdr:from>
    <xdr:ext cx="1302684" cy="358595"/>
    <xdr:pic>
      <xdr:nvPicPr>
        <xdr:cNvPr id="37" name="Imagen 36">
          <a:extLst>
            <a:ext uri="{FF2B5EF4-FFF2-40B4-BE49-F238E27FC236}">
              <a16:creationId xmlns:a16="http://schemas.microsoft.com/office/drawing/2014/main" id="{9996DD79-1480-4478-9001-619231E0D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3922110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45" name="Imagen 5">
          <a:extLst>
            <a:ext uri="{FF2B5EF4-FFF2-40B4-BE49-F238E27FC236}">
              <a16:creationId xmlns:a16="http://schemas.microsoft.com/office/drawing/2014/main" id="{E7285956-1346-4FE2-A49C-EBB4E56F9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0933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46" name="Imagen 5">
          <a:extLst>
            <a:ext uri="{FF2B5EF4-FFF2-40B4-BE49-F238E27FC236}">
              <a16:creationId xmlns:a16="http://schemas.microsoft.com/office/drawing/2014/main" id="{2E1B16D7-CFD7-4812-AD77-6811DBE2C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0933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47" name="Imagen 5">
          <a:extLst>
            <a:ext uri="{FF2B5EF4-FFF2-40B4-BE49-F238E27FC236}">
              <a16:creationId xmlns:a16="http://schemas.microsoft.com/office/drawing/2014/main" id="{23A70F01-04FC-42DF-BA81-E2A26D338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0933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48" name="Imagen 5">
          <a:extLst>
            <a:ext uri="{FF2B5EF4-FFF2-40B4-BE49-F238E27FC236}">
              <a16:creationId xmlns:a16="http://schemas.microsoft.com/office/drawing/2014/main" id="{EBA8F24F-F18D-4210-ABA1-AB82D022F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0933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113</xdr:row>
      <xdr:rowOff>117287</xdr:rowOff>
    </xdr:from>
    <xdr:ext cx="580490" cy="521526"/>
    <xdr:pic>
      <xdr:nvPicPr>
        <xdr:cNvPr id="49" name="Imagen 5">
          <a:extLst>
            <a:ext uri="{FF2B5EF4-FFF2-40B4-BE49-F238E27FC236}">
              <a16:creationId xmlns:a16="http://schemas.microsoft.com/office/drawing/2014/main" id="{F066656C-3D2D-4EB3-9A47-7073E6432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5093316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149</xdr:row>
      <xdr:rowOff>16208</xdr:rowOff>
    </xdr:from>
    <xdr:ext cx="1302684" cy="358595"/>
    <xdr:pic>
      <xdr:nvPicPr>
        <xdr:cNvPr id="50" name="Imagen 49">
          <a:extLst>
            <a:ext uri="{FF2B5EF4-FFF2-40B4-BE49-F238E27FC236}">
              <a16:creationId xmlns:a16="http://schemas.microsoft.com/office/drawing/2014/main" id="{D7ECA543-ABBC-4D92-BEF3-39EA27B06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57385283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165</xdr:row>
      <xdr:rowOff>117287</xdr:rowOff>
    </xdr:from>
    <xdr:ext cx="580490" cy="521526"/>
    <xdr:pic>
      <xdr:nvPicPr>
        <xdr:cNvPr id="51" name="Imagen 5">
          <a:extLst>
            <a:ext uri="{FF2B5EF4-FFF2-40B4-BE49-F238E27FC236}">
              <a16:creationId xmlns:a16="http://schemas.microsoft.com/office/drawing/2014/main" id="{04F21B2E-C0DE-47A3-BE9B-4EAE2BBEA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6820198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201</xdr:row>
      <xdr:rowOff>16208</xdr:rowOff>
    </xdr:from>
    <xdr:ext cx="1302684" cy="358595"/>
    <xdr:pic>
      <xdr:nvPicPr>
        <xdr:cNvPr id="52" name="Imagen 51">
          <a:extLst>
            <a:ext uri="{FF2B5EF4-FFF2-40B4-BE49-F238E27FC236}">
              <a16:creationId xmlns:a16="http://schemas.microsoft.com/office/drawing/2014/main" id="{FE076063-F02F-4F7A-B81D-30EF720FA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74635058"/>
          <a:ext cx="1302684" cy="358595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8D61EC32-0A26-45DE-817F-47598298B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62</xdr:row>
      <xdr:rowOff>0</xdr:rowOff>
    </xdr:from>
    <xdr:to>
      <xdr:col>12</xdr:col>
      <xdr:colOff>304800</xdr:colOff>
      <xdr:row>63</xdr:row>
      <xdr:rowOff>114298</xdr:rowOff>
    </xdr:to>
    <xdr:sp macro="" textlink="">
      <xdr:nvSpPr>
        <xdr:cNvPr id="3" name="AutoShape 5" descr="Resultado de imagen de dosificaciones de concreto colombia ">
          <a:extLst>
            <a:ext uri="{FF2B5EF4-FFF2-40B4-BE49-F238E27FC236}">
              <a16:creationId xmlns:a16="http://schemas.microsoft.com/office/drawing/2014/main" id="{B71A60ED-C0C3-4D7C-9679-4C9F59EE0676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120205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A55AAB26-4274-4505-A019-38DE27551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5" name="Imagen 5">
          <a:extLst>
            <a:ext uri="{FF2B5EF4-FFF2-40B4-BE49-F238E27FC236}">
              <a16:creationId xmlns:a16="http://schemas.microsoft.com/office/drawing/2014/main" id="{DCA9845B-1427-446D-9F87-B5129ABBD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40</xdr:row>
      <xdr:rowOff>16208</xdr:rowOff>
    </xdr:from>
    <xdr:ext cx="1302684" cy="358595"/>
    <xdr:pic>
      <xdr:nvPicPr>
        <xdr:cNvPr id="6" name="Imagen 5">
          <a:extLst>
            <a:ext uri="{FF2B5EF4-FFF2-40B4-BE49-F238E27FC236}">
              <a16:creationId xmlns:a16="http://schemas.microsoft.com/office/drawing/2014/main" id="{4020937E-7180-436B-8F30-589BD10D8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8074358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59</xdr:row>
      <xdr:rowOff>117287</xdr:rowOff>
    </xdr:from>
    <xdr:ext cx="580490" cy="521526"/>
    <xdr:pic>
      <xdr:nvPicPr>
        <xdr:cNvPr id="7" name="Imagen 5">
          <a:extLst>
            <a:ext uri="{FF2B5EF4-FFF2-40B4-BE49-F238E27FC236}">
              <a16:creationId xmlns:a16="http://schemas.microsoft.com/office/drawing/2014/main" id="{F965523C-DEF3-486F-8148-FEC773B22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59</xdr:row>
      <xdr:rowOff>117287</xdr:rowOff>
    </xdr:from>
    <xdr:ext cx="580490" cy="521526"/>
    <xdr:pic>
      <xdr:nvPicPr>
        <xdr:cNvPr id="8" name="Imagen 5">
          <a:extLst>
            <a:ext uri="{FF2B5EF4-FFF2-40B4-BE49-F238E27FC236}">
              <a16:creationId xmlns:a16="http://schemas.microsoft.com/office/drawing/2014/main" id="{CE6119A7-0644-444F-95C2-D9C4D4724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120</xdr:row>
      <xdr:rowOff>117287</xdr:rowOff>
    </xdr:from>
    <xdr:ext cx="580490" cy="521526"/>
    <xdr:pic>
      <xdr:nvPicPr>
        <xdr:cNvPr id="10" name="Imagen 5">
          <a:extLst>
            <a:ext uri="{FF2B5EF4-FFF2-40B4-BE49-F238E27FC236}">
              <a16:creationId xmlns:a16="http://schemas.microsoft.com/office/drawing/2014/main" id="{FF9A73B4-BE27-47FE-89B0-CDE2F7728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120</xdr:row>
      <xdr:rowOff>117287</xdr:rowOff>
    </xdr:from>
    <xdr:ext cx="580490" cy="521526"/>
    <xdr:pic>
      <xdr:nvPicPr>
        <xdr:cNvPr id="11" name="Imagen 5">
          <a:extLst>
            <a:ext uri="{FF2B5EF4-FFF2-40B4-BE49-F238E27FC236}">
              <a16:creationId xmlns:a16="http://schemas.microsoft.com/office/drawing/2014/main" id="{13D7A824-E783-472D-A1F7-6D427F7B6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181</xdr:row>
      <xdr:rowOff>117287</xdr:rowOff>
    </xdr:from>
    <xdr:ext cx="580490" cy="521526"/>
    <xdr:pic>
      <xdr:nvPicPr>
        <xdr:cNvPr id="13" name="Imagen 5">
          <a:extLst>
            <a:ext uri="{FF2B5EF4-FFF2-40B4-BE49-F238E27FC236}">
              <a16:creationId xmlns:a16="http://schemas.microsoft.com/office/drawing/2014/main" id="{2628D54B-789C-484B-B81B-FABB3D613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181</xdr:row>
      <xdr:rowOff>117287</xdr:rowOff>
    </xdr:from>
    <xdr:ext cx="580490" cy="521526"/>
    <xdr:pic>
      <xdr:nvPicPr>
        <xdr:cNvPr id="14" name="Imagen 5">
          <a:extLst>
            <a:ext uri="{FF2B5EF4-FFF2-40B4-BE49-F238E27FC236}">
              <a16:creationId xmlns:a16="http://schemas.microsoft.com/office/drawing/2014/main" id="{DEDB5069-0108-46B8-B8AC-18B94689F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237</xdr:row>
      <xdr:rowOff>117287</xdr:rowOff>
    </xdr:from>
    <xdr:ext cx="580490" cy="521526"/>
    <xdr:pic>
      <xdr:nvPicPr>
        <xdr:cNvPr id="16" name="Imagen 5">
          <a:extLst>
            <a:ext uri="{FF2B5EF4-FFF2-40B4-BE49-F238E27FC236}">
              <a16:creationId xmlns:a16="http://schemas.microsoft.com/office/drawing/2014/main" id="{AF047477-8FD7-4D55-BB69-718ABDB10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237</xdr:row>
      <xdr:rowOff>117287</xdr:rowOff>
    </xdr:from>
    <xdr:ext cx="580490" cy="521526"/>
    <xdr:pic>
      <xdr:nvPicPr>
        <xdr:cNvPr id="17" name="Imagen 5">
          <a:extLst>
            <a:ext uri="{FF2B5EF4-FFF2-40B4-BE49-F238E27FC236}">
              <a16:creationId xmlns:a16="http://schemas.microsoft.com/office/drawing/2014/main" id="{EE67376D-D773-4579-8388-8C3E25AB3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494508</xdr:colOff>
      <xdr:row>98</xdr:row>
      <xdr:rowOff>186328</xdr:rowOff>
    </xdr:from>
    <xdr:ext cx="1656644" cy="456031"/>
    <xdr:pic>
      <xdr:nvPicPr>
        <xdr:cNvPr id="19" name="Imagen 18">
          <a:extLst>
            <a:ext uri="{FF2B5EF4-FFF2-40B4-BE49-F238E27FC236}">
              <a16:creationId xmlns:a16="http://schemas.microsoft.com/office/drawing/2014/main" id="{3240B58E-E339-4D06-913B-ED4210335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30941" y="19150710"/>
          <a:ext cx="1656644" cy="456031"/>
        </a:xfrm>
        <a:prstGeom prst="rect">
          <a:avLst/>
        </a:prstGeom>
      </xdr:spPr>
    </xdr:pic>
    <xdr:clientData/>
  </xdr:oneCellAnchor>
  <xdr:oneCellAnchor>
    <xdr:from>
      <xdr:col>2</xdr:col>
      <xdr:colOff>494507</xdr:colOff>
      <xdr:row>162</xdr:row>
      <xdr:rowOff>64213</xdr:rowOff>
    </xdr:from>
    <xdr:ext cx="1361563" cy="374803"/>
    <xdr:pic>
      <xdr:nvPicPr>
        <xdr:cNvPr id="20" name="Imagen 19">
          <a:extLst>
            <a:ext uri="{FF2B5EF4-FFF2-40B4-BE49-F238E27FC236}">
              <a16:creationId xmlns:a16="http://schemas.microsoft.com/office/drawing/2014/main" id="{1CA0432B-FB4E-4CB9-B734-BED3BA281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30940" y="30833174"/>
          <a:ext cx="1361563" cy="374803"/>
        </a:xfrm>
        <a:prstGeom prst="rect">
          <a:avLst/>
        </a:prstGeom>
      </xdr:spPr>
    </xdr:pic>
    <xdr:clientData/>
  </xdr:oneCellAnchor>
  <xdr:oneCellAnchor>
    <xdr:from>
      <xdr:col>2</xdr:col>
      <xdr:colOff>419591</xdr:colOff>
      <xdr:row>221</xdr:row>
      <xdr:rowOff>139007</xdr:rowOff>
    </xdr:from>
    <xdr:ext cx="1517515" cy="417733"/>
    <xdr:pic>
      <xdr:nvPicPr>
        <xdr:cNvPr id="21" name="Imagen 20">
          <a:extLst>
            <a:ext uri="{FF2B5EF4-FFF2-40B4-BE49-F238E27FC236}">
              <a16:creationId xmlns:a16="http://schemas.microsoft.com/office/drawing/2014/main" id="{41A3B47F-2004-4A21-8F9B-C8D11C54D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56024" y="41941985"/>
          <a:ext cx="1517515" cy="417733"/>
        </a:xfrm>
        <a:prstGeom prst="rect">
          <a:avLst/>
        </a:prstGeom>
      </xdr:spPr>
    </xdr:pic>
    <xdr:clientData/>
  </xdr:oneCellAnchor>
  <xdr:oneCellAnchor>
    <xdr:from>
      <xdr:col>2</xdr:col>
      <xdr:colOff>419591</xdr:colOff>
      <xdr:row>278</xdr:row>
      <xdr:rowOff>139007</xdr:rowOff>
    </xdr:from>
    <xdr:ext cx="1517515" cy="417733"/>
    <xdr:pic>
      <xdr:nvPicPr>
        <xdr:cNvPr id="22" name="Imagen 21">
          <a:extLst>
            <a:ext uri="{FF2B5EF4-FFF2-40B4-BE49-F238E27FC236}">
              <a16:creationId xmlns:a16="http://schemas.microsoft.com/office/drawing/2014/main" id="{52EBD21F-8E2D-4C72-B1CF-5C25165D4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56024" y="41760046"/>
          <a:ext cx="1517515" cy="417733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C5E58E04-7C52-4674-BA6B-47BF768A8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74</xdr:row>
      <xdr:rowOff>0</xdr:rowOff>
    </xdr:from>
    <xdr:to>
      <xdr:col>12</xdr:col>
      <xdr:colOff>304800</xdr:colOff>
      <xdr:row>75</xdr:row>
      <xdr:rowOff>114298</xdr:rowOff>
    </xdr:to>
    <xdr:sp macro="" textlink="">
      <xdr:nvSpPr>
        <xdr:cNvPr id="5" name="AutoShape 5" descr="Resultado de imagen de dosificaciones de concreto colombia ">
          <a:extLst>
            <a:ext uri="{FF2B5EF4-FFF2-40B4-BE49-F238E27FC236}">
              <a16:creationId xmlns:a16="http://schemas.microsoft.com/office/drawing/2014/main" id="{8AE9DEBE-CD24-4128-BD2A-20D95DFC04B3}"/>
            </a:ext>
          </a:extLst>
        </xdr:cNvPr>
        <xdr:cNvSpPr>
          <a:spLocks noChangeAspect="1" noChangeArrowheads="1"/>
        </xdr:cNvSpPr>
      </xdr:nvSpPr>
      <xdr:spPr bwMode="auto">
        <a:xfrm>
          <a:off x="13696950" y="42767250"/>
          <a:ext cx="304800" cy="295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4" name="Imagen 5">
          <a:extLst>
            <a:ext uri="{FF2B5EF4-FFF2-40B4-BE49-F238E27FC236}">
              <a16:creationId xmlns:a16="http://schemas.microsoft.com/office/drawing/2014/main" id="{5B957E41-F0A7-4390-AA8F-5CA3E1048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6" name="Imagen 5">
          <a:extLst>
            <a:ext uri="{FF2B5EF4-FFF2-40B4-BE49-F238E27FC236}">
              <a16:creationId xmlns:a16="http://schemas.microsoft.com/office/drawing/2014/main" id="{5D02C935-8952-4BEA-8529-98F1A312A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3732" y="1384112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51</xdr:row>
      <xdr:rowOff>111151</xdr:rowOff>
    </xdr:from>
    <xdr:ext cx="1683994" cy="463560"/>
    <xdr:pic>
      <xdr:nvPicPr>
        <xdr:cNvPr id="7" name="Imagen 6">
          <a:extLst>
            <a:ext uri="{FF2B5EF4-FFF2-40B4-BE49-F238E27FC236}">
              <a16:creationId xmlns:a16="http://schemas.microsoft.com/office/drawing/2014/main" id="{DDDC358D-FC71-49BC-A6D7-4278E0E314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9" y="7801707"/>
          <a:ext cx="1683994" cy="463560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68</xdr:row>
      <xdr:rowOff>117287</xdr:rowOff>
    </xdr:from>
    <xdr:ext cx="580490" cy="521526"/>
    <xdr:pic>
      <xdr:nvPicPr>
        <xdr:cNvPr id="8" name="Imagen 5">
          <a:extLst>
            <a:ext uri="{FF2B5EF4-FFF2-40B4-BE49-F238E27FC236}">
              <a16:creationId xmlns:a16="http://schemas.microsoft.com/office/drawing/2014/main" id="{F03B2B11-0C00-41DC-A728-D5FC9FEB4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68</xdr:row>
      <xdr:rowOff>117287</xdr:rowOff>
    </xdr:from>
    <xdr:ext cx="580490" cy="521526"/>
    <xdr:pic>
      <xdr:nvPicPr>
        <xdr:cNvPr id="9" name="Imagen 5">
          <a:extLst>
            <a:ext uri="{FF2B5EF4-FFF2-40B4-BE49-F238E27FC236}">
              <a16:creationId xmlns:a16="http://schemas.microsoft.com/office/drawing/2014/main" id="{36BA1C06-EC1A-4B5F-BDBC-BFE2441E6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68</xdr:row>
      <xdr:rowOff>117287</xdr:rowOff>
    </xdr:from>
    <xdr:ext cx="580490" cy="521526"/>
    <xdr:pic>
      <xdr:nvPicPr>
        <xdr:cNvPr id="10" name="Imagen 9">
          <a:extLst>
            <a:ext uri="{FF2B5EF4-FFF2-40B4-BE49-F238E27FC236}">
              <a16:creationId xmlns:a16="http://schemas.microsoft.com/office/drawing/2014/main" id="{063E9017-9B3F-4A65-AF3F-AD1EDC7B3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101</xdr:row>
      <xdr:rowOff>0</xdr:rowOff>
    </xdr:from>
    <xdr:ext cx="1575154" cy="433599"/>
    <xdr:pic>
      <xdr:nvPicPr>
        <xdr:cNvPr id="11" name="Imagen 10">
          <a:extLst>
            <a:ext uri="{FF2B5EF4-FFF2-40B4-BE49-F238E27FC236}">
              <a16:creationId xmlns:a16="http://schemas.microsoft.com/office/drawing/2014/main" id="{88427808-7D52-4E59-AE5E-29A22A08F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9" y="16686389"/>
          <a:ext cx="1575154" cy="433599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118</xdr:row>
      <xdr:rowOff>117287</xdr:rowOff>
    </xdr:from>
    <xdr:ext cx="580490" cy="521526"/>
    <xdr:pic>
      <xdr:nvPicPr>
        <xdr:cNvPr id="12" name="Imagen 5">
          <a:extLst>
            <a:ext uri="{FF2B5EF4-FFF2-40B4-BE49-F238E27FC236}">
              <a16:creationId xmlns:a16="http://schemas.microsoft.com/office/drawing/2014/main" id="{DD5D194B-C5A1-4CBC-8C8B-9EBF46410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118</xdr:row>
      <xdr:rowOff>117287</xdr:rowOff>
    </xdr:from>
    <xdr:ext cx="580490" cy="521526"/>
    <xdr:pic>
      <xdr:nvPicPr>
        <xdr:cNvPr id="13" name="Imagen 5">
          <a:extLst>
            <a:ext uri="{FF2B5EF4-FFF2-40B4-BE49-F238E27FC236}">
              <a16:creationId xmlns:a16="http://schemas.microsoft.com/office/drawing/2014/main" id="{09ED613E-1C86-428A-A89F-108DCED2F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118</xdr:row>
      <xdr:rowOff>117287</xdr:rowOff>
    </xdr:from>
    <xdr:ext cx="580490" cy="521526"/>
    <xdr:pic>
      <xdr:nvPicPr>
        <xdr:cNvPr id="14" name="Imagen 13">
          <a:extLst>
            <a:ext uri="{FF2B5EF4-FFF2-40B4-BE49-F238E27FC236}">
              <a16:creationId xmlns:a16="http://schemas.microsoft.com/office/drawing/2014/main" id="{F3C55053-A2E9-4FB6-A04B-EA70850F4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182</xdr:row>
      <xdr:rowOff>117287</xdr:rowOff>
    </xdr:from>
    <xdr:ext cx="580490" cy="521526"/>
    <xdr:pic>
      <xdr:nvPicPr>
        <xdr:cNvPr id="16" name="Imagen 5">
          <a:extLst>
            <a:ext uri="{FF2B5EF4-FFF2-40B4-BE49-F238E27FC236}">
              <a16:creationId xmlns:a16="http://schemas.microsoft.com/office/drawing/2014/main" id="{1AB9FEA7-85FE-422F-8D73-65F64CCB2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182</xdr:row>
      <xdr:rowOff>117287</xdr:rowOff>
    </xdr:from>
    <xdr:ext cx="580490" cy="521526"/>
    <xdr:pic>
      <xdr:nvPicPr>
        <xdr:cNvPr id="17" name="Imagen 5">
          <a:extLst>
            <a:ext uri="{FF2B5EF4-FFF2-40B4-BE49-F238E27FC236}">
              <a16:creationId xmlns:a16="http://schemas.microsoft.com/office/drawing/2014/main" id="{89B78D1D-E0F4-4B90-8081-D4EDBF7A7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182</xdr:row>
      <xdr:rowOff>117287</xdr:rowOff>
    </xdr:from>
    <xdr:ext cx="580490" cy="521526"/>
    <xdr:pic>
      <xdr:nvPicPr>
        <xdr:cNvPr id="18" name="Imagen 17">
          <a:extLst>
            <a:ext uri="{FF2B5EF4-FFF2-40B4-BE49-F238E27FC236}">
              <a16:creationId xmlns:a16="http://schemas.microsoft.com/office/drawing/2014/main" id="{03FA52FD-E3A5-4A02-8882-7058BBD9F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215</xdr:row>
      <xdr:rowOff>16208</xdr:rowOff>
    </xdr:from>
    <xdr:ext cx="1302684" cy="358595"/>
    <xdr:pic>
      <xdr:nvPicPr>
        <xdr:cNvPr id="19" name="Imagen 18">
          <a:extLst>
            <a:ext uri="{FF2B5EF4-FFF2-40B4-BE49-F238E27FC236}">
              <a16:creationId xmlns:a16="http://schemas.microsoft.com/office/drawing/2014/main" id="{3C3AE3AE-4A82-4D80-80B3-7FEBF22CC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1050" y="8170945"/>
          <a:ext cx="1302684" cy="358595"/>
        </a:xfrm>
        <a:prstGeom prst="rect">
          <a:avLst/>
        </a:prstGeom>
      </xdr:spPr>
    </xdr:pic>
    <xdr:clientData/>
  </xdr:oneCellAnchor>
  <xdr:oneCellAnchor>
    <xdr:from>
      <xdr:col>7</xdr:col>
      <xdr:colOff>652157</xdr:colOff>
      <xdr:row>231</xdr:row>
      <xdr:rowOff>117287</xdr:rowOff>
    </xdr:from>
    <xdr:ext cx="580490" cy="521526"/>
    <xdr:pic>
      <xdr:nvPicPr>
        <xdr:cNvPr id="20" name="Imagen 5">
          <a:extLst>
            <a:ext uri="{FF2B5EF4-FFF2-40B4-BE49-F238E27FC236}">
              <a16:creationId xmlns:a16="http://schemas.microsoft.com/office/drawing/2014/main" id="{B49D7BCF-2DAB-4A28-9D8F-ACCA33D1B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231</xdr:row>
      <xdr:rowOff>117287</xdr:rowOff>
    </xdr:from>
    <xdr:ext cx="580490" cy="521526"/>
    <xdr:pic>
      <xdr:nvPicPr>
        <xdr:cNvPr id="21" name="Imagen 5">
          <a:extLst>
            <a:ext uri="{FF2B5EF4-FFF2-40B4-BE49-F238E27FC236}">
              <a16:creationId xmlns:a16="http://schemas.microsoft.com/office/drawing/2014/main" id="{BED761D2-AD74-4311-809F-2A617EC29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652157</xdr:colOff>
      <xdr:row>231</xdr:row>
      <xdr:rowOff>117287</xdr:rowOff>
    </xdr:from>
    <xdr:ext cx="580490" cy="521526"/>
    <xdr:pic>
      <xdr:nvPicPr>
        <xdr:cNvPr id="22" name="Imagen 21">
          <a:extLst>
            <a:ext uri="{FF2B5EF4-FFF2-40B4-BE49-F238E27FC236}">
              <a16:creationId xmlns:a16="http://schemas.microsoft.com/office/drawing/2014/main" id="{46A5F60B-46CC-4F5D-99E8-FF3005514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894" y="1403998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644339</xdr:colOff>
      <xdr:row>264</xdr:row>
      <xdr:rowOff>16208</xdr:rowOff>
    </xdr:from>
    <xdr:ext cx="1302684" cy="358595"/>
    <xdr:pic>
      <xdr:nvPicPr>
        <xdr:cNvPr id="23" name="Imagen 22">
          <a:extLst>
            <a:ext uri="{FF2B5EF4-FFF2-40B4-BE49-F238E27FC236}">
              <a16:creationId xmlns:a16="http://schemas.microsoft.com/office/drawing/2014/main" id="{51934A8F-2E9E-4703-96C0-11CDA2A0C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1050" y="8170945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644338</xdr:colOff>
      <xdr:row>158</xdr:row>
      <xdr:rowOff>166180</xdr:rowOff>
    </xdr:from>
    <xdr:ext cx="1484087" cy="408531"/>
    <xdr:pic>
      <xdr:nvPicPr>
        <xdr:cNvPr id="24" name="Imagen 23">
          <a:extLst>
            <a:ext uri="{FF2B5EF4-FFF2-40B4-BE49-F238E27FC236}">
              <a16:creationId xmlns:a16="http://schemas.microsoft.com/office/drawing/2014/main" id="{2A29682C-2F76-47E5-8501-C73B45819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8" y="27036087"/>
          <a:ext cx="1484087" cy="408531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215</xdr:row>
      <xdr:rowOff>16208</xdr:rowOff>
    </xdr:from>
    <xdr:ext cx="1302684" cy="358595"/>
    <xdr:pic>
      <xdr:nvPicPr>
        <xdr:cNvPr id="25" name="Imagen 24">
          <a:extLst>
            <a:ext uri="{FF2B5EF4-FFF2-40B4-BE49-F238E27FC236}">
              <a16:creationId xmlns:a16="http://schemas.microsoft.com/office/drawing/2014/main" id="{2E72886C-0087-4958-8164-4379C1FB0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73549208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215</xdr:row>
      <xdr:rowOff>16208</xdr:rowOff>
    </xdr:from>
    <xdr:ext cx="1302684" cy="358595"/>
    <xdr:pic>
      <xdr:nvPicPr>
        <xdr:cNvPr id="26" name="Imagen 25">
          <a:extLst>
            <a:ext uri="{FF2B5EF4-FFF2-40B4-BE49-F238E27FC236}">
              <a16:creationId xmlns:a16="http://schemas.microsoft.com/office/drawing/2014/main" id="{3A5F293E-F2F6-4A27-819D-97FAF6D5C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7514" y="73549208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264</xdr:row>
      <xdr:rowOff>16208</xdr:rowOff>
    </xdr:from>
    <xdr:ext cx="1302684" cy="358595"/>
    <xdr:pic>
      <xdr:nvPicPr>
        <xdr:cNvPr id="27" name="Imagen 26">
          <a:extLst>
            <a:ext uri="{FF2B5EF4-FFF2-40B4-BE49-F238E27FC236}">
              <a16:creationId xmlns:a16="http://schemas.microsoft.com/office/drawing/2014/main" id="{047E5299-1C08-4401-BBFD-EE9A860B0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9" y="3711667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264</xdr:row>
      <xdr:rowOff>16208</xdr:rowOff>
    </xdr:from>
    <xdr:ext cx="1302684" cy="358595"/>
    <xdr:pic>
      <xdr:nvPicPr>
        <xdr:cNvPr id="28" name="Imagen 27">
          <a:extLst>
            <a:ext uri="{FF2B5EF4-FFF2-40B4-BE49-F238E27FC236}">
              <a16:creationId xmlns:a16="http://schemas.microsoft.com/office/drawing/2014/main" id="{C49E9F86-8E93-4A24-B1E8-F077B06E1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9" y="37116671"/>
          <a:ext cx="1302684" cy="358595"/>
        </a:xfrm>
        <a:prstGeom prst="rect">
          <a:avLst/>
        </a:prstGeom>
      </xdr:spPr>
    </xdr:pic>
    <xdr:clientData/>
  </xdr:oneCellAnchor>
  <xdr:oneCellAnchor>
    <xdr:from>
      <xdr:col>2</xdr:col>
      <xdr:colOff>644339</xdr:colOff>
      <xdr:row>263</xdr:row>
      <xdr:rowOff>143522</xdr:rowOff>
    </xdr:from>
    <xdr:ext cx="1566402" cy="431190"/>
    <xdr:pic>
      <xdr:nvPicPr>
        <xdr:cNvPr id="29" name="Imagen 28">
          <a:extLst>
            <a:ext uri="{FF2B5EF4-FFF2-40B4-BE49-F238E27FC236}">
              <a16:creationId xmlns:a16="http://schemas.microsoft.com/office/drawing/2014/main" id="{B0FD9FD0-33EF-47E6-8CB7-46E9B4E45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9" y="45840003"/>
          <a:ext cx="1566402" cy="431190"/>
        </a:xfrm>
        <a:prstGeom prst="rect">
          <a:avLst/>
        </a:prstGeom>
      </xdr:spPr>
    </xdr:pic>
    <xdr:clientData/>
  </xdr:oneCellAnchor>
  <xdr:oneCellAnchor>
    <xdr:from>
      <xdr:col>2</xdr:col>
      <xdr:colOff>644338</xdr:colOff>
      <xdr:row>214</xdr:row>
      <xdr:rowOff>140283</xdr:rowOff>
    </xdr:from>
    <xdr:ext cx="1578161" cy="434427"/>
    <xdr:pic>
      <xdr:nvPicPr>
        <xdr:cNvPr id="30" name="Imagen 29">
          <a:extLst>
            <a:ext uri="{FF2B5EF4-FFF2-40B4-BE49-F238E27FC236}">
              <a16:creationId xmlns:a16="http://schemas.microsoft.com/office/drawing/2014/main" id="{AE0C73A9-BC8B-48CF-8495-242F61C9C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4338" y="37040839"/>
          <a:ext cx="1578161" cy="434427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120015</xdr:colOff>
      <xdr:row>0</xdr:row>
      <xdr:rowOff>83820</xdr:rowOff>
    </xdr:from>
    <xdr:ext cx="580315" cy="518205"/>
    <xdr:pic>
      <xdr:nvPicPr>
        <xdr:cNvPr id="2" name="Imagen 1">
          <a:extLst>
            <a:ext uri="{FF2B5EF4-FFF2-40B4-BE49-F238E27FC236}">
              <a16:creationId xmlns:a16="http://schemas.microsoft.com/office/drawing/2014/main" id="{00B17007-7792-4E2C-BED8-AE98A6956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114301</xdr:rowOff>
    </xdr:to>
    <xdr:sp macro="" textlink="">
      <xdr:nvSpPr>
        <xdr:cNvPr id="7169" name="AutoShape 1">
          <a:extLst>
            <a:ext uri="{FF2B5EF4-FFF2-40B4-BE49-F238E27FC236}">
              <a16:creationId xmlns:a16="http://schemas.microsoft.com/office/drawing/2014/main" id="{4CD23110-8C20-A453-9F85-49DEC44EDD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0659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114301</xdr:rowOff>
    </xdr:to>
    <xdr:sp macro="" textlink="">
      <xdr:nvSpPr>
        <xdr:cNvPr id="7170" name="AutoShape 2">
          <a:extLst>
            <a:ext uri="{FF2B5EF4-FFF2-40B4-BE49-F238E27FC236}">
              <a16:creationId xmlns:a16="http://schemas.microsoft.com/office/drawing/2014/main" id="{A13C82A1-7962-B055-80FB-9DE71DAD27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902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304800</xdr:colOff>
      <xdr:row>38</xdr:row>
      <xdr:rowOff>114301</xdr:rowOff>
    </xdr:to>
    <xdr:sp macro="" textlink="">
      <xdr:nvSpPr>
        <xdr:cNvPr id="7187" name="AutoShape 3">
          <a:extLst>
            <a:ext uri="{FF2B5EF4-FFF2-40B4-BE49-F238E27FC236}">
              <a16:creationId xmlns:a16="http://schemas.microsoft.com/office/drawing/2014/main" id="{75B1D229-C22F-F90C-AEDD-D0946486D91E}"/>
            </a:ext>
          </a:extLst>
        </xdr:cNvPr>
        <xdr:cNvSpPr>
          <a:spLocks noChangeAspect="1" noChangeArrowheads="1"/>
        </xdr:cNvSpPr>
      </xdr:nvSpPr>
      <xdr:spPr bwMode="auto">
        <a:xfrm>
          <a:off x="8991600" y="3744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304800</xdr:colOff>
      <xdr:row>38</xdr:row>
      <xdr:rowOff>114301</xdr:rowOff>
    </xdr:to>
    <xdr:sp macro="" textlink="">
      <xdr:nvSpPr>
        <xdr:cNvPr id="7189" name="AutoShape 4">
          <a:extLst>
            <a:ext uri="{FF2B5EF4-FFF2-40B4-BE49-F238E27FC236}">
              <a16:creationId xmlns:a16="http://schemas.microsoft.com/office/drawing/2014/main" id="{2F864D2F-8DB2-56A0-1B89-719D4F7E26E7}"/>
            </a:ext>
          </a:extLst>
        </xdr:cNvPr>
        <xdr:cNvSpPr>
          <a:spLocks noChangeAspect="1" noChangeArrowheads="1"/>
        </xdr:cNvSpPr>
      </xdr:nvSpPr>
      <xdr:spPr bwMode="auto">
        <a:xfrm>
          <a:off x="8991600" y="3687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114300</xdr:rowOff>
    </xdr:to>
    <xdr:sp macro="" textlink="">
      <xdr:nvSpPr>
        <xdr:cNvPr id="7195" name="AutoShape 5">
          <a:extLst>
            <a:ext uri="{FF2B5EF4-FFF2-40B4-BE49-F238E27FC236}">
              <a16:creationId xmlns:a16="http://schemas.microsoft.com/office/drawing/2014/main" id="{17D2FFEF-E0A8-6689-7FF3-C9475AD18A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91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114301</xdr:rowOff>
    </xdr:to>
    <xdr:sp macro="" textlink="">
      <xdr:nvSpPr>
        <xdr:cNvPr id="4097" name="AutoShape 1">
          <a:extLst>
            <a:ext uri="{FF2B5EF4-FFF2-40B4-BE49-F238E27FC236}">
              <a16:creationId xmlns:a16="http://schemas.microsoft.com/office/drawing/2014/main" id="{5C4D83EC-1305-4943-A7EB-CB91DB20B3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164277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114301</xdr:rowOff>
    </xdr:to>
    <xdr:sp macro="" textlink="">
      <xdr:nvSpPr>
        <xdr:cNvPr id="4098" name="AutoShape 2">
          <a:extLst>
            <a:ext uri="{FF2B5EF4-FFF2-40B4-BE49-F238E27FC236}">
              <a16:creationId xmlns:a16="http://schemas.microsoft.com/office/drawing/2014/main" id="{9789BD1C-320E-4ACB-9468-36F152CF27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17149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114301</xdr:rowOff>
    </xdr:to>
    <xdr:sp macro="" textlink="">
      <xdr:nvSpPr>
        <xdr:cNvPr id="4099" name="AutoShape 3">
          <a:extLst>
            <a:ext uri="{FF2B5EF4-FFF2-40B4-BE49-F238E27FC236}">
              <a16:creationId xmlns:a16="http://schemas.microsoft.com/office/drawing/2014/main" id="{B46C85E2-0C87-425C-AB35-AF3455D4CE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17149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304800</xdr:colOff>
      <xdr:row>38</xdr:row>
      <xdr:rowOff>114301</xdr:rowOff>
    </xdr:to>
    <xdr:sp macro="" textlink="">
      <xdr:nvSpPr>
        <xdr:cNvPr id="4100" name="AutoShape 4">
          <a:extLst>
            <a:ext uri="{FF2B5EF4-FFF2-40B4-BE49-F238E27FC236}">
              <a16:creationId xmlns:a16="http://schemas.microsoft.com/office/drawing/2014/main" id="{0CEA8FCB-CC95-4144-A5D5-11AC7EF3F9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17925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652157</xdr:colOff>
      <xdr:row>7</xdr:row>
      <xdr:rowOff>117287</xdr:rowOff>
    </xdr:from>
    <xdr:ext cx="580490" cy="521526"/>
    <xdr:pic>
      <xdr:nvPicPr>
        <xdr:cNvPr id="2" name="Imagen 5">
          <a:extLst>
            <a:ext uri="{FF2B5EF4-FFF2-40B4-BE49-F238E27FC236}">
              <a16:creationId xmlns:a16="http://schemas.microsoft.com/office/drawing/2014/main" id="{7628123F-1027-4064-B42E-16EC8A967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7569" y="1372346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656867</xdr:colOff>
      <xdr:row>114</xdr:row>
      <xdr:rowOff>39105</xdr:rowOff>
    </xdr:from>
    <xdr:ext cx="552487" cy="496367"/>
    <xdr:pic>
      <xdr:nvPicPr>
        <xdr:cNvPr id="4" name="Imagen 5">
          <a:extLst>
            <a:ext uri="{FF2B5EF4-FFF2-40B4-BE49-F238E27FC236}">
              <a16:creationId xmlns:a16="http://schemas.microsoft.com/office/drawing/2014/main" id="{195BC46A-E2AC-4769-9A0A-3E70691B4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2279" y="2170007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537805</xdr:colOff>
      <xdr:row>170</xdr:row>
      <xdr:rowOff>13891</xdr:rowOff>
    </xdr:from>
    <xdr:ext cx="552487" cy="496367"/>
    <xdr:pic>
      <xdr:nvPicPr>
        <xdr:cNvPr id="5" name="Imagen 4">
          <a:extLst>
            <a:ext uri="{FF2B5EF4-FFF2-40B4-BE49-F238E27FC236}">
              <a16:creationId xmlns:a16="http://schemas.microsoft.com/office/drawing/2014/main" id="{EC314836-472A-4DE5-A482-67C9DF807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6524" y="32291735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221</xdr:row>
      <xdr:rowOff>0</xdr:rowOff>
    </xdr:from>
    <xdr:to>
      <xdr:col>12</xdr:col>
      <xdr:colOff>304800</xdr:colOff>
      <xdr:row>222</xdr:row>
      <xdr:rowOff>114299</xdr:rowOff>
    </xdr:to>
    <xdr:sp macro="" textlink="">
      <xdr:nvSpPr>
        <xdr:cNvPr id="17" name="AutoShape 5" descr="Resultado de imagen de dosificaciones de concreto colombia ">
          <a:extLst>
            <a:ext uri="{FF2B5EF4-FFF2-40B4-BE49-F238E27FC236}">
              <a16:creationId xmlns:a16="http://schemas.microsoft.com/office/drawing/2014/main" id="{F4A3FD1C-D173-40E7-8304-B350378163AF}"/>
            </a:ext>
          </a:extLst>
        </xdr:cNvPr>
        <xdr:cNvSpPr>
          <a:spLocks noChangeAspect="1" noChangeArrowheads="1"/>
        </xdr:cNvSpPr>
      </xdr:nvSpPr>
      <xdr:spPr bwMode="auto">
        <a:xfrm>
          <a:off x="13815060" y="3776472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649942</xdr:colOff>
      <xdr:row>56</xdr:row>
      <xdr:rowOff>33617</xdr:rowOff>
    </xdr:from>
    <xdr:ext cx="580490" cy="521526"/>
    <xdr:pic>
      <xdr:nvPicPr>
        <xdr:cNvPr id="22" name="Imagen 5">
          <a:extLst>
            <a:ext uri="{FF2B5EF4-FFF2-40B4-BE49-F238E27FC236}">
              <a16:creationId xmlns:a16="http://schemas.microsoft.com/office/drawing/2014/main" id="{95EEABA4-7EED-4A5C-B8F2-BCCA93D1F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5354" y="10892117"/>
          <a:ext cx="580490" cy="52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607218</xdr:colOff>
      <xdr:row>67</xdr:row>
      <xdr:rowOff>119062</xdr:rowOff>
    </xdr:from>
    <xdr:to>
      <xdr:col>16</xdr:col>
      <xdr:colOff>1148497</xdr:colOff>
      <xdr:row>83</xdr:row>
      <xdr:rowOff>113421</xdr:rowOff>
    </xdr:to>
    <xdr:pic>
      <xdr:nvPicPr>
        <xdr:cNvPr id="23" name="Imagen 22" descr="Tablas de Dosificación del Concreto">
          <a:extLst>
            <a:ext uri="{FF2B5EF4-FFF2-40B4-BE49-F238E27FC236}">
              <a16:creationId xmlns:a16="http://schemas.microsoft.com/office/drawing/2014/main" id="{CE81DB09-411F-4195-9929-D9D5623ED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3937" y="13299281"/>
          <a:ext cx="6756341" cy="2851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10</xdr:row>
      <xdr:rowOff>66675</xdr:rowOff>
    </xdr:from>
    <xdr:to>
      <xdr:col>16</xdr:col>
      <xdr:colOff>590550</xdr:colOff>
      <xdr:row>17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54017F-D249-4AC0-A564-45A4103D1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38350"/>
          <a:ext cx="9105900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" name="Texto 88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" name="Texto 8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" name="Texto 8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" name="Texto 8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" name="Texto 88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" name="Texto 8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" name="Texto 8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" name="Texto 8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" name="Texto 88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" name="Texto 8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" name="Texto 8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" name="Texto 8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" name="Texto 8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" name="Texto 8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" name="Texto 88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" name="Texto 8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" name="Texto 8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" name="Texto 8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" name="Texto 88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" name="Texto 8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" name="Texto 88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" name="Texto 8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" name="Texto 8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" name="Texto 8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" name="Texto 88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" name="Texto 8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" name="Texto 88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" name="Texto 8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" name="Texto 8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" name="Texto 8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" name="Texto 8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" name="Texto 8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" name="Texto 8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" name="Texto 8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6" name="Texto 88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7" name="Texto 8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8" name="Texto 88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9" name="Texto 8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0" name="Texto 88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1" name="Texto 8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2" name="Texto 8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3" name="Texto 8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4" name="Texto 8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5" name="Texto 8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6" name="Texto 88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7" name="Texto 8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8" name="Texto 8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49" name="Texto 8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0" name="Texto 8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1" name="Texto 8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2" name="Texto 88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3" name="Texto 8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4" name="Texto 8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5" name="Texto 8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6" name="Texto 88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7" name="Texto 8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8" name="Texto 88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59" name="Texto 8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0" name="Texto 88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1" name="Texto 8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2" name="Texto 88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3" name="Texto 8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4" name="Texto 8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5" name="Texto 8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6" name="Texto 8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7" name="Texto 8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8" name="Texto 88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69" name="Texto 8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0" name="Texto 88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1" name="Texto 8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2" name="Texto 88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3" name="Texto 8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4" name="Texto 8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5" name="Texto 8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6" name="Texto 88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7" name="Texto 8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8" name="Texto 8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79" name="Texto 8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0" name="Texto 88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1" name="Texto 8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2" name="Texto 88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3" name="Texto 8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4" name="Texto 8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5" name="Texto 8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6" name="Texto 88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7" name="Texto 8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8" name="Texto 8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89" name="Texto 8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0" name="Texto 88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1" name="Texto 8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2" name="Texto 88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3" name="Texto 8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4" name="Texto 8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5" name="Texto 8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6" name="Texto 88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7" name="Texto 8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8" name="Texto 8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99" name="Texto 8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0" name="Texto 88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1" name="Texto 8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2" name="Texto 88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3" name="Texto 8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4" name="Texto 8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5" name="Texto 8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6" name="Texto 88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7" name="Texto 8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8" name="Texto 8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09" name="Texto 8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0" name="Texto 88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1" name="Texto 8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2" name="Texto 88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3" name="Texto 8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4" name="Texto 8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5" name="Texto 8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6" name="Texto 88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7" name="Texto 8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8" name="Texto 8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19" name="Texto 8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0" name="Texto 88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1" name="Texto 8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2" name="Texto 88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3" name="Texto 8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4" name="Texto 8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5" name="Texto 8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6" name="Texto 88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7" name="Texto 8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8" name="Texto 88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29" name="Texto 8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0" name="Texto 88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1" name="Texto 8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2" name="Texto 88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3" name="Texto 8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4" name="Texto 8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5" name="Texto 8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6" name="Texto 88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7" name="Texto 8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8" name="Texto 88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39" name="Texto 8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0" name="Texto 88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1" name="Texto 8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2" name="Texto 88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3" name="Texto 8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4" name="Texto 8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5" name="Texto 8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6" name="Texto 88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7" name="Texto 8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8" name="Texto 88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49" name="Texto 8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0" name="Texto 88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1" name="Texto 8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2" name="Texto 88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3" name="Texto 8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4" name="Texto 8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5" name="Texto 8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6" name="Texto 88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7" name="Texto 8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8" name="Texto 88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59" name="Texto 8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0" name="Texto 88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1" name="Texto 8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2" name="Texto 88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3" name="Texto 8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4" name="Texto 8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5" name="Texto 8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6" name="Texto 88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7" name="Texto 8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8" name="Texto 88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69" name="Texto 8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0" name="Texto 88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1" name="Texto 8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2" name="Texto 88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3" name="Texto 8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4" name="Texto 8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5" name="Texto 8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6" name="Texto 88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7" name="Texto 89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8" name="Texto 88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79" name="Texto 89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0" name="Texto 88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1" name="Texto 89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2" name="Texto 88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3" name="Texto 89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4" name="Texto 88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5" name="Texto 89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6" name="Texto 88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7" name="Texto 89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8" name="Texto 88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89" name="Texto 89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0" name="Texto 88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1" name="Texto 89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2" name="Texto 8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3" name="Texto 8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4" name="Texto 88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5" name="Texto 89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6" name="Texto 88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7" name="Texto 8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8" name="Texto 88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199" name="Texto 89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0" name="Texto 88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1" name="Texto 89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2" name="Texto 88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3" name="Texto 89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4" name="Texto 88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5" name="Texto 89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6" name="Texto 88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7" name="Texto 89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8" name="Texto 88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09" name="Texto 89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0" name="Texto 8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1" name="Texto 8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2" name="Texto 88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3" name="Texto 89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4" name="Texto 88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5" name="Texto 89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6" name="Texto 88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7" name="Texto 89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8" name="Texto 88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19" name="Texto 89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0" name="Texto 88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1" name="Texto 89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2" name="Texto 88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3" name="Texto 89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4" name="Texto 88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5" name="Texto 89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6" name="Texto 8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7" name="Texto 8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8" name="Texto 88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29" name="Texto 89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0" name="Texto 88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1" name="Texto 8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2" name="Texto 88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3" name="Texto 89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4" name="Texto 88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5" name="Texto 89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6" name="Texto 88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7" name="Texto 8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8" name="Texto 88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39" name="Texto 8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0" name="Texto 88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1" name="Texto 8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2" name="Texto 88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3" name="Texto 8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4" name="Texto 88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5" name="Texto 8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6" name="Texto 88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7" name="Texto 8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8" name="Texto 88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49" name="Texto 8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0" name="Texto 88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1" name="Texto 8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2" name="Texto 88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3" name="Texto 8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4" name="Texto 88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5" name="Texto 8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6" name="Texto 88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7" name="Texto 8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8" name="Texto 88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59" name="Texto 8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0" name="Texto 88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1" name="Texto 8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2" name="Texto 88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3" name="Texto 8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4" name="Texto 88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5" name="Texto 8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6" name="Texto 88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7" name="Texto 8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8" name="Texto 88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69" name="Texto 8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0" name="Texto 88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1" name="Texto 8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2" name="Texto 88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3" name="Texto 8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4" name="Texto 88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5" name="Texto 8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6" name="Texto 88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7" name="Texto 8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8" name="Texto 88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79" name="Texto 8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0" name="Texto 88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1" name="Texto 8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2" name="Texto 88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3" name="Texto 8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4" name="Texto 88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5" name="Texto 8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6" name="Texto 88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7" name="Texto 8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8" name="Texto 88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89" name="Texto 8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0" name="Texto 88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1" name="Texto 8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2" name="Texto 88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3" name="Texto 8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4" name="Texto 88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5" name="Texto 8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6" name="Texto 88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7" name="Texto 8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8" name="Texto 88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299" name="Texto 8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0" name="Texto 88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1" name="Texto 8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2" name="Texto 88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3" name="Texto 8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4" name="Texto 88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5" name="Texto 8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6" name="Texto 88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7" name="Texto 8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8" name="Texto 88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09" name="Texto 8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0" name="Texto 88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1" name="Texto 8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2" name="Texto 88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3" name="Texto 8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4" name="Texto 88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5" name="Texto 8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6" name="Texto 88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7" name="Texto 8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8" name="Texto 88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19" name="Texto 8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0" name="Texto 88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1" name="Texto 8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2" name="Texto 88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3" name="Texto 8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4" name="Texto 88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5" name="Texto 8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6" name="Texto 88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7" name="Texto 8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8" name="Texto 88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29" name="Texto 8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0" name="Texto 88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1" name="Texto 8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2" name="Texto 88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3" name="Texto 8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4" name="Texto 88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5" name="Texto 8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6" name="Texto 88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7" name="Texto 8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8" name="Texto 88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39" name="Texto 8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0" name="Texto 88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1" name="Texto 8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2" name="Texto 88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3" name="Texto 8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4" name="Texto 88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5" name="Texto 8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6" name="Texto 88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7" name="Texto 8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8" name="Texto 88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49" name="Texto 8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0" name="Texto 88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1" name="Texto 8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2" name="Texto 88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3" name="Texto 8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4" name="Texto 88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5" name="Texto 8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2</xdr:col>
      <xdr:colOff>2733675</xdr:colOff>
      <xdr:row>22</xdr:row>
      <xdr:rowOff>0</xdr:rowOff>
    </xdr:from>
    <xdr:to>
      <xdr:col>3</xdr:col>
      <xdr:colOff>495300</xdr:colOff>
      <xdr:row>22</xdr:row>
      <xdr:rowOff>0</xdr:rowOff>
    </xdr:to>
    <xdr:sp macro="" textlink="">
      <xdr:nvSpPr>
        <xdr:cNvPr id="356" name="Texto 89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3838575" y="11681460"/>
          <a:ext cx="535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 editAs="oneCell">
    <xdr:from>
      <xdr:col>11</xdr:col>
      <xdr:colOff>641686</xdr:colOff>
      <xdr:row>1</xdr:row>
      <xdr:rowOff>18790</xdr:rowOff>
    </xdr:from>
    <xdr:to>
      <xdr:col>11</xdr:col>
      <xdr:colOff>1554080</xdr:colOff>
      <xdr:row>5</xdr:row>
      <xdr:rowOff>57463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A76D1BAA-9BFC-2ADA-389C-1CEC3794D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8239" y="179211"/>
          <a:ext cx="912394" cy="8006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ena\Desktop\PROYECTO%20MANTENIMIEALCALDIA\PRESUPUESTO%20BLIBLIOTECA%202024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ena\Downloads\PRESUPUESTO%20%20CDI%20-%20DEFINITIVO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re\Entrega%20SERTET%20Localidades%20UREy%20dise&#241;os\Dise&#241;o%20alcantarillado%20bocas%20de%20Ur&#233;\5.%20apu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re\Entrega%20SERTET%20Localidades%20UREy%20dise&#241;os\Dise&#241;o%20alcantarillado%20bocas%20de%20Ur&#233;\cantidades%20manijas%20bocas%20de%20ure.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re\Entrega%20SERTET%20Localidades%20UREy%20dise&#241;os\Dise&#241;o%20alcantarillado%20bocas%20de%20Ur&#233;\cantidades%20def%20alcantarillado%20sanitario%20Bocas%20de%20Ure%20alternativa.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D%20YAL&#205;\DISE&#209;O\DISE&#209;O%20PTAR%20SU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v\Desktop\2.%20&#128176;%20PRESUPUESTOS%20PROYECTOS%20LA%20APARTADA\PRESUPUESTO%20%20CDI(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v\Desktop\2.%20&#128176;%20PRESUPUESTOS%20PROYECTOS%20LA%20APARTADA\PRESUPUESTO%20%20MANTENIMINETO%20ALCALDIA%20202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v\Downloads\PPTO%20PAV%20URB%20Y%20RURAL%20LA%20-%20V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\Documents\PC%20JCCA%2028-10-2020\Documentos\OBRAS\MONTELIBANO\CDI%20SAN%20RAFAEL-%20%20PARA%20CARGAR%20EN%20SUIF\1.%20REQUISITOS%20GENERALES\1.4%20PRESUPUESTO\PRESUPUESTO%20CDI%20%20JUNIO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BRA"/>
      <sheetName val="MEMORIAS "/>
      <sheetName val="APUS"/>
      <sheetName val="APU BAS"/>
      <sheetName val="EQUIPOS"/>
      <sheetName val="CUADRILLAS"/>
      <sheetName val="FP"/>
      <sheetName val="FM"/>
      <sheetName val="INSUMOS"/>
      <sheetName val="CADENA VLR"/>
      <sheetName val="MEM CANT"/>
      <sheetName val="AIU"/>
      <sheetName val="MEMORIAS"/>
    </sheetNames>
    <sheetDataSet>
      <sheetData sheetId="0"/>
      <sheetData sheetId="1"/>
      <sheetData sheetId="2"/>
      <sheetData sheetId="3"/>
      <sheetData sheetId="4"/>
      <sheetData sheetId="5">
        <row r="37">
          <cell r="E37">
            <v>525154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 UBS"/>
      <sheetName val="PRESUPUESTO GENERAL 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. TIERRA S"/>
      <sheetName val="MEMORIAS. SAGRADO CORAZON "/>
      <sheetName val="MEMORIAS GOTITAS DE AMOR "/>
      <sheetName val="MEMORIAS EXTERNADO"/>
      <sheetName val="MO"/>
      <sheetName val="CANT"/>
      <sheetName val="EQUIPOS"/>
      <sheetName val="6.2"/>
      <sheetName val="6.3"/>
      <sheetName val="8.2"/>
      <sheetName val="8.3"/>
    </sheetNames>
    <sheetDataSet>
      <sheetData sheetId="0" refreshError="1"/>
      <sheetData sheetId="1" refreshError="1"/>
      <sheetData sheetId="2">
        <row r="1">
          <cell r="B1" t="str">
            <v>OBRAS DE MANTENIMIENTO Y ADECUCACION EN LOS CDI DEL MUNICIPIO DE LA APARTADA CORDOBA</v>
          </cell>
        </row>
      </sheetData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Hoja1"/>
    </sheetNames>
    <sheetDataSet>
      <sheetData sheetId="0">
        <row r="40">
          <cell r="M40">
            <v>2846.0652941176472</v>
          </cell>
        </row>
        <row r="621">
          <cell r="M621">
            <v>84864.01</v>
          </cell>
        </row>
        <row r="679">
          <cell r="M679">
            <v>49720.329090909094</v>
          </cell>
        </row>
        <row r="736">
          <cell r="M736">
            <v>324480.09179999999</v>
          </cell>
        </row>
        <row r="794">
          <cell r="M794">
            <v>224640.00000000003</v>
          </cell>
        </row>
        <row r="853">
          <cell r="M853">
            <v>224639.99714285714</v>
          </cell>
        </row>
        <row r="910">
          <cell r="M910">
            <v>18215.996666666666</v>
          </cell>
        </row>
        <row r="970">
          <cell r="M970">
            <v>249599.99789473685</v>
          </cell>
        </row>
        <row r="1029">
          <cell r="M1029">
            <v>224640.00222222222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S"/>
      <sheetName val="CAMARAS"/>
      <sheetName val="RESUMEN"/>
    </sheetNames>
    <sheetDataSet>
      <sheetData sheetId="0"/>
      <sheetData sheetId="1"/>
      <sheetData sheetId="2">
        <row r="7">
          <cell r="C7">
            <v>59.28</v>
          </cell>
        </row>
        <row r="16">
          <cell r="C16">
            <v>84.47399999999999</v>
          </cell>
        </row>
        <row r="20">
          <cell r="C20">
            <v>12.17200651121172</v>
          </cell>
        </row>
        <row r="22">
          <cell r="C22">
            <v>8.4473999999999947</v>
          </cell>
        </row>
        <row r="23">
          <cell r="C23">
            <v>5.7977464419927118</v>
          </cell>
        </row>
        <row r="28">
          <cell r="C28">
            <v>33.11940101056652</v>
          </cell>
        </row>
        <row r="32">
          <cell r="C32">
            <v>9.7690652914838179</v>
          </cell>
        </row>
        <row r="34">
          <cell r="C34">
            <v>11.263199999999999</v>
          </cell>
        </row>
        <row r="38">
          <cell r="C38">
            <v>1.36659280431156</v>
          </cell>
        </row>
        <row r="40">
          <cell r="C40">
            <v>47.361755999999993</v>
          </cell>
        </row>
        <row r="45">
          <cell r="C45">
            <v>45.559643999999984</v>
          </cell>
        </row>
        <row r="49">
          <cell r="C49">
            <v>17.969752953204431</v>
          </cell>
        </row>
        <row r="50">
          <cell r="C50">
            <v>0</v>
          </cell>
        </row>
        <row r="52">
          <cell r="C52">
            <v>1</v>
          </cell>
        </row>
        <row r="53">
          <cell r="C53">
            <v>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S"/>
      <sheetName val="CAMARAS"/>
      <sheetName val="RESUMEN"/>
    </sheetNames>
    <sheetDataSet>
      <sheetData sheetId="0"/>
      <sheetData sheetId="1"/>
      <sheetData sheetId="2">
        <row r="7">
          <cell r="C7">
            <v>2011.46</v>
          </cell>
        </row>
        <row r="16">
          <cell r="C16">
            <v>2931.2258499999994</v>
          </cell>
        </row>
        <row r="20">
          <cell r="C20">
            <v>493.48197183479567</v>
          </cell>
        </row>
        <row r="22">
          <cell r="C22">
            <v>669.01822000000016</v>
          </cell>
        </row>
        <row r="23">
          <cell r="C23">
            <v>220.41853918532479</v>
          </cell>
        </row>
        <row r="25">
          <cell r="C25">
            <v>364.56105600000001</v>
          </cell>
        </row>
        <row r="26">
          <cell r="C26">
            <v>173.47717616688178</v>
          </cell>
        </row>
        <row r="28">
          <cell r="C28">
            <v>1273.0027204101027</v>
          </cell>
        </row>
        <row r="32">
          <cell r="C32">
            <v>533.71371207285313</v>
          </cell>
        </row>
        <row r="34">
          <cell r="C34">
            <v>411.13680000000005</v>
          </cell>
        </row>
        <row r="38">
          <cell r="C38">
            <v>48.269000326080423</v>
          </cell>
        </row>
        <row r="40">
          <cell r="C40">
            <v>2217.4737259999997</v>
          </cell>
        </row>
        <row r="45">
          <cell r="C45">
            <v>1747.3313999999998</v>
          </cell>
        </row>
        <row r="49">
          <cell r="C49">
            <v>887.37768718700295</v>
          </cell>
        </row>
        <row r="50">
          <cell r="C50">
            <v>3255.6968199999997</v>
          </cell>
        </row>
        <row r="52">
          <cell r="C52">
            <v>40</v>
          </cell>
        </row>
        <row r="53">
          <cell r="C53">
            <v>12</v>
          </cell>
        </row>
        <row r="54">
          <cell r="C54">
            <v>15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COSIDAD"/>
      <sheetName val="CANAL ENTRADA, CRIBA, DESAREN"/>
      <sheetName val="PRIMARIO"/>
      <sheetName val="APUYALI"/>
      <sheetName val="APU "/>
      <sheetName val="APU  HOJA"/>
      <sheetName val="PRESUPUESTO PTAR"/>
      <sheetName val="Resumen EIA"/>
      <sheetName val="APU CE"/>
      <sheetName val="APU DESARE"/>
      <sheetName val="APU UASB"/>
      <sheetName val="APU FAFA"/>
      <sheetName val="APU LS"/>
      <sheetName val="APU COMPLEMENTARIAS"/>
      <sheetName val="APU CAS OPER"/>
      <sheetName val="APU ALCLLDO"/>
      <sheetName val="APU CIMENTAC"/>
      <sheetName val="ALC PTAR Nº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6">
          <cell r="B56" t="str">
            <v>Cinta PVC de e=15 cm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 UBS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 GOTITAS DE AMOR "/>
      <sheetName val="MEMORIAS. TIERRA S"/>
      <sheetName val="MEMORIAS EXTERNADO"/>
      <sheetName val="MEMORIAS. SAGRADO CORAZON "/>
      <sheetName val="MO"/>
      <sheetName val="CANT"/>
      <sheetName val="EQUIPOS"/>
      <sheetName val="6.2"/>
      <sheetName val="6.3"/>
      <sheetName val="8.2"/>
      <sheetName val="8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B6" t="str">
            <v>Lavaplatos para Empotrar Doble Tanque 84x56 cm Acero Inoxidable</v>
          </cell>
          <cell r="C6">
            <v>5253.08</v>
          </cell>
          <cell r="D6" t="str">
            <v>un</v>
          </cell>
        </row>
        <row r="7">
          <cell r="B7" t="str">
            <v>Grifería de lavaplatos</v>
          </cell>
          <cell r="C7">
            <v>79900</v>
          </cell>
          <cell r="D7" t="str">
            <v>und</v>
          </cell>
        </row>
        <row r="8">
          <cell r="B8" t="str">
            <v>Sifón PVC/flexible</v>
          </cell>
          <cell r="C8">
            <v>99900</v>
          </cell>
          <cell r="D8" t="str">
            <v>und</v>
          </cell>
        </row>
        <row r="9">
          <cell r="B9" t="str">
            <v xml:space="preserve">Silicona sellante </v>
          </cell>
          <cell r="C9">
            <v>33.9</v>
          </cell>
          <cell r="D9" t="str">
            <v>und</v>
          </cell>
        </row>
        <row r="10">
          <cell r="B10" t="str">
            <v xml:space="preserve">Canastilla desagüe </v>
          </cell>
          <cell r="C10">
            <v>3500</v>
          </cell>
          <cell r="D10" t="str">
            <v>un</v>
          </cell>
        </row>
        <row r="11">
          <cell r="B11" t="str">
            <v xml:space="preserve">mangueras flaxibles </v>
          </cell>
          <cell r="C11">
            <v>9400</v>
          </cell>
          <cell r="D11" t="str">
            <v>kg</v>
          </cell>
        </row>
        <row r="12">
          <cell r="B12" t="str">
            <v>Adaptadores PVC metalicos</v>
          </cell>
          <cell r="C12">
            <v>32250</v>
          </cell>
          <cell r="D12" t="str">
            <v>Gln</v>
          </cell>
        </row>
        <row r="13">
          <cell r="B13" t="str">
            <v>Tuvo PVC sanitario</v>
          </cell>
          <cell r="C13">
            <v>4500</v>
          </cell>
          <cell r="D13" t="str">
            <v>un</v>
          </cell>
        </row>
        <row r="14">
          <cell r="B14" t="str">
            <v>Silicona sanitaria</v>
          </cell>
          <cell r="C14">
            <v>5180</v>
          </cell>
          <cell r="D14" t="str">
            <v>un</v>
          </cell>
        </row>
        <row r="15">
          <cell r="B15" t="str">
            <v>Cintas Teflón</v>
          </cell>
          <cell r="C15">
            <v>5900</v>
          </cell>
          <cell r="D15" t="str">
            <v>kg</v>
          </cell>
        </row>
        <row r="16">
          <cell r="B16" t="str">
            <v>ANGULO 1 1/2"x1 1/2"x1/8"</v>
          </cell>
          <cell r="C16">
            <v>14420</v>
          </cell>
          <cell r="D16" t="str">
            <v>M</v>
          </cell>
        </row>
        <row r="17">
          <cell r="B17" t="str">
            <v>ANGULO DE 1-1/2´´ x 1/4´´ (cerramiento en malla)</v>
          </cell>
          <cell r="C17">
            <v>12384.54</v>
          </cell>
          <cell r="D17" t="str">
            <v>m</v>
          </cell>
        </row>
        <row r="18">
          <cell r="B18" t="str">
            <v>Angulo galvanizado de 0.2 X 0.25 Cal. 26 x 2.44 m</v>
          </cell>
          <cell r="C18">
            <v>1300</v>
          </cell>
          <cell r="D18" t="str">
            <v>und</v>
          </cell>
        </row>
        <row r="19">
          <cell r="B19" t="str">
            <v>Arbol frutal de la región. H= 1,50 - 2,00 m.</v>
          </cell>
          <cell r="C19">
            <v>50000</v>
          </cell>
          <cell r="D19" t="str">
            <v>un</v>
          </cell>
        </row>
        <row r="20">
          <cell r="B20" t="str">
            <v xml:space="preserve">Arena lavada </v>
          </cell>
          <cell r="C20">
            <v>60000</v>
          </cell>
          <cell r="D20" t="str">
            <v>m3</v>
          </cell>
        </row>
        <row r="21">
          <cell r="B21" t="str">
            <v>Arena Silice (20kgxm2)</v>
          </cell>
          <cell r="C21">
            <v>1020</v>
          </cell>
          <cell r="D21" t="str">
            <v>kg</v>
          </cell>
        </row>
        <row r="22">
          <cell r="B22" t="str">
            <v>Bancas con espaldar tipo tipo IDU según diseño</v>
          </cell>
          <cell r="C22">
            <v>838000</v>
          </cell>
          <cell r="D22" t="str">
            <v>Und</v>
          </cell>
        </row>
        <row r="23">
          <cell r="B23" t="str">
            <v>Barraje monofásico para 500 A</v>
          </cell>
          <cell r="C23">
            <v>742000</v>
          </cell>
          <cell r="D23" t="str">
            <v>und</v>
          </cell>
        </row>
        <row r="24">
          <cell r="B24" t="str">
            <v>Barraje monofásico para 500 A</v>
          </cell>
          <cell r="C24">
            <v>742000</v>
          </cell>
          <cell r="D24" t="str">
            <v>und</v>
          </cell>
        </row>
        <row r="25">
          <cell r="B25" t="str">
            <v>BLOQUE N° 5. e= 0,10 m.</v>
          </cell>
          <cell r="C25">
            <v>1540</v>
          </cell>
          <cell r="D25" t="str">
            <v>un</v>
          </cell>
        </row>
        <row r="26">
          <cell r="B26" t="str">
            <v>BLOQUE N° 5. e= 0,15 m.</v>
          </cell>
          <cell r="C26">
            <v>1959.9999999999998</v>
          </cell>
          <cell r="D26" t="str">
            <v>un</v>
          </cell>
        </row>
        <row r="27">
          <cell r="B27" t="str">
            <v>Bordillo prefabricado en concreto de sección 15CM x 45CM X 80CM</v>
          </cell>
          <cell r="C27">
            <v>56738.000000000007</v>
          </cell>
          <cell r="D27" t="str">
            <v>UN</v>
          </cell>
        </row>
        <row r="28">
          <cell r="B28" t="str">
            <v>Braker totalizador 3x350 A LG</v>
          </cell>
          <cell r="C28">
            <v>754000</v>
          </cell>
          <cell r="D28" t="str">
            <v>und</v>
          </cell>
        </row>
        <row r="29">
          <cell r="B29" t="str">
            <v>Braker totalizador 3x350 A LG</v>
          </cell>
          <cell r="C29">
            <v>754000</v>
          </cell>
          <cell r="D29" t="str">
            <v>und</v>
          </cell>
        </row>
        <row r="30">
          <cell r="B30" t="str">
            <v>Breaker 3x70 A LG</v>
          </cell>
          <cell r="C30">
            <v>90498</v>
          </cell>
          <cell r="D30" t="str">
            <v>und</v>
          </cell>
        </row>
        <row r="31">
          <cell r="B31" t="str">
            <v>Breaker 3x70 A LG</v>
          </cell>
          <cell r="C31">
            <v>90498</v>
          </cell>
          <cell r="D31" t="str">
            <v>und</v>
          </cell>
        </row>
        <row r="32">
          <cell r="B32" t="str">
            <v>Breaker10/15/20 Amp.</v>
          </cell>
          <cell r="C32">
            <v>20850</v>
          </cell>
          <cell r="D32" t="str">
            <v>un</v>
          </cell>
        </row>
        <row r="33">
          <cell r="B33" t="str">
            <v>Caballete - limatesa teja Arquitectónica.</v>
          </cell>
          <cell r="C33">
            <v>53060</v>
          </cell>
          <cell r="D33" t="str">
            <v>un</v>
          </cell>
        </row>
        <row r="34">
          <cell r="B34" t="str">
            <v>Cable de Acero Galvanizado de 1/4 Pulgada</v>
          </cell>
          <cell r="C34">
            <v>6860</v>
          </cell>
          <cell r="D34" t="str">
            <v>m</v>
          </cell>
        </row>
        <row r="35">
          <cell r="B35" t="str">
            <v>Cable de Cobre Aislado THHN No. 12</v>
          </cell>
          <cell r="C35">
            <v>2300</v>
          </cell>
          <cell r="D35" t="str">
            <v>m</v>
          </cell>
        </row>
        <row r="36">
          <cell r="B36" t="str">
            <v>Cable de Cobre Aislado THHN No. 14</v>
          </cell>
          <cell r="C36">
            <v>1800</v>
          </cell>
          <cell r="D36" t="str">
            <v>m</v>
          </cell>
        </row>
        <row r="37">
          <cell r="B37" t="str">
            <v>Cable Encauchetado 3x12 XMt Cst-P Awg Cu 600v 75c</v>
          </cell>
          <cell r="C37">
            <v>16814.600000000002</v>
          </cell>
          <cell r="D37" t="str">
            <v>m</v>
          </cell>
        </row>
        <row r="38">
          <cell r="B38" t="str">
            <v>Cable Encauchetado 3x14 XMt Cst-P Awg Cu 600v 75c</v>
          </cell>
          <cell r="C38">
            <v>11250</v>
          </cell>
          <cell r="D38" t="str">
            <v>m</v>
          </cell>
        </row>
        <row r="39">
          <cell r="B39" t="str">
            <v>Caucho Molido (10kgxm2)</v>
          </cell>
          <cell r="C39">
            <v>2640</v>
          </cell>
          <cell r="D39" t="str">
            <v>kg</v>
          </cell>
        </row>
        <row r="40">
          <cell r="B40" t="str">
            <v>Cemento Gris</v>
          </cell>
          <cell r="C40">
            <v>690</v>
          </cell>
          <cell r="D40" t="str">
            <v>kg</v>
          </cell>
        </row>
        <row r="41">
          <cell r="B41" t="str">
            <v>Cerradura puerta oficina doble seguridad.</v>
          </cell>
          <cell r="C41">
            <v>42000</v>
          </cell>
          <cell r="D41" t="str">
            <v>un</v>
          </cell>
        </row>
        <row r="42">
          <cell r="B42" t="str">
            <v>CESPED PARA EMPRADIZACION X BULTO</v>
          </cell>
          <cell r="C42">
            <v>22500</v>
          </cell>
          <cell r="D42" t="str">
            <v>UN</v>
          </cell>
        </row>
        <row r="43">
          <cell r="B43" t="str">
            <v>Chazo puntilla</v>
          </cell>
          <cell r="C43">
            <v>240</v>
          </cell>
          <cell r="D43" t="str">
            <v>und</v>
          </cell>
        </row>
        <row r="44">
          <cell r="B44" t="str">
            <v>Chazo Tipo Cuña 3/8x16x3</v>
          </cell>
          <cell r="C44">
            <v>1772</v>
          </cell>
          <cell r="D44" t="str">
            <v>un</v>
          </cell>
        </row>
        <row r="45">
          <cell r="B45" t="str">
            <v>Cinta aislante 33+</v>
          </cell>
          <cell r="C45">
            <v>21000</v>
          </cell>
          <cell r="D45" t="str">
            <v>und</v>
          </cell>
        </row>
        <row r="46">
          <cell r="B46" t="str">
            <v>Cinta Malla * 45mts F/Vidrio</v>
          </cell>
          <cell r="C46">
            <v>9700</v>
          </cell>
          <cell r="D46" t="str">
            <v>und</v>
          </cell>
        </row>
        <row r="47">
          <cell r="B47" t="str">
            <v>CINTA TEFLÓN HD 1/2”X10 M</v>
          </cell>
          <cell r="C47">
            <v>1000</v>
          </cell>
          <cell r="D47" t="str">
            <v>un</v>
          </cell>
        </row>
        <row r="48">
          <cell r="B48" t="str">
            <v>Cinta vinilo</v>
          </cell>
          <cell r="C48">
            <v>6750</v>
          </cell>
          <cell r="D48" t="str">
            <v>Rollo</v>
          </cell>
        </row>
        <row r="49">
          <cell r="B49" t="str">
            <v>Cintas de Union</v>
          </cell>
          <cell r="C49">
            <v>5700</v>
          </cell>
          <cell r="D49" t="str">
            <v>m</v>
          </cell>
        </row>
        <row r="50">
          <cell r="B50" t="str">
            <v>CODO 90° BAJANTE 4"</v>
          </cell>
          <cell r="C50">
            <v>13667</v>
          </cell>
          <cell r="D50" t="str">
            <v>un</v>
          </cell>
        </row>
        <row r="51">
          <cell r="B51" t="str">
            <v>CONCRETO 2,500 P.S.I.</v>
          </cell>
          <cell r="D51" t="str">
            <v>m3</v>
          </cell>
        </row>
        <row r="52">
          <cell r="B52" t="str">
            <v>CONCRETO 3.000 PSI</v>
          </cell>
          <cell r="D52" t="str">
            <v>m3</v>
          </cell>
        </row>
        <row r="53">
          <cell r="B53" t="str">
            <v>Conductor de cobre desnudo, de 35 mm².</v>
          </cell>
          <cell r="C53">
            <v>13190.8</v>
          </cell>
          <cell r="D53" t="str">
            <v>m</v>
          </cell>
        </row>
        <row r="54">
          <cell r="B54" t="str">
            <v>Conexión general entre barraje y breakers con platinas de cobre</v>
          </cell>
          <cell r="C54">
            <v>292320</v>
          </cell>
          <cell r="D54" t="str">
            <v>und</v>
          </cell>
        </row>
        <row r="55">
          <cell r="B55" t="str">
            <v>Conexión general entre barraje y breakers con platinas de cobre</v>
          </cell>
          <cell r="C55">
            <v>243600</v>
          </cell>
          <cell r="D55" t="str">
            <v>und</v>
          </cell>
        </row>
        <row r="56">
          <cell r="B56" t="str">
            <v xml:space="preserve">Conjunto Griferia Sanitaria </v>
          </cell>
          <cell r="C56">
            <v>42000</v>
          </cell>
          <cell r="D56" t="str">
            <v>un</v>
          </cell>
        </row>
        <row r="57">
          <cell r="B57" t="str">
            <v>Cortacircuito monopolar 15 KV. 100 A.</v>
          </cell>
          <cell r="C57">
            <v>178454.52182379609</v>
          </cell>
          <cell r="D57" t="str">
            <v>UN</v>
          </cell>
        </row>
        <row r="58">
          <cell r="B58" t="str">
            <v>CRUCETA ANGULAR METALICA 1400 MM, (AUTO-SOPORTADA)</v>
          </cell>
          <cell r="C58">
            <v>173722.77313907421</v>
          </cell>
          <cell r="D58" t="str">
            <v>UN</v>
          </cell>
        </row>
        <row r="59">
          <cell r="B59" t="str">
            <v>Disolvente para pintura (TINNER)</v>
          </cell>
          <cell r="C59">
            <v>15750</v>
          </cell>
          <cell r="D59" t="str">
            <v>Galón</v>
          </cell>
        </row>
        <row r="60">
          <cell r="B60" t="str">
            <v>Electrobomba de 1 HP</v>
          </cell>
          <cell r="C60">
            <v>405000</v>
          </cell>
          <cell r="D60" t="str">
            <v>und</v>
          </cell>
        </row>
        <row r="61">
          <cell r="B61" t="str">
            <v>Emulsion Asfaltico 18k</v>
          </cell>
          <cell r="C61">
            <v>75600</v>
          </cell>
          <cell r="D61" t="str">
            <v>und</v>
          </cell>
        </row>
        <row r="62">
          <cell r="B62" t="str">
            <v>ESMALTE PINTULUX</v>
          </cell>
          <cell r="C62">
            <v>94580</v>
          </cell>
          <cell r="D62" t="str">
            <v>GALON</v>
          </cell>
        </row>
        <row r="63">
          <cell r="B63" t="str">
            <v>Espuma elastomérica a base de caucho sintético</v>
          </cell>
          <cell r="C63">
            <v>14100</v>
          </cell>
          <cell r="D63" t="str">
            <v>und</v>
          </cell>
        </row>
        <row r="64">
          <cell r="B64" t="str">
            <v>Ganchos de Hierro 1/4"</v>
          </cell>
          <cell r="C64">
            <v>4440</v>
          </cell>
          <cell r="D64" t="str">
            <v>Und</v>
          </cell>
        </row>
        <row r="65">
          <cell r="B65" t="str">
            <v>Gas refrigerante R22 x 800 Grs</v>
          </cell>
          <cell r="C65">
            <v>75000</v>
          </cell>
          <cell r="D65" t="str">
            <v>Und</v>
          </cell>
        </row>
        <row r="66">
          <cell r="B66" t="str">
            <v>Gas refrigerante R410A</v>
          </cell>
          <cell r="C66">
            <v>75000</v>
          </cell>
          <cell r="D66" t="str">
            <v>Und</v>
          </cell>
        </row>
        <row r="67">
          <cell r="B67" t="str">
            <v>Geotextil no Tejido 1800</v>
          </cell>
          <cell r="C67">
            <v>6240</v>
          </cell>
          <cell r="D67" t="str">
            <v>m2</v>
          </cell>
        </row>
        <row r="68">
          <cell r="B68" t="str">
            <v>Grama Sintetica</v>
          </cell>
          <cell r="C68">
            <v>90720</v>
          </cell>
          <cell r="D68" t="str">
            <v>m2</v>
          </cell>
        </row>
        <row r="69">
          <cell r="B69" t="str">
            <v>Grava de 1/2"</v>
          </cell>
          <cell r="C69">
            <v>99600</v>
          </cell>
          <cell r="D69" t="str">
            <v>M3</v>
          </cell>
        </row>
        <row r="70">
          <cell r="B70" t="str">
            <v>GRAVA DEL RIO SAN JORGE</v>
          </cell>
          <cell r="C70">
            <v>90000</v>
          </cell>
          <cell r="D70" t="str">
            <v>m3</v>
          </cell>
        </row>
        <row r="71">
          <cell r="B71" t="str">
            <v>Grifería Lavamanos</v>
          </cell>
          <cell r="C71">
            <v>28000</v>
          </cell>
          <cell r="D71" t="str">
            <v>un</v>
          </cell>
        </row>
        <row r="72">
          <cell r="B72" t="str">
            <v>Grifería Push Orinal Metal Cromo</v>
          </cell>
          <cell r="C72">
            <v>84000</v>
          </cell>
          <cell r="D72" t="str">
            <v>un</v>
          </cell>
        </row>
        <row r="73">
          <cell r="B73" t="str">
            <v>Imprimante de dos componentes, a base de resina epoxi sin disolventes, tipo Sikafloor 154 W Gris 30 o similar.</v>
          </cell>
          <cell r="C73">
            <v>46000</v>
          </cell>
          <cell r="D73" t="str">
            <v>kg</v>
          </cell>
        </row>
        <row r="74">
          <cell r="B74" t="str">
            <v>INTERRUPTOR SENCILLO BLANCO</v>
          </cell>
          <cell r="C74">
            <v>20900</v>
          </cell>
          <cell r="D74" t="str">
            <v>un</v>
          </cell>
        </row>
        <row r="75">
          <cell r="B75" t="str">
            <v>Intervinil pro de 200 x 5 gal</v>
          </cell>
          <cell r="C75">
            <v>168000</v>
          </cell>
          <cell r="D75" t="str">
            <v>GALON</v>
          </cell>
        </row>
        <row r="76">
          <cell r="B76" t="str">
            <v>JUEGO INFANTIL EN MADERA Y FIBRA. REF. NSM-02</v>
          </cell>
          <cell r="C76">
            <v>4560000</v>
          </cell>
          <cell r="D76" t="str">
            <v>Und</v>
          </cell>
        </row>
        <row r="77">
          <cell r="B77" t="str">
            <v>Lamina de yeso RH 1/2pg 1.22 x 2.44m 12.7mm Knauf</v>
          </cell>
          <cell r="C77">
            <v>64950</v>
          </cell>
          <cell r="D77" t="str">
            <v>und</v>
          </cell>
        </row>
        <row r="78">
          <cell r="B78" t="str">
            <v>Lampara Hermética Led 2x18</v>
          </cell>
          <cell r="C78">
            <v>74200</v>
          </cell>
          <cell r="D78" t="str">
            <v>un</v>
          </cell>
        </row>
        <row r="79">
          <cell r="B79" t="str">
            <v>LAMPARA LED DE 400 W</v>
          </cell>
          <cell r="C79">
            <v>600000</v>
          </cell>
          <cell r="D79" t="str">
            <v>UN</v>
          </cell>
        </row>
        <row r="80">
          <cell r="B80" t="str">
            <v>Lámpara LED para alumbrado público 140w., 8000 lumens.</v>
          </cell>
          <cell r="C80">
            <v>517200</v>
          </cell>
          <cell r="D80" t="str">
            <v>und</v>
          </cell>
        </row>
        <row r="81">
          <cell r="B81" t="str">
            <v>Lámpara LED para alumbrado público 140w., 8000 lumens.</v>
          </cell>
          <cell r="C81">
            <v>958800</v>
          </cell>
          <cell r="D81" t="str">
            <v>UN</v>
          </cell>
        </row>
        <row r="82">
          <cell r="B82" t="str">
            <v>Lijas</v>
          </cell>
          <cell r="C82">
            <v>2940</v>
          </cell>
          <cell r="D82" t="str">
            <v>UN</v>
          </cell>
        </row>
        <row r="83">
          <cell r="B83" t="str">
            <v>LUMINARIA 400 W. LED, MH O ROY ALPHA O SIMILAR</v>
          </cell>
          <cell r="C83">
            <v>358000</v>
          </cell>
          <cell r="D83" t="str">
            <v>un</v>
          </cell>
        </row>
        <row r="84">
          <cell r="B84" t="str">
            <v>MALLA ARCOS DE FUTBOL EN FIBRA (JUEGO)</v>
          </cell>
          <cell r="C84">
            <v>396000</v>
          </cell>
          <cell r="D84" t="str">
            <v>Und</v>
          </cell>
        </row>
        <row r="85">
          <cell r="B85" t="str">
            <v>Malla Electrosoldada 15x15cm</v>
          </cell>
          <cell r="C85">
            <v>8800</v>
          </cell>
          <cell r="D85" t="str">
            <v>M2</v>
          </cell>
        </row>
        <row r="86">
          <cell r="B86" t="str">
            <v>MALLA ESLABONADA CAL 10</v>
          </cell>
          <cell r="C86">
            <v>20300</v>
          </cell>
          <cell r="D86" t="str">
            <v>M2</v>
          </cell>
        </row>
        <row r="87">
          <cell r="B87" t="str">
            <v>Malla para Cerramientos Deportivos Nylon, calibre 3.</v>
          </cell>
          <cell r="C87">
            <v>5600</v>
          </cell>
          <cell r="D87" t="str">
            <v>m²</v>
          </cell>
        </row>
        <row r="88">
          <cell r="B88" t="str">
            <v>Manto Edil de 3 mm</v>
          </cell>
          <cell r="C88">
            <v>27000</v>
          </cell>
          <cell r="D88" t="str">
            <v>m2</v>
          </cell>
        </row>
        <row r="89">
          <cell r="B89" t="str">
            <v>MAQUINA BIOSALUDABLE SEGÚN NECESIDAD</v>
          </cell>
          <cell r="C89">
            <v>2640000</v>
          </cell>
          <cell r="D89" t="str">
            <v>und</v>
          </cell>
        </row>
        <row r="90">
          <cell r="B90" t="str">
            <v>Masilla Poliéster para metal</v>
          </cell>
          <cell r="C90">
            <v>85920</v>
          </cell>
          <cell r="D90" t="str">
            <v>GALON</v>
          </cell>
        </row>
        <row r="91">
          <cell r="B91" t="str">
            <v xml:space="preserve">Masilla supermastick </v>
          </cell>
          <cell r="C91">
            <v>14500</v>
          </cell>
          <cell r="D91" t="str">
            <v>gal</v>
          </cell>
        </row>
        <row r="92">
          <cell r="B92" t="str">
            <v>Material seleccionado para relleno (recebo)</v>
          </cell>
          <cell r="C92">
            <v>32000</v>
          </cell>
          <cell r="D92" t="str">
            <v>M3</v>
          </cell>
        </row>
        <row r="93">
          <cell r="B93" t="str">
            <v>Mortero 1:4</v>
          </cell>
          <cell r="D93" t="str">
            <v>m3</v>
          </cell>
        </row>
        <row r="94">
          <cell r="B94" t="str">
            <v>Mortero de reparación, tipo SikaTop®-122 o similar</v>
          </cell>
          <cell r="C94">
            <v>10186.4</v>
          </cell>
          <cell r="D94" t="str">
            <v>Kg</v>
          </cell>
        </row>
        <row r="95">
          <cell r="B95" t="str">
            <v>Omega 2-5/16 x 3/4pg 0.38mm 2.44m</v>
          </cell>
          <cell r="C95">
            <v>8550</v>
          </cell>
          <cell r="D95" t="str">
            <v>und</v>
          </cell>
        </row>
        <row r="96">
          <cell r="B96" t="str">
            <v>Palmera ornamental tipo Cola de Zorra, Real o Manila. h= 2,00 - 2,50 m.</v>
          </cell>
          <cell r="C96">
            <v>120000</v>
          </cell>
          <cell r="D96" t="str">
            <v>un</v>
          </cell>
        </row>
        <row r="97">
          <cell r="B97" t="str">
            <v>Pararrayo tipo distribucion 12KV. 10 KA</v>
          </cell>
          <cell r="C97">
            <v>168991.02445435236</v>
          </cell>
          <cell r="D97" t="str">
            <v>UN</v>
          </cell>
        </row>
        <row r="98">
          <cell r="B98" t="str">
            <v>Perfilería PHR perfil C</v>
          </cell>
          <cell r="C98">
            <v>11900</v>
          </cell>
          <cell r="D98" t="str">
            <v>kg</v>
          </cell>
        </row>
        <row r="99">
          <cell r="B99" t="str">
            <v>Perro 1/8"</v>
          </cell>
          <cell r="C99">
            <v>2765</v>
          </cell>
          <cell r="D99" t="str">
            <v>m</v>
          </cell>
        </row>
        <row r="100">
          <cell r="B100" t="str">
            <v>PINTURA ANTICORROSIVO GRIS</v>
          </cell>
          <cell r="C100">
            <v>68280</v>
          </cell>
          <cell r="D100" t="str">
            <v>Galón</v>
          </cell>
        </row>
        <row r="101">
          <cell r="B101" t="str">
            <v>Pintura de dos componentes, a base de poliuretano alifático y disolvente.</v>
          </cell>
          <cell r="C101">
            <v>47700</v>
          </cell>
          <cell r="D101" t="str">
            <v>kg</v>
          </cell>
        </row>
        <row r="102">
          <cell r="B102" t="str">
            <v>PINTURA TERMOPLASTICA (e=2.3mm. Incluye Suministro y Aplicación con Equipo. Incluye Microesferas)</v>
          </cell>
          <cell r="C102">
            <v>52920</v>
          </cell>
          <cell r="D102" t="str">
            <v>GALON</v>
          </cell>
        </row>
        <row r="103">
          <cell r="B103" t="str">
            <v>PINTURA VINILTEX</v>
          </cell>
          <cell r="C103">
            <v>93900</v>
          </cell>
          <cell r="D103" t="str">
            <v>Galón</v>
          </cell>
        </row>
        <row r="104">
          <cell r="B104" t="str">
            <v>PINTURA ACRILTEX O KORAZA</v>
          </cell>
          <cell r="C104">
            <v>114000</v>
          </cell>
          <cell r="D104" t="str">
            <v>Galón</v>
          </cell>
        </row>
        <row r="105">
          <cell r="B105" t="str">
            <v>PLANTA ORNAMENTAL CORALES 40-50 CMS</v>
          </cell>
          <cell r="C105">
            <v>12000</v>
          </cell>
          <cell r="D105" t="str">
            <v>un</v>
          </cell>
        </row>
        <row r="106">
          <cell r="B106" t="str">
            <v>Platina 1" x 1/8"</v>
          </cell>
          <cell r="C106">
            <v>4200</v>
          </cell>
          <cell r="D106" t="str">
            <v>m</v>
          </cell>
        </row>
        <row r="107">
          <cell r="B107" t="str">
            <v>PLATINA DE 1 1/2" x 1/4" x 6.0 m</v>
          </cell>
          <cell r="C107">
            <v>38052</v>
          </cell>
          <cell r="D107" t="str">
            <v>un</v>
          </cell>
        </row>
        <row r="108">
          <cell r="B108" t="str">
            <v>PLATINA DE 2`` X 3/8``</v>
          </cell>
          <cell r="C108">
            <v>25283.16</v>
          </cell>
          <cell r="D108" t="str">
            <v>m</v>
          </cell>
        </row>
        <row r="109">
          <cell r="B109" t="str">
            <v>PLATINA METALICA CAL. 12 PARA PASAMANOS</v>
          </cell>
          <cell r="C109">
            <v>99500</v>
          </cell>
          <cell r="D109" t="str">
            <v>m²</v>
          </cell>
        </row>
        <row r="110">
          <cell r="B110" t="str">
            <v>PLATINA METALICA DE 1/8" x 10cm</v>
          </cell>
          <cell r="C110">
            <v>8322.2999999999993</v>
          </cell>
          <cell r="D110" t="str">
            <v>m</v>
          </cell>
        </row>
        <row r="111">
          <cell r="B111" t="str">
            <v>PLATINA r = 15</v>
          </cell>
          <cell r="C111">
            <v>5500</v>
          </cell>
          <cell r="D111" t="str">
            <v>UN</v>
          </cell>
        </row>
        <row r="112">
          <cell r="B112" t="str">
            <v>PLATINA r = 15</v>
          </cell>
          <cell r="C112">
            <v>5500</v>
          </cell>
          <cell r="D112" t="str">
            <v>UND</v>
          </cell>
        </row>
        <row r="113">
          <cell r="B113" t="str">
            <v>Portería fija de fútbol 11 en postes y larguero de sección circular de 100 mm de diámetro, de acero, acabado con barniz de poliuretano, color blanco y red de nylon con cuerdas de 3 mm de diámetro con soportes de poliamida para sujeción de la red a la portería, incluso botes de acero para empotrar los postes.</v>
          </cell>
          <cell r="C113">
            <v>1400000</v>
          </cell>
          <cell r="D113" t="str">
            <v>und</v>
          </cell>
        </row>
        <row r="114">
          <cell r="B114" t="str">
            <v>Poste para alumbrado público, altura: 8 metros, en acero, color blanco.</v>
          </cell>
          <cell r="C114">
            <v>400000</v>
          </cell>
          <cell r="D114" t="str">
            <v>und</v>
          </cell>
        </row>
        <row r="115">
          <cell r="B115" t="str">
            <v>Protector químico insecticida-fungicida.</v>
          </cell>
          <cell r="C115">
            <v>25900</v>
          </cell>
          <cell r="D115" t="str">
            <v>Kg</v>
          </cell>
        </row>
        <row r="116">
          <cell r="B116" t="str">
            <v>Puerta metálica 2,40 x 1,50 m., incluye marco, pasador, pintura y bisagras.</v>
          </cell>
          <cell r="C116">
            <v>1780000</v>
          </cell>
          <cell r="D116" t="str">
            <v>UN</v>
          </cell>
        </row>
        <row r="117">
          <cell r="B117" t="str">
            <v>Racor Ø ½"</v>
          </cell>
          <cell r="C117">
            <v>6000</v>
          </cell>
          <cell r="D117" t="str">
            <v>UN</v>
          </cell>
        </row>
        <row r="118">
          <cell r="B118" t="str">
            <v>Racor Ø ¼"</v>
          </cell>
          <cell r="C118">
            <v>3000</v>
          </cell>
          <cell r="D118" t="str">
            <v>UN</v>
          </cell>
        </row>
        <row r="119">
          <cell r="B119" t="str">
            <v>SANITARIO BLANCO INSTITUCIONAL INFANTIL</v>
          </cell>
          <cell r="C119">
            <v>238000</v>
          </cell>
          <cell r="D119" t="str">
            <v>un</v>
          </cell>
        </row>
        <row r="120">
          <cell r="B120" t="str">
            <v>Sello de silicona o sellador autonivelante</v>
          </cell>
          <cell r="C120">
            <v>5460</v>
          </cell>
          <cell r="D120" t="str">
            <v>m</v>
          </cell>
        </row>
        <row r="121">
          <cell r="B121" t="str">
            <v>Sifón Lavamanos</v>
          </cell>
          <cell r="C121">
            <v>26800</v>
          </cell>
          <cell r="D121" t="str">
            <v>Un</v>
          </cell>
        </row>
        <row r="122">
          <cell r="B122" t="str">
            <v>SOLDADURA 6011</v>
          </cell>
          <cell r="C122">
            <v>18995</v>
          </cell>
          <cell r="D122" t="str">
            <v>KG</v>
          </cell>
        </row>
        <row r="123">
          <cell r="B123" t="str">
            <v>Soldadura de plata</v>
          </cell>
          <cell r="C123">
            <v>3000</v>
          </cell>
          <cell r="D123" t="str">
            <v>Und</v>
          </cell>
        </row>
        <row r="124">
          <cell r="B124" t="str">
            <v xml:space="preserve">SOLDADURA E6013  </v>
          </cell>
          <cell r="C124">
            <v>600</v>
          </cell>
          <cell r="D124" t="str">
            <v>Gramos</v>
          </cell>
        </row>
        <row r="125">
          <cell r="B125" t="str">
            <v>SOLDADURA SOLVENTE PARA PVC (1/4 GLN)</v>
          </cell>
          <cell r="C125">
            <v>105524</v>
          </cell>
          <cell r="D125" t="str">
            <v>¼gln</v>
          </cell>
        </row>
        <row r="126">
          <cell r="B126" t="str">
            <v>Soporte Pared Aire Acondicionado 9.000-12.000btu</v>
          </cell>
          <cell r="C126">
            <v>70000</v>
          </cell>
          <cell r="D126" t="str">
            <v>Jgo</v>
          </cell>
        </row>
        <row r="127">
          <cell r="B127" t="str">
            <v>Tablero general de distribución con capacidad para alojamiento para breaker totalizador principal y breakers parciales para dependencias con medidas de 60cm x 40cm x 25cm, elaborado en lámina galvanizada calibre 16 y acabado de pintura electrostática RAL 7035</v>
          </cell>
          <cell r="C127">
            <v>618280</v>
          </cell>
          <cell r="D127" t="str">
            <v>und</v>
          </cell>
        </row>
        <row r="128">
          <cell r="B128" t="str">
            <v>Tablero general de distribución con capacidad para alojamiento para breaker totalizador principal y breakers parciales para dependencias con medidas de 60cm x 40cm x 25cm, elaborado en lámina galvanizada calibre 16 y acabado de pintura electrostática RAL 7035</v>
          </cell>
          <cell r="C128">
            <v>618280</v>
          </cell>
          <cell r="D128" t="str">
            <v>und</v>
          </cell>
        </row>
        <row r="129">
          <cell r="B129" t="str">
            <v>Tapa metalica para pozo en lamina de 1,00 - 150 de diametro.</v>
          </cell>
          <cell r="C129">
            <v>378000</v>
          </cell>
          <cell r="D129" t="str">
            <v>m</v>
          </cell>
        </row>
        <row r="130">
          <cell r="B130" t="str">
            <v>Teja Arquitectónica 721 x 3050 – 30 (0.30 mm) color rojo</v>
          </cell>
          <cell r="C130">
            <v>48500</v>
          </cell>
          <cell r="D130" t="str">
            <v>m²</v>
          </cell>
        </row>
        <row r="131">
          <cell r="B131" t="str">
            <v>Tensor Trabajo Pesado ¼" X 3½"</v>
          </cell>
          <cell r="C131">
            <v>8260</v>
          </cell>
          <cell r="D131" t="str">
            <v>un</v>
          </cell>
        </row>
        <row r="132">
          <cell r="B132" t="str">
            <v>Toma Corriente Doble Blanca</v>
          </cell>
          <cell r="C132">
            <v>25900</v>
          </cell>
          <cell r="D132" t="str">
            <v>un</v>
          </cell>
        </row>
        <row r="133">
          <cell r="B133" t="str">
            <v>Tornillo  teja Ter-Acu Arandela EPDM 14-14-1 1/2"</v>
          </cell>
          <cell r="C133">
            <v>1650</v>
          </cell>
          <cell r="D133" t="str">
            <v>un</v>
          </cell>
        </row>
        <row r="134">
          <cell r="B134" t="str">
            <v>Tornillo 1" punta broca</v>
          </cell>
          <cell r="C134">
            <v>60</v>
          </cell>
          <cell r="D134" t="str">
            <v>und</v>
          </cell>
        </row>
        <row r="135">
          <cell r="B135" t="str">
            <v>Tornillo 7/16" punta broca</v>
          </cell>
          <cell r="C135">
            <v>60</v>
          </cell>
          <cell r="D135" t="str">
            <v>und</v>
          </cell>
        </row>
        <row r="136">
          <cell r="B136" t="str">
            <v>TRIPLE 15 BULTO X 5O kg.</v>
          </cell>
          <cell r="C136">
            <v>181720</v>
          </cell>
          <cell r="D136" t="str">
            <v>un</v>
          </cell>
        </row>
        <row r="137">
          <cell r="B137" t="str">
            <v>Tubo cobre Ø ½"</v>
          </cell>
          <cell r="C137">
            <v>27750</v>
          </cell>
          <cell r="D137" t="str">
            <v>m</v>
          </cell>
        </row>
        <row r="138">
          <cell r="B138" t="str">
            <v>Tubo cobre Ø ¼"</v>
          </cell>
          <cell r="C138">
            <v>16500</v>
          </cell>
          <cell r="D138" t="str">
            <v>m</v>
          </cell>
        </row>
        <row r="139">
          <cell r="B139" t="str">
            <v>TUBERIA PVC ST U.S. D=4"</v>
          </cell>
          <cell r="C139">
            <v>26015.333333333332</v>
          </cell>
          <cell r="D139" t="str">
            <v>m</v>
          </cell>
        </row>
        <row r="140">
          <cell r="B140" t="str">
            <v>TUBERIA PVC VENTILACION U.S. D=4"</v>
          </cell>
          <cell r="C140">
            <v>18846.166666666668</v>
          </cell>
          <cell r="D140" t="str">
            <v>m</v>
          </cell>
        </row>
        <row r="141">
          <cell r="B141" t="str">
            <v>TUBO METALICO GALVANIZADO DE 2" CALIBRE 1.5 mm x 6,00 m.</v>
          </cell>
          <cell r="C141">
            <v>118999.99999999999</v>
          </cell>
          <cell r="D141" t="str">
            <v>un</v>
          </cell>
        </row>
        <row r="142">
          <cell r="B142" t="str">
            <v>TUBO METALICO GALVANIZADO DE 3" CALIBRE 14 (6 metros)</v>
          </cell>
          <cell r="C142">
            <v>176919.35492362967</v>
          </cell>
          <cell r="D142" t="str">
            <v>UN</v>
          </cell>
        </row>
        <row r="143">
          <cell r="B143" t="str">
            <v>UNION SIMPLE PVC 4"</v>
          </cell>
          <cell r="C143">
            <v>7962</v>
          </cell>
          <cell r="D143" t="str">
            <v>m</v>
          </cell>
        </row>
        <row r="144">
          <cell r="B144" t="str">
            <v>Varilla Cooper Weld de 14.28MM x 2,40 de Cobre Macizo</v>
          </cell>
          <cell r="C144">
            <v>198730</v>
          </cell>
          <cell r="D144" t="str">
            <v>und</v>
          </cell>
        </row>
        <row r="145">
          <cell r="B145" t="str">
            <v>VARILLA LISA 3/4"</v>
          </cell>
          <cell r="C145">
            <v>6107.6400000000012</v>
          </cell>
          <cell r="D145" t="str">
            <v>M</v>
          </cell>
        </row>
        <row r="146">
          <cell r="B146" t="str">
            <v>Vigueta 1-1/2 x 3/4-pulg x 0.38mm x 2.44m</v>
          </cell>
          <cell r="C146">
            <v>9150</v>
          </cell>
          <cell r="D146" t="str">
            <v>und</v>
          </cell>
        </row>
        <row r="147">
          <cell r="B147" t="str">
            <v>Panel Led Cuadrado 60x60 40w Luz Blanca 100-277v</v>
          </cell>
          <cell r="C147">
            <v>79900</v>
          </cell>
        </row>
        <row r="148">
          <cell r="B148" t="str">
            <v>ANGULO DE 1-1/2´´ x 1/8´´ (cerramiento en malla)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 UBS"/>
      <sheetName val="PRESUPUESTO"/>
      <sheetName val="APUS"/>
      <sheetName val="CANT"/>
      <sheetName val="EQUIPOS"/>
      <sheetName val="MATERIALES"/>
      <sheetName val="MO"/>
      <sheetName val="6.2"/>
      <sheetName val="6.3"/>
      <sheetName val="8.2"/>
      <sheetName val="8.3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ABONO ORGANICO X LATA</v>
          </cell>
          <cell r="C6">
            <v>5253.08</v>
          </cell>
          <cell r="D6" t="str">
            <v>un</v>
          </cell>
        </row>
        <row r="7">
          <cell r="B7" t="str">
            <v>Panel Led Cuadrado 60x60 40w Luz Blanca 100-277v</v>
          </cell>
          <cell r="C7">
            <v>79900</v>
          </cell>
          <cell r="D7" t="str">
            <v>und</v>
          </cell>
        </row>
        <row r="8">
          <cell r="B8" t="str">
            <v>Led Panel Rectangular 30x120 Cm 40w Luz Blanca</v>
          </cell>
          <cell r="C8">
            <v>99900</v>
          </cell>
          <cell r="D8" t="str">
            <v>und</v>
          </cell>
        </row>
        <row r="9">
          <cell r="B9" t="str">
            <v>Panel Led Sobre Cuadrado 1800 Lumenes 24w Luz Fria</v>
          </cell>
          <cell r="C9">
            <v>33.9</v>
          </cell>
          <cell r="D9" t="str">
            <v>und</v>
          </cell>
        </row>
        <row r="10">
          <cell r="B10" t="str">
            <v>Aceesorios de fijación lampara 400 W</v>
          </cell>
          <cell r="C10">
            <v>3500</v>
          </cell>
          <cell r="D10" t="str">
            <v>un</v>
          </cell>
        </row>
        <row r="11">
          <cell r="B11" t="str">
            <v>Acero de refuerzo</v>
          </cell>
          <cell r="C11">
            <v>9400</v>
          </cell>
          <cell r="D11" t="str">
            <v>kg</v>
          </cell>
        </row>
        <row r="12">
          <cell r="B12" t="str">
            <v>Acido Nítrico</v>
          </cell>
          <cell r="C12">
            <v>32250</v>
          </cell>
          <cell r="D12" t="str">
            <v>Gln</v>
          </cell>
        </row>
        <row r="13">
          <cell r="B13" t="str">
            <v>ACOFLEX SANITARIO 7/8”X1/2”X70CM</v>
          </cell>
          <cell r="C13">
            <v>4500</v>
          </cell>
          <cell r="D13" t="str">
            <v>un</v>
          </cell>
        </row>
        <row r="14">
          <cell r="B14" t="str">
            <v>Acople 1/2 x 1/2 40 cm lavamanos</v>
          </cell>
          <cell r="C14">
            <v>5180</v>
          </cell>
          <cell r="D14" t="str">
            <v>un</v>
          </cell>
        </row>
        <row r="15">
          <cell r="B15" t="str">
            <v>Alambre negro N° 18</v>
          </cell>
          <cell r="C15">
            <v>5900</v>
          </cell>
          <cell r="D15" t="str">
            <v>kg</v>
          </cell>
        </row>
        <row r="16">
          <cell r="B16" t="str">
            <v>ANGULO 1 1/2"x1 1/2"x1/8"</v>
          </cell>
          <cell r="C16">
            <v>14420</v>
          </cell>
          <cell r="D16" t="str">
            <v>M</v>
          </cell>
        </row>
        <row r="17">
          <cell r="B17" t="str">
            <v>ANGULO DE 1-1/2´´ x 1/4´´ (cerramiento en malla)</v>
          </cell>
          <cell r="C17">
            <v>12384.54</v>
          </cell>
          <cell r="D17" t="str">
            <v>m</v>
          </cell>
        </row>
        <row r="18">
          <cell r="B18" t="str">
            <v>Angulo galvanizado de 0.2 X 0.25 Cal. 26 x 2.44 m</v>
          </cell>
          <cell r="C18">
            <v>1300</v>
          </cell>
          <cell r="D18" t="str">
            <v>und</v>
          </cell>
        </row>
        <row r="19">
          <cell r="B19" t="str">
            <v>Arbol frutal de la región. H= 1,50 - 2,00 m.</v>
          </cell>
          <cell r="C19">
            <v>50000</v>
          </cell>
          <cell r="D19" t="str">
            <v>un</v>
          </cell>
        </row>
        <row r="20">
          <cell r="B20" t="str">
            <v>Arena lavada</v>
          </cell>
          <cell r="C20">
            <v>60000</v>
          </cell>
          <cell r="D20" t="str">
            <v>m3</v>
          </cell>
        </row>
        <row r="21">
          <cell r="B21" t="str">
            <v>Arena Silice (20kgxm2)</v>
          </cell>
          <cell r="C21">
            <v>1020</v>
          </cell>
          <cell r="D21" t="str">
            <v>kg</v>
          </cell>
        </row>
        <row r="22">
          <cell r="B22" t="str">
            <v>Bancas con espaldar tipo tipo IDU según diseño</v>
          </cell>
          <cell r="C22">
            <v>838000</v>
          </cell>
          <cell r="D22" t="str">
            <v>Und</v>
          </cell>
        </row>
        <row r="23">
          <cell r="B23" t="str">
            <v>Barraje monofásico para 500 A</v>
          </cell>
          <cell r="C23">
            <v>742000</v>
          </cell>
          <cell r="D23" t="str">
            <v>und</v>
          </cell>
        </row>
        <row r="24">
          <cell r="B24" t="str">
            <v>Barraje monofásico para 500 A</v>
          </cell>
          <cell r="C24">
            <v>742000</v>
          </cell>
          <cell r="D24" t="str">
            <v>und</v>
          </cell>
        </row>
        <row r="25">
          <cell r="B25" t="str">
            <v>BLOQUE N° 5. e= 0,10 m.</v>
          </cell>
          <cell r="C25">
            <v>1540</v>
          </cell>
          <cell r="D25" t="str">
            <v>un</v>
          </cell>
        </row>
        <row r="26">
          <cell r="B26" t="str">
            <v>BLOQUE N° 5. e= 0,15 m.</v>
          </cell>
          <cell r="C26">
            <v>1959.9999999999998</v>
          </cell>
          <cell r="D26" t="str">
            <v>un</v>
          </cell>
        </row>
        <row r="27">
          <cell r="B27" t="str">
            <v>Bordillo prefabricado en concreto de sección 15CM x 45CM X 80CM</v>
          </cell>
          <cell r="C27">
            <v>56738.000000000007</v>
          </cell>
          <cell r="D27" t="str">
            <v>UN</v>
          </cell>
        </row>
        <row r="28">
          <cell r="B28" t="str">
            <v>Braker totalizador 3x350 A LG</v>
          </cell>
          <cell r="C28">
            <v>754000</v>
          </cell>
          <cell r="D28" t="str">
            <v>und</v>
          </cell>
        </row>
        <row r="29">
          <cell r="B29" t="str">
            <v>Braker totalizador 3x350 A LG</v>
          </cell>
          <cell r="C29">
            <v>754000</v>
          </cell>
          <cell r="D29" t="str">
            <v>und</v>
          </cell>
        </row>
        <row r="30">
          <cell r="B30" t="str">
            <v>Breaker 3x70 A LG</v>
          </cell>
          <cell r="C30">
            <v>90498</v>
          </cell>
          <cell r="D30" t="str">
            <v>und</v>
          </cell>
        </row>
        <row r="31">
          <cell r="B31" t="str">
            <v>Breaker 3x70 A LG</v>
          </cell>
          <cell r="C31">
            <v>90498</v>
          </cell>
          <cell r="D31" t="str">
            <v>und</v>
          </cell>
        </row>
        <row r="32">
          <cell r="B32" t="str">
            <v>Breaker10/15/20 Amp.</v>
          </cell>
          <cell r="C32">
            <v>20850</v>
          </cell>
          <cell r="D32" t="str">
            <v>un</v>
          </cell>
        </row>
        <row r="33">
          <cell r="B33" t="str">
            <v>Caballete - limatesa teja Arquitectónica.</v>
          </cell>
          <cell r="C33">
            <v>53060</v>
          </cell>
          <cell r="D33" t="str">
            <v>un</v>
          </cell>
        </row>
        <row r="34">
          <cell r="B34" t="str">
            <v>Cable de Acero Galvanizado de 1/4 Pulgada</v>
          </cell>
          <cell r="C34">
            <v>6860</v>
          </cell>
          <cell r="D34" t="str">
            <v>m</v>
          </cell>
        </row>
        <row r="35">
          <cell r="B35" t="str">
            <v>Cable de Cobre Aislado THHN No. 12</v>
          </cell>
          <cell r="C35">
            <v>2300</v>
          </cell>
          <cell r="D35" t="str">
            <v>m</v>
          </cell>
        </row>
        <row r="36">
          <cell r="B36" t="str">
            <v>Cable de Cobre Aislado THHN No. 14</v>
          </cell>
          <cell r="C36">
            <v>1800</v>
          </cell>
          <cell r="D36" t="str">
            <v>m</v>
          </cell>
        </row>
        <row r="37">
          <cell r="B37" t="str">
            <v>Cable Encauchetado 3x12 XMt Cst-P Awg Cu 600v 75c</v>
          </cell>
          <cell r="C37">
            <v>16814.600000000002</v>
          </cell>
          <cell r="D37" t="str">
            <v>m</v>
          </cell>
        </row>
        <row r="38">
          <cell r="B38" t="str">
            <v>Cable Encauchetado 3x14 XMt Cst-P Awg Cu 600v 75c</v>
          </cell>
          <cell r="C38">
            <v>11250</v>
          </cell>
          <cell r="D38" t="str">
            <v>m</v>
          </cell>
        </row>
        <row r="39">
          <cell r="B39" t="str">
            <v>Caucho Molido (10kgxm2)</v>
          </cell>
          <cell r="C39">
            <v>2640</v>
          </cell>
          <cell r="D39" t="str">
            <v>kg</v>
          </cell>
        </row>
        <row r="40">
          <cell r="B40" t="str">
            <v>Cemento Gris</v>
          </cell>
          <cell r="C40">
            <v>690</v>
          </cell>
          <cell r="D40" t="str">
            <v>kg</v>
          </cell>
        </row>
        <row r="41">
          <cell r="B41" t="str">
            <v>Cerradura puerta oficina doble seguridad.</v>
          </cell>
          <cell r="C41">
            <v>42000</v>
          </cell>
          <cell r="D41" t="str">
            <v>un</v>
          </cell>
        </row>
        <row r="42">
          <cell r="B42" t="str">
            <v>CESPED PARA EMPRADIZACION X BULTO</v>
          </cell>
          <cell r="C42">
            <v>22500</v>
          </cell>
          <cell r="D42" t="str">
            <v>UN</v>
          </cell>
        </row>
        <row r="43">
          <cell r="B43" t="str">
            <v>Chazo puntilla</v>
          </cell>
          <cell r="C43">
            <v>240</v>
          </cell>
          <cell r="D43" t="str">
            <v>und</v>
          </cell>
        </row>
        <row r="44">
          <cell r="B44" t="str">
            <v>Chazo Tipo Cuña 3/8x16x3</v>
          </cell>
          <cell r="C44">
            <v>1772</v>
          </cell>
          <cell r="D44" t="str">
            <v>un</v>
          </cell>
        </row>
        <row r="45">
          <cell r="B45" t="str">
            <v>Cinta aislante 33+</v>
          </cell>
          <cell r="C45">
            <v>21000</v>
          </cell>
          <cell r="D45" t="str">
            <v>und</v>
          </cell>
        </row>
        <row r="46">
          <cell r="B46" t="str">
            <v>Cinta Malla * 45mts F/Vidrio</v>
          </cell>
          <cell r="C46">
            <v>9700</v>
          </cell>
          <cell r="D46" t="str">
            <v>und</v>
          </cell>
        </row>
        <row r="47">
          <cell r="B47" t="str">
            <v>CINTA TEFLÓN HD 1/2”X10 M</v>
          </cell>
          <cell r="C47">
            <v>1000</v>
          </cell>
          <cell r="D47" t="str">
            <v>un</v>
          </cell>
        </row>
        <row r="48">
          <cell r="B48" t="str">
            <v>Cinta vinilo</v>
          </cell>
          <cell r="C48">
            <v>6750</v>
          </cell>
          <cell r="D48" t="str">
            <v>Rollo</v>
          </cell>
        </row>
        <row r="49">
          <cell r="B49" t="str">
            <v>Cintas de Union</v>
          </cell>
          <cell r="C49">
            <v>5700</v>
          </cell>
          <cell r="D49" t="str">
            <v>m</v>
          </cell>
        </row>
        <row r="50">
          <cell r="B50" t="str">
            <v>CODO 90° BAJANTE 4"</v>
          </cell>
          <cell r="C50">
            <v>13667</v>
          </cell>
          <cell r="D50" t="str">
            <v>un</v>
          </cell>
        </row>
        <row r="51">
          <cell r="B51" t="str">
            <v>CONCRETO 2,500 P.S.I.</v>
          </cell>
          <cell r="C51"/>
          <cell r="D51" t="str">
            <v>m3</v>
          </cell>
        </row>
        <row r="52">
          <cell r="B52" t="str">
            <v>CONCRETO 3.000 PSI</v>
          </cell>
          <cell r="C52"/>
          <cell r="D52" t="str">
            <v>m3</v>
          </cell>
        </row>
        <row r="53">
          <cell r="B53" t="str">
            <v>Conductor de cobre desnudo, de 35 mm².</v>
          </cell>
          <cell r="C53">
            <v>13190.8</v>
          </cell>
          <cell r="D53" t="str">
            <v>m</v>
          </cell>
        </row>
        <row r="54">
          <cell r="B54" t="str">
            <v>Conexión general entre barraje y breakers con platinas de cobre</v>
          </cell>
          <cell r="C54">
            <v>292320</v>
          </cell>
          <cell r="D54" t="str">
            <v>und</v>
          </cell>
        </row>
        <row r="55">
          <cell r="B55" t="str">
            <v>Conexión general entre barraje y breakers con platinas de cobre</v>
          </cell>
          <cell r="C55">
            <v>243600</v>
          </cell>
          <cell r="D55" t="str">
            <v>und</v>
          </cell>
        </row>
        <row r="56">
          <cell r="B56" t="str">
            <v xml:space="preserve">Conjunto Griferia Sanitaria </v>
          </cell>
          <cell r="C56">
            <v>42000</v>
          </cell>
          <cell r="D56" t="str">
            <v>un</v>
          </cell>
        </row>
        <row r="57">
          <cell r="B57" t="str">
            <v>Cortacircuito monopolar 15 KV. 100 A.</v>
          </cell>
          <cell r="C57">
            <v>178454.52182379609</v>
          </cell>
          <cell r="D57" t="str">
            <v>UN</v>
          </cell>
        </row>
        <row r="58">
          <cell r="B58" t="str">
            <v>CRUCETA ANGULAR METALICA 1400 MM, (AUTO-SOPORTADA)</v>
          </cell>
          <cell r="C58">
            <v>173722.77313907421</v>
          </cell>
          <cell r="D58" t="str">
            <v>UN</v>
          </cell>
        </row>
        <row r="59">
          <cell r="B59" t="str">
            <v>Disolvente para pintura (TINNER)</v>
          </cell>
          <cell r="C59">
            <v>15750</v>
          </cell>
          <cell r="D59" t="str">
            <v>Galón</v>
          </cell>
        </row>
        <row r="60">
          <cell r="B60" t="str">
            <v>Electrobomba de 1 HP</v>
          </cell>
          <cell r="C60">
            <v>405000</v>
          </cell>
          <cell r="D60" t="str">
            <v>und</v>
          </cell>
        </row>
        <row r="61">
          <cell r="B61" t="str">
            <v>Emulsion Asfaltico 18k</v>
          </cell>
          <cell r="C61">
            <v>75600</v>
          </cell>
          <cell r="D61" t="str">
            <v>und</v>
          </cell>
        </row>
        <row r="62">
          <cell r="B62" t="str">
            <v>ESMALTE PINTULUX</v>
          </cell>
          <cell r="C62">
            <v>94580</v>
          </cell>
          <cell r="D62" t="str">
            <v>GALON</v>
          </cell>
        </row>
        <row r="63">
          <cell r="B63" t="str">
            <v>Espuma elastomérica a base de caucho sintético</v>
          </cell>
          <cell r="C63">
            <v>14100</v>
          </cell>
          <cell r="D63" t="str">
            <v>und</v>
          </cell>
        </row>
        <row r="64">
          <cell r="B64" t="str">
            <v>Ganchos de Hierro 1/4"</v>
          </cell>
          <cell r="C64">
            <v>4440</v>
          </cell>
          <cell r="D64" t="str">
            <v>Und</v>
          </cell>
        </row>
        <row r="65">
          <cell r="B65" t="str">
            <v>Gas refrigerante R22 x 800 Grs</v>
          </cell>
          <cell r="C65">
            <v>75000</v>
          </cell>
          <cell r="D65" t="str">
            <v>Und</v>
          </cell>
        </row>
        <row r="66">
          <cell r="B66" t="str">
            <v>Gas refrigerante R410A</v>
          </cell>
          <cell r="C66">
            <v>75000</v>
          </cell>
          <cell r="D66" t="str">
            <v>Und</v>
          </cell>
        </row>
        <row r="67">
          <cell r="B67" t="str">
            <v>Geotextil no Tejido 1800</v>
          </cell>
          <cell r="C67">
            <v>6240</v>
          </cell>
          <cell r="D67" t="str">
            <v>m2</v>
          </cell>
        </row>
        <row r="68">
          <cell r="B68" t="str">
            <v>Grama Sintetica</v>
          </cell>
          <cell r="C68">
            <v>90720</v>
          </cell>
          <cell r="D68" t="str">
            <v>m2</v>
          </cell>
        </row>
        <row r="69">
          <cell r="B69" t="str">
            <v>Grava de 1/2"</v>
          </cell>
          <cell r="C69">
            <v>99600</v>
          </cell>
          <cell r="D69" t="str">
            <v>M3</v>
          </cell>
        </row>
        <row r="70">
          <cell r="B70" t="str">
            <v>GRAVA DEL RIO SAN JORGE</v>
          </cell>
          <cell r="C70">
            <v>90000</v>
          </cell>
          <cell r="D70" t="str">
            <v>m3</v>
          </cell>
        </row>
        <row r="71">
          <cell r="B71" t="str">
            <v>Grifería Lavamanos</v>
          </cell>
          <cell r="C71">
            <v>28000</v>
          </cell>
          <cell r="D71" t="str">
            <v>un</v>
          </cell>
        </row>
        <row r="72">
          <cell r="B72" t="str">
            <v>Grifería Push Orinal Metal Cromo</v>
          </cell>
          <cell r="C72">
            <v>84000</v>
          </cell>
          <cell r="D72" t="str">
            <v>un</v>
          </cell>
        </row>
        <row r="73">
          <cell r="B73" t="str">
            <v>Imprimante de dos componentes, a base de resina epoxi sin disolventes, tipo Sikafloor 154 W Gris 30 o similar.</v>
          </cell>
          <cell r="C73">
            <v>46000</v>
          </cell>
          <cell r="D73" t="str">
            <v>kg</v>
          </cell>
        </row>
        <row r="74">
          <cell r="B74" t="str">
            <v>INTERRUPTOR SENCILLO BLANCO</v>
          </cell>
          <cell r="C74">
            <v>20900</v>
          </cell>
          <cell r="D74" t="str">
            <v>un</v>
          </cell>
        </row>
        <row r="75">
          <cell r="B75" t="str">
            <v>Intervinil pro de 200 x 5 gal</v>
          </cell>
          <cell r="C75">
            <v>168000</v>
          </cell>
          <cell r="D75" t="str">
            <v>GALON</v>
          </cell>
        </row>
        <row r="76">
          <cell r="B76" t="str">
            <v>JUEGO INFANTIL EN MADERA Y FIBRA. REF. NSM-02</v>
          </cell>
          <cell r="C76">
            <v>4560000</v>
          </cell>
          <cell r="D76" t="str">
            <v>Und</v>
          </cell>
        </row>
        <row r="77">
          <cell r="B77" t="str">
            <v>Lamina de yeso RH 1/2pg 1.22 x 2.44m 12.7mm Knauf</v>
          </cell>
          <cell r="C77">
            <v>64950</v>
          </cell>
          <cell r="D77" t="str">
            <v>und</v>
          </cell>
        </row>
        <row r="78">
          <cell r="B78" t="str">
            <v>Lampara Hermética Led 2x18</v>
          </cell>
          <cell r="C78">
            <v>74200</v>
          </cell>
          <cell r="D78" t="str">
            <v>un</v>
          </cell>
        </row>
        <row r="79">
          <cell r="B79" t="str">
            <v>LAMPARA LED DE 400 W</v>
          </cell>
          <cell r="C79">
            <v>600000</v>
          </cell>
          <cell r="D79" t="str">
            <v>UN</v>
          </cell>
        </row>
        <row r="80">
          <cell r="B80" t="str">
            <v>Lámpara LED para alumbrado público 140w., 8000 lumens.</v>
          </cell>
          <cell r="C80">
            <v>517200</v>
          </cell>
          <cell r="D80" t="str">
            <v>und</v>
          </cell>
        </row>
        <row r="81">
          <cell r="B81" t="str">
            <v>Lámpara LED para alumbrado público 140w., 8000 lumens.</v>
          </cell>
          <cell r="C81">
            <v>958800</v>
          </cell>
          <cell r="D81" t="str">
            <v>UN</v>
          </cell>
        </row>
        <row r="82">
          <cell r="B82" t="str">
            <v>Lijas</v>
          </cell>
          <cell r="C82">
            <v>2940</v>
          </cell>
          <cell r="D82" t="str">
            <v>UN</v>
          </cell>
        </row>
        <row r="83">
          <cell r="B83" t="str">
            <v>LUMINARIA 400 W. LED, MH O ROY ALPHA O SIMILAR</v>
          </cell>
          <cell r="C83">
            <v>358000</v>
          </cell>
          <cell r="D83" t="str">
            <v>un</v>
          </cell>
        </row>
        <row r="84">
          <cell r="B84" t="str">
            <v>MALLA ARCOS DE FUTBOL EN FIBRA (JUEGO)</v>
          </cell>
          <cell r="C84">
            <v>396000</v>
          </cell>
          <cell r="D84" t="str">
            <v>Und</v>
          </cell>
        </row>
        <row r="85">
          <cell r="B85" t="str">
            <v>Malla Electrosoldada 15x15cm</v>
          </cell>
          <cell r="C85">
            <v>8800</v>
          </cell>
          <cell r="D85" t="str">
            <v>M2</v>
          </cell>
        </row>
        <row r="86">
          <cell r="B86" t="str">
            <v>MALLA ESLABONADA CAL 10</v>
          </cell>
          <cell r="C86">
            <v>20300</v>
          </cell>
          <cell r="D86" t="str">
            <v>M2</v>
          </cell>
        </row>
        <row r="87">
          <cell r="B87" t="str">
            <v>Malla para Cerramientos Deportivos Nylon, calibre 3.</v>
          </cell>
          <cell r="C87">
            <v>5600</v>
          </cell>
          <cell r="D87" t="str">
            <v>m²</v>
          </cell>
        </row>
        <row r="88">
          <cell r="B88" t="str">
            <v>Manto Edil de 3 mm</v>
          </cell>
          <cell r="C88">
            <v>27000</v>
          </cell>
          <cell r="D88" t="str">
            <v>m2</v>
          </cell>
        </row>
        <row r="89">
          <cell r="B89" t="str">
            <v>MAQUINA BIOSALUDABLE SEGÚN NECESIDAD</v>
          </cell>
          <cell r="C89">
            <v>2640000</v>
          </cell>
          <cell r="D89" t="str">
            <v>und</v>
          </cell>
        </row>
        <row r="90">
          <cell r="B90" t="str">
            <v>Masilla Poliéster para metal</v>
          </cell>
          <cell r="C90">
            <v>85920</v>
          </cell>
          <cell r="D90" t="str">
            <v>GALON</v>
          </cell>
        </row>
        <row r="91">
          <cell r="B91" t="str">
            <v xml:space="preserve">Masilla supermastick </v>
          </cell>
          <cell r="C91">
            <v>14500</v>
          </cell>
          <cell r="D91" t="str">
            <v>gal</v>
          </cell>
        </row>
        <row r="92">
          <cell r="B92" t="str">
            <v>Material seleccionado para relleno (recebo)</v>
          </cell>
          <cell r="C92">
            <v>32000</v>
          </cell>
          <cell r="D92" t="str">
            <v>M3</v>
          </cell>
        </row>
        <row r="93">
          <cell r="B93" t="str">
            <v>Mortero 1:4</v>
          </cell>
          <cell r="C93"/>
          <cell r="D93" t="str">
            <v>m3</v>
          </cell>
        </row>
        <row r="94">
          <cell r="B94" t="str">
            <v>Mortero de reparación, tipo SikaTop®-122 o similar</v>
          </cell>
          <cell r="C94">
            <v>10186.4</v>
          </cell>
          <cell r="D94" t="str">
            <v>Kg</v>
          </cell>
        </row>
        <row r="95">
          <cell r="B95" t="str">
            <v>Omega 2-5/16 x 3/4pg 0.38mm 2.44m</v>
          </cell>
          <cell r="C95">
            <v>8550</v>
          </cell>
          <cell r="D95" t="str">
            <v>und</v>
          </cell>
        </row>
        <row r="96">
          <cell r="B96" t="str">
            <v>Palmera ornamental tipo Cola de Zorra, Real o Manila. h= 2,00 - 2,50 m.</v>
          </cell>
          <cell r="C96">
            <v>120000</v>
          </cell>
          <cell r="D96" t="str">
            <v>un</v>
          </cell>
        </row>
        <row r="97">
          <cell r="B97" t="str">
            <v>Pararrayo tipo distribucion 12KV. 10 KA</v>
          </cell>
          <cell r="C97">
            <v>168991.02445435236</v>
          </cell>
          <cell r="D97" t="str">
            <v>UN</v>
          </cell>
        </row>
        <row r="98">
          <cell r="B98" t="str">
            <v>Perfilería PHR perfil C</v>
          </cell>
          <cell r="C98">
            <v>11900</v>
          </cell>
          <cell r="D98" t="str">
            <v>kg</v>
          </cell>
        </row>
        <row r="99">
          <cell r="B99" t="str">
            <v>Perro 1/8"</v>
          </cell>
          <cell r="C99">
            <v>2765</v>
          </cell>
          <cell r="D99" t="str">
            <v>m</v>
          </cell>
        </row>
        <row r="100">
          <cell r="B100" t="str">
            <v>PINTURA ANTICORROSIVO GRIS</v>
          </cell>
          <cell r="C100">
            <v>68280</v>
          </cell>
          <cell r="D100" t="str">
            <v>Galón</v>
          </cell>
        </row>
        <row r="101">
          <cell r="B101" t="str">
            <v>Pintura de dos componentes, a base de poliuretano alifático y disolvente.</v>
          </cell>
          <cell r="C101">
            <v>47700</v>
          </cell>
          <cell r="D101" t="str">
            <v>kg</v>
          </cell>
        </row>
        <row r="102">
          <cell r="B102" t="str">
            <v>PINTURA TERMOPLASTICA (e=2.3mm. Incluye Suministro y Aplicación con Equipo. Incluye Microesferas)</v>
          </cell>
          <cell r="C102">
            <v>52920</v>
          </cell>
          <cell r="D102" t="str">
            <v>GALON</v>
          </cell>
        </row>
        <row r="103">
          <cell r="B103" t="str">
            <v>PINTURA VINILTEX</v>
          </cell>
          <cell r="C103">
            <v>61560</v>
          </cell>
          <cell r="D103" t="str">
            <v>Galón</v>
          </cell>
        </row>
        <row r="104">
          <cell r="B104" t="str">
            <v>PINTURA ACRILTEX O KORAZA</v>
          </cell>
          <cell r="C104">
            <v>114000</v>
          </cell>
          <cell r="D104" t="str">
            <v>Galón</v>
          </cell>
        </row>
        <row r="105">
          <cell r="B105" t="str">
            <v>PLANTA ORNAMENTAL CORALES 40-50 CMS</v>
          </cell>
          <cell r="C105">
            <v>12000</v>
          </cell>
          <cell r="D105" t="str">
            <v>un</v>
          </cell>
        </row>
        <row r="106">
          <cell r="B106" t="str">
            <v>Platina 1" x 1/8"</v>
          </cell>
          <cell r="C106">
            <v>4200</v>
          </cell>
          <cell r="D106" t="str">
            <v>m</v>
          </cell>
        </row>
        <row r="107">
          <cell r="B107" t="str">
            <v>PLATINA DE 1 1/2" x 1/4" x 6.0 m</v>
          </cell>
          <cell r="C107">
            <v>38052</v>
          </cell>
          <cell r="D107" t="str">
            <v>un</v>
          </cell>
        </row>
        <row r="108">
          <cell r="B108" t="str">
            <v>PLATINA DE 2`` X 3/8``</v>
          </cell>
          <cell r="C108">
            <v>25283.16</v>
          </cell>
          <cell r="D108" t="str">
            <v>m</v>
          </cell>
        </row>
        <row r="109">
          <cell r="B109" t="str">
            <v>PLATINA METALICA CAL. 12 PARA PASAMANOS</v>
          </cell>
          <cell r="C109">
            <v>99500</v>
          </cell>
          <cell r="D109" t="str">
            <v>m²</v>
          </cell>
        </row>
        <row r="110">
          <cell r="B110" t="str">
            <v>PLATINA METALICA DE 1/8" x 10cm</v>
          </cell>
          <cell r="C110">
            <v>8322.2999999999993</v>
          </cell>
          <cell r="D110" t="str">
            <v>m</v>
          </cell>
        </row>
        <row r="111">
          <cell r="B111" t="str">
            <v>PLATINA r = 15</v>
          </cell>
          <cell r="C111">
            <v>5500</v>
          </cell>
          <cell r="D111" t="str">
            <v>UN</v>
          </cell>
        </row>
        <row r="112">
          <cell r="B112" t="str">
            <v>PLATINA r = 15</v>
          </cell>
          <cell r="C112">
            <v>5500</v>
          </cell>
          <cell r="D112" t="str">
            <v>UND</v>
          </cell>
        </row>
        <row r="113">
          <cell r="B113" t="str">
            <v>Portería fija de fútbol 11 en postes y larguero de sección circular de 100 mm de diámetro, de acero, acabado con barniz de poliuretano, color blanco y red de nylon con cuerdas de 3 mm de diámetro con soportes de poliamida para sujeción de la red a la portería, incluso botes de acero para empotrar los postes.</v>
          </cell>
          <cell r="C113">
            <v>1400000</v>
          </cell>
          <cell r="D113" t="str">
            <v>und</v>
          </cell>
        </row>
        <row r="114">
          <cell r="B114" t="str">
            <v>Poste para alumbrado público, altura: 8 metros, en acero, color blanco.</v>
          </cell>
          <cell r="C114">
            <v>400000</v>
          </cell>
          <cell r="D114" t="str">
            <v>und</v>
          </cell>
        </row>
        <row r="115">
          <cell r="B115" t="str">
            <v>Protector químico insecticida-fungicida.</v>
          </cell>
          <cell r="C115">
            <v>25900</v>
          </cell>
          <cell r="D115" t="str">
            <v>Kg</v>
          </cell>
        </row>
        <row r="116">
          <cell r="B116" t="str">
            <v>Puerta metálica 2,40 x 1,50 m., incluye marco, pasador, pintura y bisagras.</v>
          </cell>
          <cell r="C116">
            <v>1780000</v>
          </cell>
          <cell r="D116" t="str">
            <v>UN</v>
          </cell>
        </row>
        <row r="117">
          <cell r="B117" t="str">
            <v>Racor Ø ½"</v>
          </cell>
          <cell r="C117">
            <v>6000</v>
          </cell>
          <cell r="D117" t="str">
            <v>UN</v>
          </cell>
        </row>
        <row r="118">
          <cell r="B118" t="str">
            <v>Racor Ø ¼"</v>
          </cell>
          <cell r="C118">
            <v>3000</v>
          </cell>
          <cell r="D118" t="str">
            <v>UN</v>
          </cell>
        </row>
        <row r="119">
          <cell r="B119" t="str">
            <v>SANITARIO BLANCO INSTITUCIONAL</v>
          </cell>
          <cell r="C119">
            <v>238000</v>
          </cell>
          <cell r="D119" t="str">
            <v>un</v>
          </cell>
        </row>
        <row r="120">
          <cell r="B120" t="str">
            <v>Sello de silicona o sellador autonivelante</v>
          </cell>
          <cell r="C120">
            <v>5460</v>
          </cell>
          <cell r="D120" t="str">
            <v>m</v>
          </cell>
        </row>
        <row r="121">
          <cell r="B121" t="str">
            <v>Sifón Lavamanos</v>
          </cell>
          <cell r="C121">
            <v>26800</v>
          </cell>
          <cell r="D121" t="str">
            <v>Un</v>
          </cell>
        </row>
        <row r="122">
          <cell r="B122" t="str">
            <v>SOLDADURA 6011</v>
          </cell>
          <cell r="C122">
            <v>18995</v>
          </cell>
          <cell r="D122" t="str">
            <v>KG</v>
          </cell>
        </row>
        <row r="123">
          <cell r="B123" t="str">
            <v>Soldadura de plata</v>
          </cell>
          <cell r="C123">
            <v>3000</v>
          </cell>
          <cell r="D123" t="str">
            <v>Und</v>
          </cell>
        </row>
        <row r="124">
          <cell r="B124" t="str">
            <v xml:space="preserve">SOLDADURA E6013  </v>
          </cell>
          <cell r="C124">
            <v>600</v>
          </cell>
          <cell r="D124" t="str">
            <v>Gramos</v>
          </cell>
        </row>
        <row r="125">
          <cell r="B125" t="str">
            <v>SOLDADURA SOLVENTE PARA PVC (1/4 GLN)</v>
          </cell>
          <cell r="C125">
            <v>105524</v>
          </cell>
          <cell r="D125" t="str">
            <v>¼gln</v>
          </cell>
        </row>
        <row r="126">
          <cell r="B126" t="str">
            <v>Soporte Pared Aire Acondicionado 9.000-12.000btu</v>
          </cell>
          <cell r="C126">
            <v>70000</v>
          </cell>
          <cell r="D126" t="str">
            <v>Jgo</v>
          </cell>
        </row>
        <row r="127">
          <cell r="B127" t="str">
            <v>Tablero general de distribución con capacidad para alojamiento para breaker totalizador principal y breakers parciales para dependencias con medidas de 60cm x 40cm x 25cm, elaborado en lámina galvanizada calibre 16 y acabado de pintura electrostática RAL 7035</v>
          </cell>
          <cell r="C127">
            <v>618280</v>
          </cell>
          <cell r="D127" t="str">
            <v>und</v>
          </cell>
        </row>
        <row r="128">
          <cell r="B128" t="str">
            <v>Tablero general de distribución con capacidad para alojamiento para breaker totalizador principal y breakers parciales para dependencias con medidas de 60cm x 40cm x 25cm, elaborado en lámina galvanizada calibre 16 y acabado de pintura electrostática RAL 7035</v>
          </cell>
          <cell r="C128">
            <v>618280</v>
          </cell>
          <cell r="D128" t="str">
            <v>und</v>
          </cell>
        </row>
        <row r="129">
          <cell r="B129" t="str">
            <v>Tapa metalica para pozo en lamina de 1,00 - 150 de diametro.</v>
          </cell>
          <cell r="C129">
            <v>378000</v>
          </cell>
          <cell r="D129" t="str">
            <v>m</v>
          </cell>
        </row>
        <row r="130">
          <cell r="B130" t="str">
            <v>Teja Arquitectónica 721 x 3050 – 30 (0.30 mm) color rojo</v>
          </cell>
          <cell r="C130">
            <v>48500</v>
          </cell>
          <cell r="D130" t="str">
            <v>m²</v>
          </cell>
        </row>
        <row r="131">
          <cell r="B131" t="str">
            <v>Tensor Trabajo Pesado ¼" X 3½"</v>
          </cell>
          <cell r="C131">
            <v>8260</v>
          </cell>
          <cell r="D131" t="str">
            <v>un</v>
          </cell>
        </row>
        <row r="132">
          <cell r="B132" t="str">
            <v>Toma Corriente Doble Blanca</v>
          </cell>
          <cell r="C132">
            <v>25900</v>
          </cell>
          <cell r="D132" t="str">
            <v>un</v>
          </cell>
        </row>
        <row r="133">
          <cell r="B133" t="str">
            <v>Tornillo  teja Ter-Acu Arandela EPDM 14-14-1 1/2"</v>
          </cell>
          <cell r="C133">
            <v>1650</v>
          </cell>
          <cell r="D133" t="str">
            <v>un</v>
          </cell>
        </row>
        <row r="134">
          <cell r="B134" t="str">
            <v>Tornillo 1" punta broca</v>
          </cell>
          <cell r="C134">
            <v>60</v>
          </cell>
          <cell r="D134" t="str">
            <v>und</v>
          </cell>
        </row>
        <row r="135">
          <cell r="B135" t="str">
            <v>Tornillo 7/16" punta broca</v>
          </cell>
          <cell r="C135">
            <v>60</v>
          </cell>
          <cell r="D135" t="str">
            <v>und</v>
          </cell>
        </row>
        <row r="136">
          <cell r="B136" t="str">
            <v>TRIPLE 15 BULTO X 5O kg.</v>
          </cell>
          <cell r="C136">
            <v>181720</v>
          </cell>
          <cell r="D136" t="str">
            <v>un</v>
          </cell>
        </row>
        <row r="137">
          <cell r="B137" t="str">
            <v>Tubo cobre Ø ½"</v>
          </cell>
          <cell r="C137">
            <v>27750</v>
          </cell>
          <cell r="D137" t="str">
            <v>m</v>
          </cell>
        </row>
        <row r="138">
          <cell r="B138" t="str">
            <v>Tubo cobre Ø ¼"</v>
          </cell>
          <cell r="C138">
            <v>16500</v>
          </cell>
          <cell r="D138" t="str">
            <v>m</v>
          </cell>
        </row>
        <row r="139">
          <cell r="B139" t="str">
            <v>TUBERIA PVC ST U.S. D=4"</v>
          </cell>
          <cell r="C139">
            <v>26015.333333333332</v>
          </cell>
          <cell r="D139" t="str">
            <v>m</v>
          </cell>
        </row>
        <row r="140">
          <cell r="B140" t="str">
            <v>TUBERIA PVC VENTILACION U.S. D=4"</v>
          </cell>
          <cell r="C140">
            <v>18846.166666666668</v>
          </cell>
          <cell r="D140" t="str">
            <v>m</v>
          </cell>
        </row>
        <row r="141">
          <cell r="B141" t="str">
            <v>TUBO METALICO GALVANIZADO DE 2" CALIBRE 1.5 mm x 6,00 m.</v>
          </cell>
          <cell r="C141">
            <v>118999.99999999999</v>
          </cell>
          <cell r="D141" t="str">
            <v>un</v>
          </cell>
        </row>
        <row r="142">
          <cell r="B142" t="str">
            <v>TUBO METALICO GALVANIZADO DE 3" CALIBRE 14 (6 metros)</v>
          </cell>
          <cell r="C142">
            <v>176919.35492362967</v>
          </cell>
          <cell r="D142" t="str">
            <v>UN</v>
          </cell>
        </row>
        <row r="143">
          <cell r="B143" t="str">
            <v>UNION SIMPLE PVC 4"</v>
          </cell>
          <cell r="C143">
            <v>7962</v>
          </cell>
          <cell r="D143" t="str">
            <v>m</v>
          </cell>
        </row>
        <row r="144">
          <cell r="B144" t="str">
            <v>Varilla Cooper Weld de 14.28MM x 2,40 de Cobre Macizo</v>
          </cell>
          <cell r="C144">
            <v>198730</v>
          </cell>
          <cell r="D144" t="str">
            <v>und</v>
          </cell>
        </row>
        <row r="145">
          <cell r="B145" t="str">
            <v>VARILLA LISA 3/4"</v>
          </cell>
          <cell r="C145">
            <v>6107.6400000000012</v>
          </cell>
          <cell r="D145" t="str">
            <v>M</v>
          </cell>
        </row>
        <row r="146">
          <cell r="B146" t="str">
            <v>Vigueta 1-1/2 x 3/4-pulg x 0.38mm x 2.44m</v>
          </cell>
          <cell r="C146">
            <v>9150</v>
          </cell>
          <cell r="D146" t="str">
            <v>und</v>
          </cell>
        </row>
        <row r="147">
          <cell r="B147" t="str">
            <v>Panel Led Cuadrado 60x60 40w Luz Blanca 100-277v</v>
          </cell>
          <cell r="C147">
            <v>79900</v>
          </cell>
          <cell r="D147"/>
        </row>
        <row r="148">
          <cell r="B148" t="str">
            <v>ANGULO DE 1-1/2´´ x 1/8´´ (cerramiento en malla)</v>
          </cell>
          <cell r="C148"/>
          <cell r="D148"/>
        </row>
        <row r="149">
          <cell r="B149"/>
          <cell r="C149"/>
          <cell r="D149"/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."/>
      <sheetName val="Formulario 1"/>
      <sheetName val="PF"/>
      <sheetName val="CRONO Y FLUJO"/>
      <sheetName val="CANTIDADES"/>
      <sheetName val="APUS BASICOS"/>
      <sheetName val="APUs"/>
      <sheetName val="M.OBRA 2023"/>
      <sheetName val="MATERIALES"/>
      <sheetName val="EQUIPOS"/>
      <sheetName val="PRESTACIONES OBRA"/>
      <sheetName val="PRESTACIONES ADMON"/>
      <sheetName val="DISTANCIA CANTERAS"/>
      <sheetName val="TRANSPORTE"/>
      <sheetName val="A.I."/>
      <sheetName val="Conveniado Obra"/>
      <sheetName val="PPTO. INTERVENTORIA"/>
      <sheetName val="Conveniado Interv"/>
      <sheetName val="FM"/>
      <sheetName val="ENSAYOS INT"/>
      <sheetName val="ENSAYOS OBRA"/>
      <sheetName val="PMT"/>
      <sheetName val="PAGA"/>
      <sheetName val="F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">
          <cell r="A10" t="str">
            <v>Acero PDR-60</v>
          </cell>
          <cell r="B10" t="str">
            <v>kg</v>
          </cell>
          <cell r="C10">
            <v>8200</v>
          </cell>
        </row>
        <row r="11">
          <cell r="A11" t="str">
            <v>Agregado para concreto hidráulico</v>
          </cell>
          <cell r="B11" t="str">
            <v>m3</v>
          </cell>
          <cell r="C11">
            <v>119000</v>
          </cell>
        </row>
        <row r="12">
          <cell r="A12" t="str">
            <v>Agua</v>
          </cell>
          <cell r="B12" t="str">
            <v>lt</v>
          </cell>
          <cell r="C12">
            <v>200</v>
          </cell>
        </row>
        <row r="13">
          <cell r="A13" t="str">
            <v>Alambre Negro Para Amarre</v>
          </cell>
          <cell r="B13" t="str">
            <v>kg</v>
          </cell>
          <cell r="C13">
            <v>10500</v>
          </cell>
        </row>
        <row r="14">
          <cell r="A14" t="str">
            <v>Antisol blanco (presentación 20 kg)</v>
          </cell>
          <cell r="B14" t="str">
            <v>kg</v>
          </cell>
          <cell r="C14">
            <v>9345</v>
          </cell>
        </row>
        <row r="15">
          <cell r="A15" t="str">
            <v>Arena lavada</v>
          </cell>
          <cell r="B15" t="str">
            <v>m3</v>
          </cell>
          <cell r="C15">
            <v>80000</v>
          </cell>
        </row>
        <row r="16">
          <cell r="A16" t="str">
            <v>Bordillo Prefabricado En Concreto Ref.A15 Ntc-4109, 0,15 X 0,45 X 0.80 M</v>
          </cell>
          <cell r="B16" t="str">
            <v>Und</v>
          </cell>
          <cell r="C16">
            <v>38000</v>
          </cell>
        </row>
        <row r="17">
          <cell r="A17" t="str">
            <v>Cal</v>
          </cell>
          <cell r="B17" t="str">
            <v>kg</v>
          </cell>
          <cell r="C17">
            <v>1893</v>
          </cell>
        </row>
        <row r="18">
          <cell r="A18" t="str">
            <v xml:space="preserve">Cemento gris
</v>
          </cell>
          <cell r="B18" t="str">
            <v>kg</v>
          </cell>
          <cell r="C18">
            <v>880</v>
          </cell>
        </row>
        <row r="19">
          <cell r="A19" t="str">
            <v>Cintilla De Poliuretano (Sikarod) (Pavimentos De Concreto Hidráulico)</v>
          </cell>
          <cell r="B19" t="str">
            <v>m</v>
          </cell>
          <cell r="C19">
            <v>581.17647058823525</v>
          </cell>
        </row>
        <row r="20">
          <cell r="A20" t="str">
            <v>Concreto hidráulico para pavimento MR-40</v>
          </cell>
          <cell r="B20" t="str">
            <v>m3</v>
          </cell>
          <cell r="C20">
            <v>752118</v>
          </cell>
        </row>
        <row r="21">
          <cell r="A21" t="str">
            <v>Concreto Resistencia  14 (Mpa)</v>
          </cell>
          <cell r="B21" t="str">
            <v>m3</v>
          </cell>
          <cell r="C21">
            <v>631227</v>
          </cell>
        </row>
        <row r="22">
          <cell r="A22" t="str">
            <v>Concreto clase E 17.5 MPa (2500 PSI)</v>
          </cell>
          <cell r="B22" t="str">
            <v>m3</v>
          </cell>
          <cell r="C22">
            <v>665401</v>
          </cell>
        </row>
        <row r="23">
          <cell r="A23" t="str">
            <v>Concreto Resistencia  21 (Mpa)</v>
          </cell>
          <cell r="B23" t="str">
            <v>m3</v>
          </cell>
          <cell r="C23">
            <v>760138</v>
          </cell>
        </row>
        <row r="24">
          <cell r="A24" t="str">
            <v>Concreto Resistencia  28 (Mpa)</v>
          </cell>
          <cell r="B24" t="str">
            <v>m3</v>
          </cell>
          <cell r="C24">
            <v>752118</v>
          </cell>
        </row>
        <row r="25">
          <cell r="A25" t="str">
            <v>Formaleta madera</v>
          </cell>
          <cell r="B25" t="str">
            <v>m2</v>
          </cell>
          <cell r="C25">
            <v>28000</v>
          </cell>
        </row>
        <row r="26">
          <cell r="A26" t="str">
            <v>Grava para lecho filtrante de silice</v>
          </cell>
          <cell r="B26" t="str">
            <v>m3</v>
          </cell>
          <cell r="C26">
            <v>75000</v>
          </cell>
        </row>
        <row r="27">
          <cell r="A27" t="str">
            <v xml:space="preserve">Material de Sub Base CBR=40% </v>
          </cell>
          <cell r="B27" t="str">
            <v>m3</v>
          </cell>
          <cell r="C27">
            <v>88000</v>
          </cell>
        </row>
        <row r="28">
          <cell r="A28" t="str">
            <v>Material de afirmado (piedra + arena + finos)</v>
          </cell>
          <cell r="B28" t="str">
            <v>m3</v>
          </cell>
          <cell r="C28">
            <v>55470</v>
          </cell>
        </row>
        <row r="29">
          <cell r="A29" t="str">
            <v xml:space="preserve">Material de recebo para relleno
</v>
          </cell>
          <cell r="B29" t="str">
            <v>m3</v>
          </cell>
          <cell r="C29">
            <v>35000</v>
          </cell>
        </row>
        <row r="30">
          <cell r="A30" t="str">
            <v>Mortero 1:3</v>
          </cell>
          <cell r="B30" t="str">
            <v>m3</v>
          </cell>
          <cell r="C30">
            <v>652464</v>
          </cell>
        </row>
        <row r="31">
          <cell r="A31" t="str">
            <v>Piedra para concreto ciclópeo (rajón o canto rodado)</v>
          </cell>
          <cell r="B31" t="str">
            <v>m3</v>
          </cell>
          <cell r="C31">
            <v>85000</v>
          </cell>
        </row>
        <row r="32">
          <cell r="A32" t="str">
            <v xml:space="preserve">Poste en angulo de 2*2*1/4 de 3,5m para señal
</v>
          </cell>
          <cell r="B32" t="str">
            <v>Und</v>
          </cell>
          <cell r="C32">
            <v>134600</v>
          </cell>
        </row>
        <row r="33">
          <cell r="A33" t="str">
            <v>Sello de silicona o sellador autonivelante</v>
          </cell>
          <cell r="B33" t="str">
            <v>m</v>
          </cell>
          <cell r="C33">
            <v>3000</v>
          </cell>
        </row>
        <row r="34">
          <cell r="A34" t="str">
            <v>Señal (grupo 1). Tablero en lámina galvanizada de 75cm*75cm, calibre 16, reflectivo tipo 1/ incluye poste )</v>
          </cell>
          <cell r="B34" t="str">
            <v>Und</v>
          </cell>
          <cell r="C34">
            <v>372000</v>
          </cell>
        </row>
        <row r="35">
          <cell r="A35" t="str">
            <v>ACERO TRANSVERSAL DE 1" LISO @30CM  L=0.40m</v>
          </cell>
          <cell r="B35" t="str">
            <v>kg</v>
          </cell>
          <cell r="C35">
            <v>11607</v>
          </cell>
        </row>
        <row r="36">
          <cell r="A36" t="str">
            <v>ACERO LONG 1/2" CORRUGADO @1.20M L=0.65m</v>
          </cell>
          <cell r="B36" t="str">
            <v>kg</v>
          </cell>
          <cell r="C36">
            <v>11607</v>
          </cell>
        </row>
        <row r="37">
          <cell r="A37" t="str">
            <v>Bordillo o sardinel prefabricado en concreto de 21 Mpa</v>
          </cell>
          <cell r="B37" t="str">
            <v>UND</v>
          </cell>
          <cell r="C37">
            <v>53300</v>
          </cell>
        </row>
        <row r="38">
          <cell r="A38" t="str">
            <v>Gasolina</v>
          </cell>
          <cell r="B38" t="str">
            <v>Galon</v>
          </cell>
          <cell r="C38">
            <v>10650</v>
          </cell>
        </row>
        <row r="39">
          <cell r="A39" t="str">
            <v>NYLON</v>
          </cell>
          <cell r="B39" t="str">
            <v>ROLLO</v>
          </cell>
          <cell r="C39">
            <v>3610</v>
          </cell>
        </row>
        <row r="40">
          <cell r="A40" t="str">
            <v>PUNTILLA 2CC</v>
          </cell>
          <cell r="B40" t="str">
            <v>LB</v>
          </cell>
          <cell r="C40">
            <v>4200</v>
          </cell>
        </row>
        <row r="41">
          <cell r="A41" t="str">
            <v>VARETA 1"X2"X3MM</v>
          </cell>
          <cell r="B41" t="str">
            <v>UND</v>
          </cell>
          <cell r="C41">
            <v>3600</v>
          </cell>
        </row>
        <row r="42">
          <cell r="A42" t="str">
            <v>PUNTILLA  2"</v>
          </cell>
          <cell r="B42" t="str">
            <v>LB</v>
          </cell>
          <cell r="C42">
            <v>4200</v>
          </cell>
        </row>
        <row r="43">
          <cell r="A43" t="str">
            <v>MADERA ROLLIZA INMUNIZADA</v>
          </cell>
          <cell r="B43" t="str">
            <v>M</v>
          </cell>
          <cell r="C43">
            <v>32000</v>
          </cell>
        </row>
        <row r="44">
          <cell r="A44" t="str">
            <v>VIGA ORDINARIO 0,2 X 0,1 X 4 M</v>
          </cell>
          <cell r="B44" t="str">
            <v>M</v>
          </cell>
          <cell r="C44">
            <v>26000</v>
          </cell>
        </row>
        <row r="45">
          <cell r="A45" t="str">
            <v>PLANCHÓN ABARCO 0.2 X 0.04 X 3 M</v>
          </cell>
          <cell r="B45" t="str">
            <v>M</v>
          </cell>
          <cell r="C45">
            <v>26000</v>
          </cell>
        </row>
        <row r="46">
          <cell r="A46" t="str">
            <v>Geotextil Nt-2000 O Similar (Proveedores, Pavco, Geomatrix, Tensar, Omnes U Otros)</v>
          </cell>
          <cell r="B46" t="str">
            <v>M2</v>
          </cell>
          <cell r="C46">
            <v>9160</v>
          </cell>
        </row>
        <row r="47">
          <cell r="A47" t="str">
            <v>Sika-1 Aditivo Impermeabilizante Para Morteros 20 Kg</v>
          </cell>
          <cell r="B47" t="str">
            <v>kg</v>
          </cell>
          <cell r="C47">
            <v>16500</v>
          </cell>
        </row>
        <row r="48">
          <cell r="A48" t="str">
            <v>TAPA EN POLIPROPILENO 100% RECICLADO</v>
          </cell>
          <cell r="B48" t="str">
            <v>UND</v>
          </cell>
          <cell r="C48">
            <v>352470</v>
          </cell>
        </row>
        <row r="49">
          <cell r="A49" t="str">
            <v>CUELLO EN POLIPROPILENO 100% RECICLADO, ANTIHURTO</v>
          </cell>
          <cell r="B49" t="str">
            <v>UND</v>
          </cell>
          <cell r="C49">
            <v>227840</v>
          </cell>
        </row>
        <row r="50">
          <cell r="A50" t="str">
            <v>TAPA DE REGISTRO 70 X 70</v>
          </cell>
          <cell r="B50" t="str">
            <v>UND</v>
          </cell>
          <cell r="C50">
            <v>150000</v>
          </cell>
        </row>
        <row r="51">
          <cell r="A51" t="str">
            <v>Acero figurado</v>
          </cell>
          <cell r="B51" t="str">
            <v>kg</v>
          </cell>
          <cell r="C51">
            <v>11607</v>
          </cell>
        </row>
        <row r="52">
          <cell r="A52" t="str">
            <v>Collarin de 2" a 1/2"</v>
          </cell>
          <cell r="B52" t="str">
            <v>UND</v>
          </cell>
          <cell r="C52">
            <v>19000</v>
          </cell>
        </row>
        <row r="53">
          <cell r="A53" t="str">
            <v>Racores</v>
          </cell>
          <cell r="B53" t="str">
            <v>UND</v>
          </cell>
          <cell r="C53">
            <v>9800</v>
          </cell>
        </row>
        <row r="54">
          <cell r="A54" t="str">
            <v>Llave de paso con PF macho</v>
          </cell>
          <cell r="B54" t="str">
            <v>UND</v>
          </cell>
          <cell r="C54">
            <v>23200</v>
          </cell>
        </row>
        <row r="55">
          <cell r="A55" t="str">
            <v>Registro de corte</v>
          </cell>
          <cell r="B55" t="str">
            <v>UND</v>
          </cell>
          <cell r="C55">
            <v>47500</v>
          </cell>
        </row>
        <row r="56">
          <cell r="A56" t="str">
            <v>Manguera PF+UAD</v>
          </cell>
          <cell r="B56" t="str">
            <v>m</v>
          </cell>
          <cell r="C56">
            <v>3500</v>
          </cell>
        </row>
        <row r="57">
          <cell r="A57" t="str">
            <v xml:space="preserve">Tuberia PVC presion de Ø 1/2" </v>
          </cell>
          <cell r="B57" t="str">
            <v>m</v>
          </cell>
          <cell r="C57">
            <v>4300</v>
          </cell>
        </row>
        <row r="58">
          <cell r="A58" t="str">
            <v>Accesorios PVC Ø1/2"</v>
          </cell>
          <cell r="B58" t="str">
            <v>UND</v>
          </cell>
          <cell r="C58">
            <v>10000</v>
          </cell>
        </row>
        <row r="59">
          <cell r="A59" t="str">
            <v>Pegante PVC 1/4 galón</v>
          </cell>
          <cell r="B59" t="str">
            <v>UND</v>
          </cell>
          <cell r="C59">
            <v>101700</v>
          </cell>
        </row>
        <row r="60">
          <cell r="A60" t="str">
            <v>Limpiador PVC 1/4 galón</v>
          </cell>
          <cell r="B60" t="str">
            <v>UND</v>
          </cell>
          <cell r="C60">
            <v>59921</v>
          </cell>
        </row>
        <row r="61">
          <cell r="A61" t="str">
            <v>Lubricante de 500 gr</v>
          </cell>
          <cell r="B61" t="str">
            <v>UND</v>
          </cell>
          <cell r="C61">
            <v>31500</v>
          </cell>
        </row>
        <row r="62">
          <cell r="A62" t="str">
            <v xml:space="preserve">Tubería PVC RDE 21 D=3" </v>
          </cell>
          <cell r="B62" t="str">
            <v>m</v>
          </cell>
          <cell r="C62">
            <v>40658.333333333336</v>
          </cell>
        </row>
        <row r="63">
          <cell r="A63" t="str">
            <v xml:space="preserve">Tubería PVC RDE 21 D=6" </v>
          </cell>
          <cell r="B63" t="str">
            <v>m</v>
          </cell>
          <cell r="C63">
            <v>110333.16666666667</v>
          </cell>
        </row>
        <row r="64">
          <cell r="A64" t="str">
            <v>Unión Rápida de Presión de 3"</v>
          </cell>
          <cell r="B64" t="str">
            <v>UND</v>
          </cell>
          <cell r="C64">
            <v>55456</v>
          </cell>
        </row>
        <row r="65">
          <cell r="A65" t="str">
            <v>Unión Rápida de Presión de 6"</v>
          </cell>
          <cell r="B65" t="str">
            <v>UND</v>
          </cell>
          <cell r="C65">
            <v>198097</v>
          </cell>
        </row>
        <row r="66">
          <cell r="A66" t="str">
            <v>Adaptador brida 3" R1</v>
          </cell>
          <cell r="B66" t="str">
            <v>UND</v>
          </cell>
          <cell r="C66">
            <v>167200</v>
          </cell>
        </row>
        <row r="67">
          <cell r="A67" t="str">
            <v>Válvula BXB DN 50mm</v>
          </cell>
          <cell r="B67" t="str">
            <v>UND</v>
          </cell>
          <cell r="C67">
            <v>595840</v>
          </cell>
        </row>
        <row r="68">
          <cell r="A68" t="str">
            <v>Juego de empaques y tornillos</v>
          </cell>
          <cell r="B68" t="str">
            <v>UND</v>
          </cell>
          <cell r="C68">
            <v>50000</v>
          </cell>
        </row>
        <row r="69">
          <cell r="A69" t="str">
            <v>CINTA PREVENTIVA O DE IMPACTO - TUBERIA</v>
          </cell>
          <cell r="B69" t="str">
            <v xml:space="preserve">M </v>
          </cell>
          <cell r="C69">
            <v>500</v>
          </cell>
        </row>
        <row r="70">
          <cell r="A70" t="str">
            <v>LUBRICANTE PVC 500GR</v>
          </cell>
          <cell r="B70" t="str">
            <v>GALÓN</v>
          </cell>
          <cell r="C70">
            <v>29341.132799999999</v>
          </cell>
        </row>
        <row r="71">
          <cell r="A71" t="str">
            <v>TUBERIA PVC ALCANTARILLADO D=200mm (8Pulg)</v>
          </cell>
          <cell r="B71" t="str">
            <v xml:space="preserve">M </v>
          </cell>
          <cell r="C71">
            <v>99226.666666666672</v>
          </cell>
        </row>
        <row r="72">
          <cell r="A72" t="str">
            <v>TUBERIA PVC ALCANTARILLADO D=400mm (16Pulg)</v>
          </cell>
          <cell r="B72" t="str">
            <v xml:space="preserve">M </v>
          </cell>
          <cell r="C72">
            <v>235000</v>
          </cell>
        </row>
        <row r="73">
          <cell r="A73" t="str">
            <v>TUBERIA PVC ALCANTARILLADO (6Pulg)</v>
          </cell>
          <cell r="B73" t="str">
            <v xml:space="preserve">M </v>
          </cell>
          <cell r="C73">
            <v>66655.5</v>
          </cell>
        </row>
        <row r="74">
          <cell r="A74" t="str">
            <v>KIT SILLA YEE Ø200mmx150mm CxCxC</v>
          </cell>
          <cell r="B74" t="str">
            <v>UND</v>
          </cell>
          <cell r="C74">
            <v>190000</v>
          </cell>
        </row>
        <row r="75">
          <cell r="A75" t="str">
            <v>KIT SILLA YEE Ø400mmx150mm CxCxC</v>
          </cell>
          <cell r="B75" t="str">
            <v>UND</v>
          </cell>
          <cell r="C75">
            <v>474095</v>
          </cell>
        </row>
        <row r="76">
          <cell r="A76" t="str">
            <v>Mulch Orgánico</v>
          </cell>
          <cell r="B76" t="str">
            <v>kg</v>
          </cell>
          <cell r="C76">
            <v>3990</v>
          </cell>
        </row>
        <row r="77">
          <cell r="A77" t="str">
            <v>Semillas para empradizar</v>
          </cell>
          <cell r="B77" t="str">
            <v>kg</v>
          </cell>
          <cell r="C77">
            <v>60000</v>
          </cell>
        </row>
        <row r="78">
          <cell r="A78" t="str">
            <v>Arena de trituración (sellos de arena-asfalto)</v>
          </cell>
          <cell r="B78" t="str">
            <v>m3</v>
          </cell>
          <cell r="C78">
            <v>65450</v>
          </cell>
        </row>
        <row r="79">
          <cell r="A79" t="str">
            <v>Acero estructural</v>
          </cell>
          <cell r="B79" t="str">
            <v>kg</v>
          </cell>
          <cell r="C79">
            <v>14000</v>
          </cell>
        </row>
        <row r="80">
          <cell r="A80" t="str">
            <v>Soldadura</v>
          </cell>
          <cell r="B80" t="str">
            <v>kg</v>
          </cell>
          <cell r="C80">
            <v>20900</v>
          </cell>
        </row>
        <row r="81">
          <cell r="A81"/>
          <cell r="B81"/>
          <cell r="C81"/>
        </row>
        <row r="82">
          <cell r="A82"/>
          <cell r="B82"/>
          <cell r="C82"/>
        </row>
        <row r="83">
          <cell r="A83"/>
          <cell r="C83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DE OBRA"/>
      <sheetName val="APUS"/>
      <sheetName val="PRESUPUESTO DE OBRAS"/>
      <sheetName val="FLUJO DE CAJA Y CRONOGRAMA GRAL"/>
      <sheetName val="MANO DE OBRA"/>
      <sheetName val="BASICOS"/>
      <sheetName val="AIU"/>
      <sheetName val="LISTADO DE MATERIAL"/>
      <sheetName val="FACTOR MULTIPLICADOR"/>
      <sheetName val="PRESUPUESTO DE INTERVENTORIA"/>
      <sheetName val="ESTUDIO DE MERCADO"/>
    </sheetNames>
    <sheetDataSet>
      <sheetData sheetId="0"/>
      <sheetData sheetId="1">
        <row r="4995">
          <cell r="A4995" t="str">
            <v>Manto Edil de 3 mm</v>
          </cell>
        </row>
        <row r="4997">
          <cell r="A4997" t="str">
            <v>Emulsion Asfaltico 18k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www.homecenter.com.co/homecenter-co/product/78531/Cable-de-Acero-Galvanizado-de-1-4-Pulgada/78531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2" tint="-0.749992370372631"/>
  </sheetPr>
  <dimension ref="A1:I176"/>
  <sheetViews>
    <sheetView view="pageBreakPreview" topLeftCell="A161" zoomScale="120" zoomScaleSheetLayoutView="120" workbookViewId="0">
      <selection activeCell="A165" sqref="A56:XFD165"/>
    </sheetView>
  </sheetViews>
  <sheetFormatPr baseColWidth="10" defaultColWidth="11.44140625" defaultRowHeight="14.4" x14ac:dyDescent="0.3"/>
  <cols>
    <col min="1" max="1" width="6.6640625" customWidth="1"/>
    <col min="2" max="2" width="44.88671875" customWidth="1"/>
    <col min="3" max="3" width="5.6640625" style="104" bestFit="1" customWidth="1"/>
    <col min="4" max="4" width="9.5546875" bestFit="1" customWidth="1"/>
    <col min="5" max="5" width="14.109375" bestFit="1" customWidth="1"/>
    <col min="6" max="6" width="16.88671875" bestFit="1" customWidth="1"/>
    <col min="7" max="7" width="16.5546875" hidden="1" customWidth="1"/>
    <col min="8" max="8" width="18.6640625" bestFit="1" customWidth="1"/>
    <col min="9" max="9" width="19.6640625" bestFit="1" customWidth="1"/>
    <col min="10" max="10" width="15.109375" bestFit="1" customWidth="1"/>
    <col min="257" max="257" width="5.33203125" bestFit="1" customWidth="1"/>
    <col min="258" max="258" width="40" customWidth="1"/>
    <col min="259" max="259" width="5.6640625" bestFit="1" customWidth="1"/>
    <col min="260" max="260" width="9.5546875" bestFit="1" customWidth="1"/>
    <col min="261" max="261" width="12.6640625" bestFit="1" customWidth="1"/>
    <col min="262" max="262" width="16.88671875" bestFit="1" customWidth="1"/>
    <col min="264" max="264" width="16.6640625" bestFit="1" customWidth="1"/>
    <col min="266" max="266" width="15.109375" bestFit="1" customWidth="1"/>
    <col min="513" max="513" width="5.33203125" bestFit="1" customWidth="1"/>
    <col min="514" max="514" width="40" customWidth="1"/>
    <col min="515" max="515" width="5.6640625" bestFit="1" customWidth="1"/>
    <col min="516" max="516" width="9.5546875" bestFit="1" customWidth="1"/>
    <col min="517" max="517" width="12.6640625" bestFit="1" customWidth="1"/>
    <col min="518" max="518" width="16.88671875" bestFit="1" customWidth="1"/>
    <col min="520" max="520" width="16.6640625" bestFit="1" customWidth="1"/>
    <col min="522" max="522" width="15.109375" bestFit="1" customWidth="1"/>
    <col min="769" max="769" width="5.33203125" bestFit="1" customWidth="1"/>
    <col min="770" max="770" width="40" customWidth="1"/>
    <col min="771" max="771" width="5.6640625" bestFit="1" customWidth="1"/>
    <col min="772" max="772" width="9.5546875" bestFit="1" customWidth="1"/>
    <col min="773" max="773" width="12.6640625" bestFit="1" customWidth="1"/>
    <col min="774" max="774" width="16.88671875" bestFit="1" customWidth="1"/>
    <col min="776" max="776" width="16.6640625" bestFit="1" customWidth="1"/>
    <col min="778" max="778" width="15.109375" bestFit="1" customWidth="1"/>
    <col min="1025" max="1025" width="5.33203125" bestFit="1" customWidth="1"/>
    <col min="1026" max="1026" width="40" customWidth="1"/>
    <col min="1027" max="1027" width="5.6640625" bestFit="1" customWidth="1"/>
    <col min="1028" max="1028" width="9.5546875" bestFit="1" customWidth="1"/>
    <col min="1029" max="1029" width="12.6640625" bestFit="1" customWidth="1"/>
    <col min="1030" max="1030" width="16.88671875" bestFit="1" customWidth="1"/>
    <col min="1032" max="1032" width="16.6640625" bestFit="1" customWidth="1"/>
    <col min="1034" max="1034" width="15.109375" bestFit="1" customWidth="1"/>
    <col min="1281" max="1281" width="5.33203125" bestFit="1" customWidth="1"/>
    <col min="1282" max="1282" width="40" customWidth="1"/>
    <col min="1283" max="1283" width="5.6640625" bestFit="1" customWidth="1"/>
    <col min="1284" max="1284" width="9.5546875" bestFit="1" customWidth="1"/>
    <col min="1285" max="1285" width="12.6640625" bestFit="1" customWidth="1"/>
    <col min="1286" max="1286" width="16.88671875" bestFit="1" customWidth="1"/>
    <col min="1288" max="1288" width="16.6640625" bestFit="1" customWidth="1"/>
    <col min="1290" max="1290" width="15.109375" bestFit="1" customWidth="1"/>
    <col min="1537" max="1537" width="5.33203125" bestFit="1" customWidth="1"/>
    <col min="1538" max="1538" width="40" customWidth="1"/>
    <col min="1539" max="1539" width="5.6640625" bestFit="1" customWidth="1"/>
    <col min="1540" max="1540" width="9.5546875" bestFit="1" customWidth="1"/>
    <col min="1541" max="1541" width="12.6640625" bestFit="1" customWidth="1"/>
    <col min="1542" max="1542" width="16.88671875" bestFit="1" customWidth="1"/>
    <col min="1544" max="1544" width="16.6640625" bestFit="1" customWidth="1"/>
    <col min="1546" max="1546" width="15.109375" bestFit="1" customWidth="1"/>
    <col min="1793" max="1793" width="5.33203125" bestFit="1" customWidth="1"/>
    <col min="1794" max="1794" width="40" customWidth="1"/>
    <col min="1795" max="1795" width="5.6640625" bestFit="1" customWidth="1"/>
    <col min="1796" max="1796" width="9.5546875" bestFit="1" customWidth="1"/>
    <col min="1797" max="1797" width="12.6640625" bestFit="1" customWidth="1"/>
    <col min="1798" max="1798" width="16.88671875" bestFit="1" customWidth="1"/>
    <col min="1800" max="1800" width="16.6640625" bestFit="1" customWidth="1"/>
    <col min="1802" max="1802" width="15.109375" bestFit="1" customWidth="1"/>
    <col min="2049" max="2049" width="5.33203125" bestFit="1" customWidth="1"/>
    <col min="2050" max="2050" width="40" customWidth="1"/>
    <col min="2051" max="2051" width="5.6640625" bestFit="1" customWidth="1"/>
    <col min="2052" max="2052" width="9.5546875" bestFit="1" customWidth="1"/>
    <col min="2053" max="2053" width="12.6640625" bestFit="1" customWidth="1"/>
    <col min="2054" max="2054" width="16.88671875" bestFit="1" customWidth="1"/>
    <col min="2056" max="2056" width="16.6640625" bestFit="1" customWidth="1"/>
    <col min="2058" max="2058" width="15.109375" bestFit="1" customWidth="1"/>
    <col min="2305" max="2305" width="5.33203125" bestFit="1" customWidth="1"/>
    <col min="2306" max="2306" width="40" customWidth="1"/>
    <col min="2307" max="2307" width="5.6640625" bestFit="1" customWidth="1"/>
    <col min="2308" max="2308" width="9.5546875" bestFit="1" customWidth="1"/>
    <col min="2309" max="2309" width="12.6640625" bestFit="1" customWidth="1"/>
    <col min="2310" max="2310" width="16.88671875" bestFit="1" customWidth="1"/>
    <col min="2312" max="2312" width="16.6640625" bestFit="1" customWidth="1"/>
    <col min="2314" max="2314" width="15.109375" bestFit="1" customWidth="1"/>
    <col min="2561" max="2561" width="5.33203125" bestFit="1" customWidth="1"/>
    <col min="2562" max="2562" width="40" customWidth="1"/>
    <col min="2563" max="2563" width="5.6640625" bestFit="1" customWidth="1"/>
    <col min="2564" max="2564" width="9.5546875" bestFit="1" customWidth="1"/>
    <col min="2565" max="2565" width="12.6640625" bestFit="1" customWidth="1"/>
    <col min="2566" max="2566" width="16.88671875" bestFit="1" customWidth="1"/>
    <col min="2568" max="2568" width="16.6640625" bestFit="1" customWidth="1"/>
    <col min="2570" max="2570" width="15.109375" bestFit="1" customWidth="1"/>
    <col min="2817" max="2817" width="5.33203125" bestFit="1" customWidth="1"/>
    <col min="2818" max="2818" width="40" customWidth="1"/>
    <col min="2819" max="2819" width="5.6640625" bestFit="1" customWidth="1"/>
    <col min="2820" max="2820" width="9.5546875" bestFit="1" customWidth="1"/>
    <col min="2821" max="2821" width="12.6640625" bestFit="1" customWidth="1"/>
    <col min="2822" max="2822" width="16.88671875" bestFit="1" customWidth="1"/>
    <col min="2824" max="2824" width="16.6640625" bestFit="1" customWidth="1"/>
    <col min="2826" max="2826" width="15.109375" bestFit="1" customWidth="1"/>
    <col min="3073" max="3073" width="5.33203125" bestFit="1" customWidth="1"/>
    <col min="3074" max="3074" width="40" customWidth="1"/>
    <col min="3075" max="3075" width="5.6640625" bestFit="1" customWidth="1"/>
    <col min="3076" max="3076" width="9.5546875" bestFit="1" customWidth="1"/>
    <col min="3077" max="3077" width="12.6640625" bestFit="1" customWidth="1"/>
    <col min="3078" max="3078" width="16.88671875" bestFit="1" customWidth="1"/>
    <col min="3080" max="3080" width="16.6640625" bestFit="1" customWidth="1"/>
    <col min="3082" max="3082" width="15.109375" bestFit="1" customWidth="1"/>
    <col min="3329" max="3329" width="5.33203125" bestFit="1" customWidth="1"/>
    <col min="3330" max="3330" width="40" customWidth="1"/>
    <col min="3331" max="3331" width="5.6640625" bestFit="1" customWidth="1"/>
    <col min="3332" max="3332" width="9.5546875" bestFit="1" customWidth="1"/>
    <col min="3333" max="3333" width="12.6640625" bestFit="1" customWidth="1"/>
    <col min="3334" max="3334" width="16.88671875" bestFit="1" customWidth="1"/>
    <col min="3336" max="3336" width="16.6640625" bestFit="1" customWidth="1"/>
    <col min="3338" max="3338" width="15.109375" bestFit="1" customWidth="1"/>
    <col min="3585" max="3585" width="5.33203125" bestFit="1" customWidth="1"/>
    <col min="3586" max="3586" width="40" customWidth="1"/>
    <col min="3587" max="3587" width="5.6640625" bestFit="1" customWidth="1"/>
    <col min="3588" max="3588" width="9.5546875" bestFit="1" customWidth="1"/>
    <col min="3589" max="3589" width="12.6640625" bestFit="1" customWidth="1"/>
    <col min="3590" max="3590" width="16.88671875" bestFit="1" customWidth="1"/>
    <col min="3592" max="3592" width="16.6640625" bestFit="1" customWidth="1"/>
    <col min="3594" max="3594" width="15.109375" bestFit="1" customWidth="1"/>
    <col min="3841" max="3841" width="5.33203125" bestFit="1" customWidth="1"/>
    <col min="3842" max="3842" width="40" customWidth="1"/>
    <col min="3843" max="3843" width="5.6640625" bestFit="1" customWidth="1"/>
    <col min="3844" max="3844" width="9.5546875" bestFit="1" customWidth="1"/>
    <col min="3845" max="3845" width="12.6640625" bestFit="1" customWidth="1"/>
    <col min="3846" max="3846" width="16.88671875" bestFit="1" customWidth="1"/>
    <col min="3848" max="3848" width="16.6640625" bestFit="1" customWidth="1"/>
    <col min="3850" max="3850" width="15.109375" bestFit="1" customWidth="1"/>
    <col min="4097" max="4097" width="5.33203125" bestFit="1" customWidth="1"/>
    <col min="4098" max="4098" width="40" customWidth="1"/>
    <col min="4099" max="4099" width="5.6640625" bestFit="1" customWidth="1"/>
    <col min="4100" max="4100" width="9.5546875" bestFit="1" customWidth="1"/>
    <col min="4101" max="4101" width="12.6640625" bestFit="1" customWidth="1"/>
    <col min="4102" max="4102" width="16.88671875" bestFit="1" customWidth="1"/>
    <col min="4104" max="4104" width="16.6640625" bestFit="1" customWidth="1"/>
    <col min="4106" max="4106" width="15.109375" bestFit="1" customWidth="1"/>
    <col min="4353" max="4353" width="5.33203125" bestFit="1" customWidth="1"/>
    <col min="4354" max="4354" width="40" customWidth="1"/>
    <col min="4355" max="4355" width="5.6640625" bestFit="1" customWidth="1"/>
    <col min="4356" max="4356" width="9.5546875" bestFit="1" customWidth="1"/>
    <col min="4357" max="4357" width="12.6640625" bestFit="1" customWidth="1"/>
    <col min="4358" max="4358" width="16.88671875" bestFit="1" customWidth="1"/>
    <col min="4360" max="4360" width="16.6640625" bestFit="1" customWidth="1"/>
    <col min="4362" max="4362" width="15.109375" bestFit="1" customWidth="1"/>
    <col min="4609" max="4609" width="5.33203125" bestFit="1" customWidth="1"/>
    <col min="4610" max="4610" width="40" customWidth="1"/>
    <col min="4611" max="4611" width="5.6640625" bestFit="1" customWidth="1"/>
    <col min="4612" max="4612" width="9.5546875" bestFit="1" customWidth="1"/>
    <col min="4613" max="4613" width="12.6640625" bestFit="1" customWidth="1"/>
    <col min="4614" max="4614" width="16.88671875" bestFit="1" customWidth="1"/>
    <col min="4616" max="4616" width="16.6640625" bestFit="1" customWidth="1"/>
    <col min="4618" max="4618" width="15.109375" bestFit="1" customWidth="1"/>
    <col min="4865" max="4865" width="5.33203125" bestFit="1" customWidth="1"/>
    <col min="4866" max="4866" width="40" customWidth="1"/>
    <col min="4867" max="4867" width="5.6640625" bestFit="1" customWidth="1"/>
    <col min="4868" max="4868" width="9.5546875" bestFit="1" customWidth="1"/>
    <col min="4869" max="4869" width="12.6640625" bestFit="1" customWidth="1"/>
    <col min="4870" max="4870" width="16.88671875" bestFit="1" customWidth="1"/>
    <col min="4872" max="4872" width="16.6640625" bestFit="1" customWidth="1"/>
    <col min="4874" max="4874" width="15.109375" bestFit="1" customWidth="1"/>
    <col min="5121" max="5121" width="5.33203125" bestFit="1" customWidth="1"/>
    <col min="5122" max="5122" width="40" customWidth="1"/>
    <col min="5123" max="5123" width="5.6640625" bestFit="1" customWidth="1"/>
    <col min="5124" max="5124" width="9.5546875" bestFit="1" customWidth="1"/>
    <col min="5125" max="5125" width="12.6640625" bestFit="1" customWidth="1"/>
    <col min="5126" max="5126" width="16.88671875" bestFit="1" customWidth="1"/>
    <col min="5128" max="5128" width="16.6640625" bestFit="1" customWidth="1"/>
    <col min="5130" max="5130" width="15.109375" bestFit="1" customWidth="1"/>
    <col min="5377" max="5377" width="5.33203125" bestFit="1" customWidth="1"/>
    <col min="5378" max="5378" width="40" customWidth="1"/>
    <col min="5379" max="5379" width="5.6640625" bestFit="1" customWidth="1"/>
    <col min="5380" max="5380" width="9.5546875" bestFit="1" customWidth="1"/>
    <col min="5381" max="5381" width="12.6640625" bestFit="1" customWidth="1"/>
    <col min="5382" max="5382" width="16.88671875" bestFit="1" customWidth="1"/>
    <col min="5384" max="5384" width="16.6640625" bestFit="1" customWidth="1"/>
    <col min="5386" max="5386" width="15.109375" bestFit="1" customWidth="1"/>
    <col min="5633" max="5633" width="5.33203125" bestFit="1" customWidth="1"/>
    <col min="5634" max="5634" width="40" customWidth="1"/>
    <col min="5635" max="5635" width="5.6640625" bestFit="1" customWidth="1"/>
    <col min="5636" max="5636" width="9.5546875" bestFit="1" customWidth="1"/>
    <col min="5637" max="5637" width="12.6640625" bestFit="1" customWidth="1"/>
    <col min="5638" max="5638" width="16.88671875" bestFit="1" customWidth="1"/>
    <col min="5640" max="5640" width="16.6640625" bestFit="1" customWidth="1"/>
    <col min="5642" max="5642" width="15.109375" bestFit="1" customWidth="1"/>
    <col min="5889" max="5889" width="5.33203125" bestFit="1" customWidth="1"/>
    <col min="5890" max="5890" width="40" customWidth="1"/>
    <col min="5891" max="5891" width="5.6640625" bestFit="1" customWidth="1"/>
    <col min="5892" max="5892" width="9.5546875" bestFit="1" customWidth="1"/>
    <col min="5893" max="5893" width="12.6640625" bestFit="1" customWidth="1"/>
    <col min="5894" max="5894" width="16.88671875" bestFit="1" customWidth="1"/>
    <col min="5896" max="5896" width="16.6640625" bestFit="1" customWidth="1"/>
    <col min="5898" max="5898" width="15.109375" bestFit="1" customWidth="1"/>
    <col min="6145" max="6145" width="5.33203125" bestFit="1" customWidth="1"/>
    <col min="6146" max="6146" width="40" customWidth="1"/>
    <col min="6147" max="6147" width="5.6640625" bestFit="1" customWidth="1"/>
    <col min="6148" max="6148" width="9.5546875" bestFit="1" customWidth="1"/>
    <col min="6149" max="6149" width="12.6640625" bestFit="1" customWidth="1"/>
    <col min="6150" max="6150" width="16.88671875" bestFit="1" customWidth="1"/>
    <col min="6152" max="6152" width="16.6640625" bestFit="1" customWidth="1"/>
    <col min="6154" max="6154" width="15.109375" bestFit="1" customWidth="1"/>
    <col min="6401" max="6401" width="5.33203125" bestFit="1" customWidth="1"/>
    <col min="6402" max="6402" width="40" customWidth="1"/>
    <col min="6403" max="6403" width="5.6640625" bestFit="1" customWidth="1"/>
    <col min="6404" max="6404" width="9.5546875" bestFit="1" customWidth="1"/>
    <col min="6405" max="6405" width="12.6640625" bestFit="1" customWidth="1"/>
    <col min="6406" max="6406" width="16.88671875" bestFit="1" customWidth="1"/>
    <col min="6408" max="6408" width="16.6640625" bestFit="1" customWidth="1"/>
    <col min="6410" max="6410" width="15.109375" bestFit="1" customWidth="1"/>
    <col min="6657" max="6657" width="5.33203125" bestFit="1" customWidth="1"/>
    <col min="6658" max="6658" width="40" customWidth="1"/>
    <col min="6659" max="6659" width="5.6640625" bestFit="1" customWidth="1"/>
    <col min="6660" max="6660" width="9.5546875" bestFit="1" customWidth="1"/>
    <col min="6661" max="6661" width="12.6640625" bestFit="1" customWidth="1"/>
    <col min="6662" max="6662" width="16.88671875" bestFit="1" customWidth="1"/>
    <col min="6664" max="6664" width="16.6640625" bestFit="1" customWidth="1"/>
    <col min="6666" max="6666" width="15.109375" bestFit="1" customWidth="1"/>
    <col min="6913" max="6913" width="5.33203125" bestFit="1" customWidth="1"/>
    <col min="6914" max="6914" width="40" customWidth="1"/>
    <col min="6915" max="6915" width="5.6640625" bestFit="1" customWidth="1"/>
    <col min="6916" max="6916" width="9.5546875" bestFit="1" customWidth="1"/>
    <col min="6917" max="6917" width="12.6640625" bestFit="1" customWidth="1"/>
    <col min="6918" max="6918" width="16.88671875" bestFit="1" customWidth="1"/>
    <col min="6920" max="6920" width="16.6640625" bestFit="1" customWidth="1"/>
    <col min="6922" max="6922" width="15.109375" bestFit="1" customWidth="1"/>
    <col min="7169" max="7169" width="5.33203125" bestFit="1" customWidth="1"/>
    <col min="7170" max="7170" width="40" customWidth="1"/>
    <col min="7171" max="7171" width="5.6640625" bestFit="1" customWidth="1"/>
    <col min="7172" max="7172" width="9.5546875" bestFit="1" customWidth="1"/>
    <col min="7173" max="7173" width="12.6640625" bestFit="1" customWidth="1"/>
    <col min="7174" max="7174" width="16.88671875" bestFit="1" customWidth="1"/>
    <col min="7176" max="7176" width="16.6640625" bestFit="1" customWidth="1"/>
    <col min="7178" max="7178" width="15.109375" bestFit="1" customWidth="1"/>
    <col min="7425" max="7425" width="5.33203125" bestFit="1" customWidth="1"/>
    <col min="7426" max="7426" width="40" customWidth="1"/>
    <col min="7427" max="7427" width="5.6640625" bestFit="1" customWidth="1"/>
    <col min="7428" max="7428" width="9.5546875" bestFit="1" customWidth="1"/>
    <col min="7429" max="7429" width="12.6640625" bestFit="1" customWidth="1"/>
    <col min="7430" max="7430" width="16.88671875" bestFit="1" customWidth="1"/>
    <col min="7432" max="7432" width="16.6640625" bestFit="1" customWidth="1"/>
    <col min="7434" max="7434" width="15.109375" bestFit="1" customWidth="1"/>
    <col min="7681" max="7681" width="5.33203125" bestFit="1" customWidth="1"/>
    <col min="7682" max="7682" width="40" customWidth="1"/>
    <col min="7683" max="7683" width="5.6640625" bestFit="1" customWidth="1"/>
    <col min="7684" max="7684" width="9.5546875" bestFit="1" customWidth="1"/>
    <col min="7685" max="7685" width="12.6640625" bestFit="1" customWidth="1"/>
    <col min="7686" max="7686" width="16.88671875" bestFit="1" customWidth="1"/>
    <col min="7688" max="7688" width="16.6640625" bestFit="1" customWidth="1"/>
    <col min="7690" max="7690" width="15.109375" bestFit="1" customWidth="1"/>
    <col min="7937" max="7937" width="5.33203125" bestFit="1" customWidth="1"/>
    <col min="7938" max="7938" width="40" customWidth="1"/>
    <col min="7939" max="7939" width="5.6640625" bestFit="1" customWidth="1"/>
    <col min="7940" max="7940" width="9.5546875" bestFit="1" customWidth="1"/>
    <col min="7941" max="7941" width="12.6640625" bestFit="1" customWidth="1"/>
    <col min="7942" max="7942" width="16.88671875" bestFit="1" customWidth="1"/>
    <col min="7944" max="7944" width="16.6640625" bestFit="1" customWidth="1"/>
    <col min="7946" max="7946" width="15.109375" bestFit="1" customWidth="1"/>
    <col min="8193" max="8193" width="5.33203125" bestFit="1" customWidth="1"/>
    <col min="8194" max="8194" width="40" customWidth="1"/>
    <col min="8195" max="8195" width="5.6640625" bestFit="1" customWidth="1"/>
    <col min="8196" max="8196" width="9.5546875" bestFit="1" customWidth="1"/>
    <col min="8197" max="8197" width="12.6640625" bestFit="1" customWidth="1"/>
    <col min="8198" max="8198" width="16.88671875" bestFit="1" customWidth="1"/>
    <col min="8200" max="8200" width="16.6640625" bestFit="1" customWidth="1"/>
    <col min="8202" max="8202" width="15.109375" bestFit="1" customWidth="1"/>
    <col min="8449" max="8449" width="5.33203125" bestFit="1" customWidth="1"/>
    <col min="8450" max="8450" width="40" customWidth="1"/>
    <col min="8451" max="8451" width="5.6640625" bestFit="1" customWidth="1"/>
    <col min="8452" max="8452" width="9.5546875" bestFit="1" customWidth="1"/>
    <col min="8453" max="8453" width="12.6640625" bestFit="1" customWidth="1"/>
    <col min="8454" max="8454" width="16.88671875" bestFit="1" customWidth="1"/>
    <col min="8456" max="8456" width="16.6640625" bestFit="1" customWidth="1"/>
    <col min="8458" max="8458" width="15.109375" bestFit="1" customWidth="1"/>
    <col min="8705" max="8705" width="5.33203125" bestFit="1" customWidth="1"/>
    <col min="8706" max="8706" width="40" customWidth="1"/>
    <col min="8707" max="8707" width="5.6640625" bestFit="1" customWidth="1"/>
    <col min="8708" max="8708" width="9.5546875" bestFit="1" customWidth="1"/>
    <col min="8709" max="8709" width="12.6640625" bestFit="1" customWidth="1"/>
    <col min="8710" max="8710" width="16.88671875" bestFit="1" customWidth="1"/>
    <col min="8712" max="8712" width="16.6640625" bestFit="1" customWidth="1"/>
    <col min="8714" max="8714" width="15.109375" bestFit="1" customWidth="1"/>
    <col min="8961" max="8961" width="5.33203125" bestFit="1" customWidth="1"/>
    <col min="8962" max="8962" width="40" customWidth="1"/>
    <col min="8963" max="8963" width="5.6640625" bestFit="1" customWidth="1"/>
    <col min="8964" max="8964" width="9.5546875" bestFit="1" customWidth="1"/>
    <col min="8965" max="8965" width="12.6640625" bestFit="1" customWidth="1"/>
    <col min="8966" max="8966" width="16.88671875" bestFit="1" customWidth="1"/>
    <col min="8968" max="8968" width="16.6640625" bestFit="1" customWidth="1"/>
    <col min="8970" max="8970" width="15.109375" bestFit="1" customWidth="1"/>
    <col min="9217" max="9217" width="5.33203125" bestFit="1" customWidth="1"/>
    <col min="9218" max="9218" width="40" customWidth="1"/>
    <col min="9219" max="9219" width="5.6640625" bestFit="1" customWidth="1"/>
    <col min="9220" max="9220" width="9.5546875" bestFit="1" customWidth="1"/>
    <col min="9221" max="9221" width="12.6640625" bestFit="1" customWidth="1"/>
    <col min="9222" max="9222" width="16.88671875" bestFit="1" customWidth="1"/>
    <col min="9224" max="9224" width="16.6640625" bestFit="1" customWidth="1"/>
    <col min="9226" max="9226" width="15.109375" bestFit="1" customWidth="1"/>
    <col min="9473" max="9473" width="5.33203125" bestFit="1" customWidth="1"/>
    <col min="9474" max="9474" width="40" customWidth="1"/>
    <col min="9475" max="9475" width="5.6640625" bestFit="1" customWidth="1"/>
    <col min="9476" max="9476" width="9.5546875" bestFit="1" customWidth="1"/>
    <col min="9477" max="9477" width="12.6640625" bestFit="1" customWidth="1"/>
    <col min="9478" max="9478" width="16.88671875" bestFit="1" customWidth="1"/>
    <col min="9480" max="9480" width="16.6640625" bestFit="1" customWidth="1"/>
    <col min="9482" max="9482" width="15.109375" bestFit="1" customWidth="1"/>
    <col min="9729" max="9729" width="5.33203125" bestFit="1" customWidth="1"/>
    <col min="9730" max="9730" width="40" customWidth="1"/>
    <col min="9731" max="9731" width="5.6640625" bestFit="1" customWidth="1"/>
    <col min="9732" max="9732" width="9.5546875" bestFit="1" customWidth="1"/>
    <col min="9733" max="9733" width="12.6640625" bestFit="1" customWidth="1"/>
    <col min="9734" max="9734" width="16.88671875" bestFit="1" customWidth="1"/>
    <col min="9736" max="9736" width="16.6640625" bestFit="1" customWidth="1"/>
    <col min="9738" max="9738" width="15.109375" bestFit="1" customWidth="1"/>
    <col min="9985" max="9985" width="5.33203125" bestFit="1" customWidth="1"/>
    <col min="9986" max="9986" width="40" customWidth="1"/>
    <col min="9987" max="9987" width="5.6640625" bestFit="1" customWidth="1"/>
    <col min="9988" max="9988" width="9.5546875" bestFit="1" customWidth="1"/>
    <col min="9989" max="9989" width="12.6640625" bestFit="1" customWidth="1"/>
    <col min="9990" max="9990" width="16.88671875" bestFit="1" customWidth="1"/>
    <col min="9992" max="9992" width="16.6640625" bestFit="1" customWidth="1"/>
    <col min="9994" max="9994" width="15.109375" bestFit="1" customWidth="1"/>
    <col min="10241" max="10241" width="5.33203125" bestFit="1" customWidth="1"/>
    <col min="10242" max="10242" width="40" customWidth="1"/>
    <col min="10243" max="10243" width="5.6640625" bestFit="1" customWidth="1"/>
    <col min="10244" max="10244" width="9.5546875" bestFit="1" customWidth="1"/>
    <col min="10245" max="10245" width="12.6640625" bestFit="1" customWidth="1"/>
    <col min="10246" max="10246" width="16.88671875" bestFit="1" customWidth="1"/>
    <col min="10248" max="10248" width="16.6640625" bestFit="1" customWidth="1"/>
    <col min="10250" max="10250" width="15.109375" bestFit="1" customWidth="1"/>
    <col min="10497" max="10497" width="5.33203125" bestFit="1" customWidth="1"/>
    <col min="10498" max="10498" width="40" customWidth="1"/>
    <col min="10499" max="10499" width="5.6640625" bestFit="1" customWidth="1"/>
    <col min="10500" max="10500" width="9.5546875" bestFit="1" customWidth="1"/>
    <col min="10501" max="10501" width="12.6640625" bestFit="1" customWidth="1"/>
    <col min="10502" max="10502" width="16.88671875" bestFit="1" customWidth="1"/>
    <col min="10504" max="10504" width="16.6640625" bestFit="1" customWidth="1"/>
    <col min="10506" max="10506" width="15.109375" bestFit="1" customWidth="1"/>
    <col min="10753" max="10753" width="5.33203125" bestFit="1" customWidth="1"/>
    <col min="10754" max="10754" width="40" customWidth="1"/>
    <col min="10755" max="10755" width="5.6640625" bestFit="1" customWidth="1"/>
    <col min="10756" max="10756" width="9.5546875" bestFit="1" customWidth="1"/>
    <col min="10757" max="10757" width="12.6640625" bestFit="1" customWidth="1"/>
    <col min="10758" max="10758" width="16.88671875" bestFit="1" customWidth="1"/>
    <col min="10760" max="10760" width="16.6640625" bestFit="1" customWidth="1"/>
    <col min="10762" max="10762" width="15.109375" bestFit="1" customWidth="1"/>
    <col min="11009" max="11009" width="5.33203125" bestFit="1" customWidth="1"/>
    <col min="11010" max="11010" width="40" customWidth="1"/>
    <col min="11011" max="11011" width="5.6640625" bestFit="1" customWidth="1"/>
    <col min="11012" max="11012" width="9.5546875" bestFit="1" customWidth="1"/>
    <col min="11013" max="11013" width="12.6640625" bestFit="1" customWidth="1"/>
    <col min="11014" max="11014" width="16.88671875" bestFit="1" customWidth="1"/>
    <col min="11016" max="11016" width="16.6640625" bestFit="1" customWidth="1"/>
    <col min="11018" max="11018" width="15.109375" bestFit="1" customWidth="1"/>
    <col min="11265" max="11265" width="5.33203125" bestFit="1" customWidth="1"/>
    <col min="11266" max="11266" width="40" customWidth="1"/>
    <col min="11267" max="11267" width="5.6640625" bestFit="1" customWidth="1"/>
    <col min="11268" max="11268" width="9.5546875" bestFit="1" customWidth="1"/>
    <col min="11269" max="11269" width="12.6640625" bestFit="1" customWidth="1"/>
    <col min="11270" max="11270" width="16.88671875" bestFit="1" customWidth="1"/>
    <col min="11272" max="11272" width="16.6640625" bestFit="1" customWidth="1"/>
    <col min="11274" max="11274" width="15.109375" bestFit="1" customWidth="1"/>
    <col min="11521" max="11521" width="5.33203125" bestFit="1" customWidth="1"/>
    <col min="11522" max="11522" width="40" customWidth="1"/>
    <col min="11523" max="11523" width="5.6640625" bestFit="1" customWidth="1"/>
    <col min="11524" max="11524" width="9.5546875" bestFit="1" customWidth="1"/>
    <col min="11525" max="11525" width="12.6640625" bestFit="1" customWidth="1"/>
    <col min="11526" max="11526" width="16.88671875" bestFit="1" customWidth="1"/>
    <col min="11528" max="11528" width="16.6640625" bestFit="1" customWidth="1"/>
    <col min="11530" max="11530" width="15.109375" bestFit="1" customWidth="1"/>
    <col min="11777" max="11777" width="5.33203125" bestFit="1" customWidth="1"/>
    <col min="11778" max="11778" width="40" customWidth="1"/>
    <col min="11779" max="11779" width="5.6640625" bestFit="1" customWidth="1"/>
    <col min="11780" max="11780" width="9.5546875" bestFit="1" customWidth="1"/>
    <col min="11781" max="11781" width="12.6640625" bestFit="1" customWidth="1"/>
    <col min="11782" max="11782" width="16.88671875" bestFit="1" customWidth="1"/>
    <col min="11784" max="11784" width="16.6640625" bestFit="1" customWidth="1"/>
    <col min="11786" max="11786" width="15.109375" bestFit="1" customWidth="1"/>
    <col min="12033" max="12033" width="5.33203125" bestFit="1" customWidth="1"/>
    <col min="12034" max="12034" width="40" customWidth="1"/>
    <col min="12035" max="12035" width="5.6640625" bestFit="1" customWidth="1"/>
    <col min="12036" max="12036" width="9.5546875" bestFit="1" customWidth="1"/>
    <col min="12037" max="12037" width="12.6640625" bestFit="1" customWidth="1"/>
    <col min="12038" max="12038" width="16.88671875" bestFit="1" customWidth="1"/>
    <col min="12040" max="12040" width="16.6640625" bestFit="1" customWidth="1"/>
    <col min="12042" max="12042" width="15.109375" bestFit="1" customWidth="1"/>
    <col min="12289" max="12289" width="5.33203125" bestFit="1" customWidth="1"/>
    <col min="12290" max="12290" width="40" customWidth="1"/>
    <col min="12291" max="12291" width="5.6640625" bestFit="1" customWidth="1"/>
    <col min="12292" max="12292" width="9.5546875" bestFit="1" customWidth="1"/>
    <col min="12293" max="12293" width="12.6640625" bestFit="1" customWidth="1"/>
    <col min="12294" max="12294" width="16.88671875" bestFit="1" customWidth="1"/>
    <col min="12296" max="12296" width="16.6640625" bestFit="1" customWidth="1"/>
    <col min="12298" max="12298" width="15.109375" bestFit="1" customWidth="1"/>
    <col min="12545" max="12545" width="5.33203125" bestFit="1" customWidth="1"/>
    <col min="12546" max="12546" width="40" customWidth="1"/>
    <col min="12547" max="12547" width="5.6640625" bestFit="1" customWidth="1"/>
    <col min="12548" max="12548" width="9.5546875" bestFit="1" customWidth="1"/>
    <col min="12549" max="12549" width="12.6640625" bestFit="1" customWidth="1"/>
    <col min="12550" max="12550" width="16.88671875" bestFit="1" customWidth="1"/>
    <col min="12552" max="12552" width="16.6640625" bestFit="1" customWidth="1"/>
    <col min="12554" max="12554" width="15.109375" bestFit="1" customWidth="1"/>
    <col min="12801" max="12801" width="5.33203125" bestFit="1" customWidth="1"/>
    <col min="12802" max="12802" width="40" customWidth="1"/>
    <col min="12803" max="12803" width="5.6640625" bestFit="1" customWidth="1"/>
    <col min="12804" max="12804" width="9.5546875" bestFit="1" customWidth="1"/>
    <col min="12805" max="12805" width="12.6640625" bestFit="1" customWidth="1"/>
    <col min="12806" max="12806" width="16.88671875" bestFit="1" customWidth="1"/>
    <col min="12808" max="12808" width="16.6640625" bestFit="1" customWidth="1"/>
    <col min="12810" max="12810" width="15.109375" bestFit="1" customWidth="1"/>
    <col min="13057" max="13057" width="5.33203125" bestFit="1" customWidth="1"/>
    <col min="13058" max="13058" width="40" customWidth="1"/>
    <col min="13059" max="13059" width="5.6640625" bestFit="1" customWidth="1"/>
    <col min="13060" max="13060" width="9.5546875" bestFit="1" customWidth="1"/>
    <col min="13061" max="13061" width="12.6640625" bestFit="1" customWidth="1"/>
    <col min="13062" max="13062" width="16.88671875" bestFit="1" customWidth="1"/>
    <col min="13064" max="13064" width="16.6640625" bestFit="1" customWidth="1"/>
    <col min="13066" max="13066" width="15.109375" bestFit="1" customWidth="1"/>
    <col min="13313" max="13313" width="5.33203125" bestFit="1" customWidth="1"/>
    <col min="13314" max="13314" width="40" customWidth="1"/>
    <col min="13315" max="13315" width="5.6640625" bestFit="1" customWidth="1"/>
    <col min="13316" max="13316" width="9.5546875" bestFit="1" customWidth="1"/>
    <col min="13317" max="13317" width="12.6640625" bestFit="1" customWidth="1"/>
    <col min="13318" max="13318" width="16.88671875" bestFit="1" customWidth="1"/>
    <col min="13320" max="13320" width="16.6640625" bestFit="1" customWidth="1"/>
    <col min="13322" max="13322" width="15.109375" bestFit="1" customWidth="1"/>
    <col min="13569" max="13569" width="5.33203125" bestFit="1" customWidth="1"/>
    <col min="13570" max="13570" width="40" customWidth="1"/>
    <col min="13571" max="13571" width="5.6640625" bestFit="1" customWidth="1"/>
    <col min="13572" max="13572" width="9.5546875" bestFit="1" customWidth="1"/>
    <col min="13573" max="13573" width="12.6640625" bestFit="1" customWidth="1"/>
    <col min="13574" max="13574" width="16.88671875" bestFit="1" customWidth="1"/>
    <col min="13576" max="13576" width="16.6640625" bestFit="1" customWidth="1"/>
    <col min="13578" max="13578" width="15.109375" bestFit="1" customWidth="1"/>
    <col min="13825" max="13825" width="5.33203125" bestFit="1" customWidth="1"/>
    <col min="13826" max="13826" width="40" customWidth="1"/>
    <col min="13827" max="13827" width="5.6640625" bestFit="1" customWidth="1"/>
    <col min="13828" max="13828" width="9.5546875" bestFit="1" customWidth="1"/>
    <col min="13829" max="13829" width="12.6640625" bestFit="1" customWidth="1"/>
    <col min="13830" max="13830" width="16.88671875" bestFit="1" customWidth="1"/>
    <col min="13832" max="13832" width="16.6640625" bestFit="1" customWidth="1"/>
    <col min="13834" max="13834" width="15.109375" bestFit="1" customWidth="1"/>
    <col min="14081" max="14081" width="5.33203125" bestFit="1" customWidth="1"/>
    <col min="14082" max="14082" width="40" customWidth="1"/>
    <col min="14083" max="14083" width="5.6640625" bestFit="1" customWidth="1"/>
    <col min="14084" max="14084" width="9.5546875" bestFit="1" customWidth="1"/>
    <col min="14085" max="14085" width="12.6640625" bestFit="1" customWidth="1"/>
    <col min="14086" max="14086" width="16.88671875" bestFit="1" customWidth="1"/>
    <col min="14088" max="14088" width="16.6640625" bestFit="1" customWidth="1"/>
    <col min="14090" max="14090" width="15.109375" bestFit="1" customWidth="1"/>
    <col min="14337" max="14337" width="5.33203125" bestFit="1" customWidth="1"/>
    <col min="14338" max="14338" width="40" customWidth="1"/>
    <col min="14339" max="14339" width="5.6640625" bestFit="1" customWidth="1"/>
    <col min="14340" max="14340" width="9.5546875" bestFit="1" customWidth="1"/>
    <col min="14341" max="14341" width="12.6640625" bestFit="1" customWidth="1"/>
    <col min="14342" max="14342" width="16.88671875" bestFit="1" customWidth="1"/>
    <col min="14344" max="14344" width="16.6640625" bestFit="1" customWidth="1"/>
    <col min="14346" max="14346" width="15.109375" bestFit="1" customWidth="1"/>
    <col min="14593" max="14593" width="5.33203125" bestFit="1" customWidth="1"/>
    <col min="14594" max="14594" width="40" customWidth="1"/>
    <col min="14595" max="14595" width="5.6640625" bestFit="1" customWidth="1"/>
    <col min="14596" max="14596" width="9.5546875" bestFit="1" customWidth="1"/>
    <col min="14597" max="14597" width="12.6640625" bestFit="1" customWidth="1"/>
    <col min="14598" max="14598" width="16.88671875" bestFit="1" customWidth="1"/>
    <col min="14600" max="14600" width="16.6640625" bestFit="1" customWidth="1"/>
    <col min="14602" max="14602" width="15.109375" bestFit="1" customWidth="1"/>
    <col min="14849" max="14849" width="5.33203125" bestFit="1" customWidth="1"/>
    <col min="14850" max="14850" width="40" customWidth="1"/>
    <col min="14851" max="14851" width="5.6640625" bestFit="1" customWidth="1"/>
    <col min="14852" max="14852" width="9.5546875" bestFit="1" customWidth="1"/>
    <col min="14853" max="14853" width="12.6640625" bestFit="1" customWidth="1"/>
    <col min="14854" max="14854" width="16.88671875" bestFit="1" customWidth="1"/>
    <col min="14856" max="14856" width="16.6640625" bestFit="1" customWidth="1"/>
    <col min="14858" max="14858" width="15.109375" bestFit="1" customWidth="1"/>
    <col min="15105" max="15105" width="5.33203125" bestFit="1" customWidth="1"/>
    <col min="15106" max="15106" width="40" customWidth="1"/>
    <col min="15107" max="15107" width="5.6640625" bestFit="1" customWidth="1"/>
    <col min="15108" max="15108" width="9.5546875" bestFit="1" customWidth="1"/>
    <col min="15109" max="15109" width="12.6640625" bestFit="1" customWidth="1"/>
    <col min="15110" max="15110" width="16.88671875" bestFit="1" customWidth="1"/>
    <col min="15112" max="15112" width="16.6640625" bestFit="1" customWidth="1"/>
    <col min="15114" max="15114" width="15.109375" bestFit="1" customWidth="1"/>
    <col min="15361" max="15361" width="5.33203125" bestFit="1" customWidth="1"/>
    <col min="15362" max="15362" width="40" customWidth="1"/>
    <col min="15363" max="15363" width="5.6640625" bestFit="1" customWidth="1"/>
    <col min="15364" max="15364" width="9.5546875" bestFit="1" customWidth="1"/>
    <col min="15365" max="15365" width="12.6640625" bestFit="1" customWidth="1"/>
    <col min="15366" max="15366" width="16.88671875" bestFit="1" customWidth="1"/>
    <col min="15368" max="15368" width="16.6640625" bestFit="1" customWidth="1"/>
    <col min="15370" max="15370" width="15.109375" bestFit="1" customWidth="1"/>
    <col min="15617" max="15617" width="5.33203125" bestFit="1" customWidth="1"/>
    <col min="15618" max="15618" width="40" customWidth="1"/>
    <col min="15619" max="15619" width="5.6640625" bestFit="1" customWidth="1"/>
    <col min="15620" max="15620" width="9.5546875" bestFit="1" customWidth="1"/>
    <col min="15621" max="15621" width="12.6640625" bestFit="1" customWidth="1"/>
    <col min="15622" max="15622" width="16.88671875" bestFit="1" customWidth="1"/>
    <col min="15624" max="15624" width="16.6640625" bestFit="1" customWidth="1"/>
    <col min="15626" max="15626" width="15.109375" bestFit="1" customWidth="1"/>
    <col min="15873" max="15873" width="5.33203125" bestFit="1" customWidth="1"/>
    <col min="15874" max="15874" width="40" customWidth="1"/>
    <col min="15875" max="15875" width="5.6640625" bestFit="1" customWidth="1"/>
    <col min="15876" max="15876" width="9.5546875" bestFit="1" customWidth="1"/>
    <col min="15877" max="15877" width="12.6640625" bestFit="1" customWidth="1"/>
    <col min="15878" max="15878" width="16.88671875" bestFit="1" customWidth="1"/>
    <col min="15880" max="15880" width="16.6640625" bestFit="1" customWidth="1"/>
    <col min="15882" max="15882" width="15.109375" bestFit="1" customWidth="1"/>
    <col min="16129" max="16129" width="5.33203125" bestFit="1" customWidth="1"/>
    <col min="16130" max="16130" width="40" customWidth="1"/>
    <col min="16131" max="16131" width="5.6640625" bestFit="1" customWidth="1"/>
    <col min="16132" max="16132" width="9.5546875" bestFit="1" customWidth="1"/>
    <col min="16133" max="16133" width="12.6640625" bestFit="1" customWidth="1"/>
    <col min="16134" max="16134" width="16.88671875" bestFit="1" customWidth="1"/>
    <col min="16136" max="16136" width="16.6640625" bestFit="1" customWidth="1"/>
    <col min="16138" max="16138" width="15.109375" bestFit="1" customWidth="1"/>
  </cols>
  <sheetData>
    <row r="1" spans="1:6" ht="15" thickBot="1" x14ac:dyDescent="0.35"/>
    <row r="2" spans="1:6" ht="42.75" customHeight="1" thickTop="1" thickBot="1" x14ac:dyDescent="0.35">
      <c r="A2" s="530" t="s">
        <v>292</v>
      </c>
      <c r="B2" s="531"/>
      <c r="C2" s="531"/>
      <c r="D2" s="531"/>
      <c r="E2" s="531"/>
      <c r="F2" s="532"/>
    </row>
    <row r="3" spans="1:6" ht="15.6" thickTop="1" thickBot="1" x14ac:dyDescent="0.35">
      <c r="A3" s="2"/>
      <c r="B3" s="3"/>
      <c r="C3" s="105"/>
      <c r="D3" s="4"/>
      <c r="E3" s="4"/>
      <c r="F3" s="4"/>
    </row>
    <row r="4" spans="1:6" ht="15.6" thickTop="1" thickBot="1" x14ac:dyDescent="0.35">
      <c r="A4" s="533" t="s">
        <v>62</v>
      </c>
      <c r="B4" s="534"/>
      <c r="C4" s="534"/>
      <c r="D4" s="534"/>
      <c r="E4" s="534"/>
      <c r="F4" s="535"/>
    </row>
    <row r="5" spans="1:6" ht="15" thickTop="1" x14ac:dyDescent="0.3">
      <c r="A5" s="2"/>
      <c r="B5" s="3"/>
      <c r="C5" s="105"/>
      <c r="D5" s="4"/>
      <c r="E5" s="4"/>
      <c r="F5" s="4"/>
    </row>
    <row r="6" spans="1:6" ht="15" thickBot="1" x14ac:dyDescent="0.35">
      <c r="A6" s="5" t="s">
        <v>9</v>
      </c>
      <c r="B6" s="526" t="s">
        <v>293</v>
      </c>
      <c r="C6" s="526"/>
      <c r="D6" s="526"/>
      <c r="E6" s="526"/>
      <c r="F6" s="526"/>
    </row>
    <row r="7" spans="1:6" s="1" customFormat="1" ht="15" thickTop="1" thickBot="1" x14ac:dyDescent="0.3">
      <c r="A7" s="6" t="s">
        <v>0</v>
      </c>
      <c r="B7" s="7" t="s">
        <v>10</v>
      </c>
      <c r="C7" s="7" t="s">
        <v>1</v>
      </c>
      <c r="D7" s="7" t="s">
        <v>2</v>
      </c>
      <c r="E7" s="7" t="s">
        <v>11</v>
      </c>
      <c r="F7" s="7" t="s">
        <v>3</v>
      </c>
    </row>
    <row r="8" spans="1:6" ht="15" thickTop="1" x14ac:dyDescent="0.3">
      <c r="A8" s="146">
        <v>1.1000000000000001</v>
      </c>
      <c r="B8" s="11" t="s">
        <v>68</v>
      </c>
      <c r="C8" s="109" t="s">
        <v>45</v>
      </c>
      <c r="D8" s="89">
        <v>2.8</v>
      </c>
      <c r="E8" s="13" t="e">
        <f>+#REF!</f>
        <v>#REF!</v>
      </c>
      <c r="F8" s="13" t="e">
        <f>+D8*E8</f>
        <v>#REF!</v>
      </c>
    </row>
    <row r="9" spans="1:6" x14ac:dyDescent="0.3">
      <c r="A9" s="146">
        <f>+A8+0.1</f>
        <v>1.2000000000000002</v>
      </c>
      <c r="B9" s="11" t="s">
        <v>294</v>
      </c>
      <c r="C9" s="109" t="s">
        <v>83</v>
      </c>
      <c r="D9" s="89">
        <v>6.6</v>
      </c>
      <c r="E9" s="13" t="e">
        <f>+#REF!</f>
        <v>#REF!</v>
      </c>
      <c r="F9" s="13" t="e">
        <f t="shared" ref="F9:F24" si="0">+D9*E9</f>
        <v>#REF!</v>
      </c>
    </row>
    <row r="10" spans="1:6" ht="20.399999999999999" x14ac:dyDescent="0.3">
      <c r="A10" s="146">
        <f t="shared" ref="A10:A24" si="1">+A9+0.1</f>
        <v>1.3000000000000003</v>
      </c>
      <c r="B10" s="11" t="s">
        <v>295</v>
      </c>
      <c r="C10" s="109" t="s">
        <v>83</v>
      </c>
      <c r="D10" s="89">
        <v>8.5</v>
      </c>
      <c r="E10" s="13" t="e">
        <f>+#REF!</f>
        <v>#REF!</v>
      </c>
      <c r="F10" s="13" t="e">
        <f t="shared" si="0"/>
        <v>#REF!</v>
      </c>
    </row>
    <row r="11" spans="1:6" x14ac:dyDescent="0.3">
      <c r="A11" s="146">
        <f t="shared" si="1"/>
        <v>1.4000000000000004</v>
      </c>
      <c r="B11" s="11" t="s">
        <v>296</v>
      </c>
      <c r="C11" s="109" t="s">
        <v>83</v>
      </c>
      <c r="D11" s="89">
        <v>6.6</v>
      </c>
      <c r="E11" s="13" t="e">
        <f>+#REF!</f>
        <v>#REF!</v>
      </c>
      <c r="F11" s="13" t="e">
        <f t="shared" si="0"/>
        <v>#REF!</v>
      </c>
    </row>
    <row r="12" spans="1:6" x14ac:dyDescent="0.3">
      <c r="A12" s="146">
        <f t="shared" si="1"/>
        <v>1.5000000000000004</v>
      </c>
      <c r="B12" s="11" t="s">
        <v>297</v>
      </c>
      <c r="C12" s="109" t="s">
        <v>298</v>
      </c>
      <c r="D12" s="89">
        <v>15.5</v>
      </c>
      <c r="E12" s="13" t="e">
        <f>+#REF!</f>
        <v>#REF!</v>
      </c>
      <c r="F12" s="13" t="e">
        <f t="shared" si="0"/>
        <v>#REF!</v>
      </c>
    </row>
    <row r="13" spans="1:6" x14ac:dyDescent="0.3">
      <c r="A13" s="146">
        <f t="shared" si="1"/>
        <v>1.6000000000000005</v>
      </c>
      <c r="B13" s="11" t="s">
        <v>299</v>
      </c>
      <c r="C13" s="109" t="s">
        <v>298</v>
      </c>
      <c r="D13" s="89">
        <v>0.2</v>
      </c>
      <c r="E13" s="13" t="e">
        <f>+#REF!</f>
        <v>#REF!</v>
      </c>
      <c r="F13" s="13" t="e">
        <f t="shared" si="0"/>
        <v>#REF!</v>
      </c>
    </row>
    <row r="14" spans="1:6" x14ac:dyDescent="0.3">
      <c r="A14" s="146">
        <f t="shared" si="1"/>
        <v>1.7000000000000006</v>
      </c>
      <c r="B14" s="11" t="s">
        <v>300</v>
      </c>
      <c r="C14" s="109" t="s">
        <v>298</v>
      </c>
      <c r="D14" s="89">
        <v>32.5</v>
      </c>
      <c r="E14" s="13" t="e">
        <f>+#REF!</f>
        <v>#REF!</v>
      </c>
      <c r="F14" s="13" t="e">
        <f t="shared" si="0"/>
        <v>#REF!</v>
      </c>
    </row>
    <row r="15" spans="1:6" ht="20.399999999999999" x14ac:dyDescent="0.3">
      <c r="A15" s="146">
        <f t="shared" si="1"/>
        <v>1.8000000000000007</v>
      </c>
      <c r="B15" s="11" t="s">
        <v>301</v>
      </c>
      <c r="C15" s="109" t="s">
        <v>83</v>
      </c>
      <c r="D15" s="89">
        <v>6.6</v>
      </c>
      <c r="E15" s="13" t="e">
        <f>+#REF!</f>
        <v>#REF!</v>
      </c>
      <c r="F15" s="13" t="e">
        <f t="shared" si="0"/>
        <v>#REF!</v>
      </c>
    </row>
    <row r="16" spans="1:6" x14ac:dyDescent="0.3">
      <c r="A16" s="146">
        <f t="shared" si="1"/>
        <v>1.9000000000000008</v>
      </c>
      <c r="B16" s="11" t="s">
        <v>302</v>
      </c>
      <c r="C16" s="109" t="s">
        <v>298</v>
      </c>
      <c r="D16" s="89">
        <v>2.8</v>
      </c>
      <c r="E16" s="13" t="e">
        <f>+#REF!</f>
        <v>#REF!</v>
      </c>
      <c r="F16" s="13" t="e">
        <f t="shared" si="0"/>
        <v>#REF!</v>
      </c>
    </row>
    <row r="17" spans="1:7" x14ac:dyDescent="0.3">
      <c r="A17" s="146">
        <f t="shared" si="1"/>
        <v>2.0000000000000009</v>
      </c>
      <c r="B17" s="11" t="s">
        <v>303</v>
      </c>
      <c r="C17" s="109" t="s">
        <v>304</v>
      </c>
      <c r="D17" s="89">
        <v>1.8</v>
      </c>
      <c r="E17" s="13">
        <f>+[3]APU!$M$621</f>
        <v>84864.01</v>
      </c>
      <c r="F17" s="13">
        <f t="shared" si="0"/>
        <v>152755.21799999999</v>
      </c>
    </row>
    <row r="18" spans="1:7" ht="20.399999999999999" x14ac:dyDescent="0.3">
      <c r="A18" s="146">
        <f t="shared" si="1"/>
        <v>2.100000000000001</v>
      </c>
      <c r="B18" s="11" t="s">
        <v>305</v>
      </c>
      <c r="C18" s="109" t="s">
        <v>298</v>
      </c>
      <c r="D18" s="89">
        <v>3.5</v>
      </c>
      <c r="E18" s="13">
        <f>+[3]APU!$M$679</f>
        <v>49720.329090909094</v>
      </c>
      <c r="F18" s="13">
        <f t="shared" si="0"/>
        <v>174021.15181818182</v>
      </c>
    </row>
    <row r="19" spans="1:7" x14ac:dyDescent="0.3">
      <c r="A19" s="146">
        <f t="shared" si="1"/>
        <v>2.2000000000000011</v>
      </c>
      <c r="B19" s="11" t="s">
        <v>306</v>
      </c>
      <c r="C19" s="109" t="s">
        <v>307</v>
      </c>
      <c r="D19" s="89">
        <v>1</v>
      </c>
      <c r="E19" s="13">
        <f>+[3]APU!$M$736</f>
        <v>324480.09179999999</v>
      </c>
      <c r="F19" s="13">
        <f t="shared" si="0"/>
        <v>324480.09179999999</v>
      </c>
    </row>
    <row r="20" spans="1:7" x14ac:dyDescent="0.3">
      <c r="A20" s="146">
        <f t="shared" si="1"/>
        <v>2.3000000000000012</v>
      </c>
      <c r="B20" s="11" t="s">
        <v>308</v>
      </c>
      <c r="C20" s="109" t="s">
        <v>307</v>
      </c>
      <c r="D20" s="89">
        <v>1</v>
      </c>
      <c r="E20" s="13">
        <f>+[3]APU!$M$794</f>
        <v>224640.00000000003</v>
      </c>
      <c r="F20" s="13">
        <f t="shared" si="0"/>
        <v>224640.00000000003</v>
      </c>
    </row>
    <row r="21" spans="1:7" ht="20.399999999999999" x14ac:dyDescent="0.3">
      <c r="A21" s="146">
        <f t="shared" si="1"/>
        <v>2.4000000000000012</v>
      </c>
      <c r="B21" s="11" t="s">
        <v>309</v>
      </c>
      <c r="C21" s="109" t="s">
        <v>307</v>
      </c>
      <c r="D21" s="89">
        <v>1</v>
      </c>
      <c r="E21" s="13">
        <f>+[3]APU!$M$853</f>
        <v>224639.99714285714</v>
      </c>
      <c r="F21" s="13">
        <f t="shared" si="0"/>
        <v>224639.99714285714</v>
      </c>
    </row>
    <row r="22" spans="1:7" x14ac:dyDescent="0.3">
      <c r="A22" s="146">
        <f t="shared" si="1"/>
        <v>2.5000000000000013</v>
      </c>
      <c r="B22" s="11" t="s">
        <v>310</v>
      </c>
      <c r="C22" s="109" t="s">
        <v>298</v>
      </c>
      <c r="D22" s="89">
        <v>32.5</v>
      </c>
      <c r="E22" s="13">
        <f>+[3]APU!$M$910</f>
        <v>18215.996666666666</v>
      </c>
      <c r="F22" s="13">
        <f t="shared" si="0"/>
        <v>592019.8916666666</v>
      </c>
    </row>
    <row r="23" spans="1:7" x14ac:dyDescent="0.3">
      <c r="A23" s="146">
        <f t="shared" si="1"/>
        <v>2.6000000000000014</v>
      </c>
      <c r="B23" s="11" t="s">
        <v>311</v>
      </c>
      <c r="C23" s="109" t="s">
        <v>312</v>
      </c>
      <c r="D23" s="89">
        <v>1</v>
      </c>
      <c r="E23" s="13">
        <f>+[3]APU!$M$970</f>
        <v>249599.99789473685</v>
      </c>
      <c r="F23" s="13">
        <f t="shared" si="0"/>
        <v>249599.99789473685</v>
      </c>
    </row>
    <row r="24" spans="1:7" x14ac:dyDescent="0.3">
      <c r="A24" s="146">
        <f t="shared" si="1"/>
        <v>2.7000000000000015</v>
      </c>
      <c r="B24" s="11" t="s">
        <v>313</v>
      </c>
      <c r="C24" s="109" t="s">
        <v>312</v>
      </c>
      <c r="D24" s="89">
        <v>1</v>
      </c>
      <c r="E24" s="13">
        <f>+[3]APU!$M$1029</f>
        <v>224640.00222222222</v>
      </c>
      <c r="F24" s="13">
        <f t="shared" si="0"/>
        <v>224640.00222222222</v>
      </c>
    </row>
    <row r="25" spans="1:7" ht="15" thickBot="1" x14ac:dyDescent="0.35">
      <c r="A25" s="18"/>
      <c r="B25" s="19"/>
      <c r="C25" s="108"/>
      <c r="D25" s="19"/>
      <c r="E25" s="20" t="s">
        <v>12</v>
      </c>
      <c r="F25" s="82" t="e">
        <f>+SUM(F8:F8)</f>
        <v>#REF!</v>
      </c>
    </row>
    <row r="26" spans="1:7" ht="15.6" thickTop="1" thickBot="1" x14ac:dyDescent="0.35">
      <c r="A26" s="124" t="s">
        <v>110</v>
      </c>
      <c r="B26" s="526" t="s">
        <v>63</v>
      </c>
      <c r="C26" s="526"/>
      <c r="D26" s="526"/>
      <c r="E26" s="526"/>
      <c r="F26" s="526"/>
    </row>
    <row r="27" spans="1:7" s="1" customFormat="1" ht="15" thickTop="1" thickBot="1" x14ac:dyDescent="0.3">
      <c r="A27" s="6" t="s">
        <v>0</v>
      </c>
      <c r="B27" s="7" t="s">
        <v>10</v>
      </c>
      <c r="C27" s="7" t="s">
        <v>1</v>
      </c>
      <c r="D27" s="7" t="s">
        <v>2</v>
      </c>
      <c r="E27" s="7" t="s">
        <v>11</v>
      </c>
      <c r="F27" s="7" t="s">
        <v>3</v>
      </c>
    </row>
    <row r="28" spans="1:7" ht="15.6" thickTop="1" thickBot="1" x14ac:dyDescent="0.35">
      <c r="A28" s="126">
        <f>+A26+0.1</f>
        <v>2.1</v>
      </c>
      <c r="B28" s="15" t="s">
        <v>81</v>
      </c>
      <c r="C28" s="107" t="s">
        <v>4</v>
      </c>
      <c r="D28" s="87">
        <f>+[4]RESUMEN!$C$16+[4]RESUMEN!$C$20+[4]RESUMEN!$C$22+[4]RESUMEN!$C$23+[5]RESUMEN!$C$16+[5]RESUMEN!$C$20+[5]RESUMEN!$C$22+[5]RESUMEN!$C$23</f>
        <v>4425.0357339733237</v>
      </c>
      <c r="E28" s="16" t="e">
        <f>+#REF!</f>
        <v>#REF!</v>
      </c>
      <c r="F28" s="17" t="e">
        <f>+D28*E28</f>
        <v>#REF!</v>
      </c>
    </row>
    <row r="29" spans="1:7" ht="15.6" thickTop="1" thickBot="1" x14ac:dyDescent="0.35">
      <c r="A29" s="125">
        <f>A28+0.1</f>
        <v>2.2000000000000002</v>
      </c>
      <c r="B29" s="15" t="s">
        <v>71</v>
      </c>
      <c r="C29" s="107" t="str">
        <f>+C28</f>
        <v>m3</v>
      </c>
      <c r="D29" s="87">
        <f>+[5]RESUMEN!$C$25+[5]RESUMEN!$C$26</f>
        <v>538.03823216688181</v>
      </c>
      <c r="E29" s="16" t="e">
        <f>+#REF!</f>
        <v>#REF!</v>
      </c>
      <c r="F29" s="17" t="e">
        <f>+D29*E29</f>
        <v>#REF!</v>
      </c>
      <c r="G29" s="102">
        <v>26013.511666666669</v>
      </c>
    </row>
    <row r="30" spans="1:7" ht="15.6" thickTop="1" thickBot="1" x14ac:dyDescent="0.35">
      <c r="A30" s="18"/>
      <c r="B30" s="19"/>
      <c r="C30" s="108"/>
      <c r="D30" s="19"/>
      <c r="E30" s="20" t="s">
        <v>12</v>
      </c>
      <c r="F30" s="82" t="e">
        <f>SUM(F28:F29)</f>
        <v>#REF!</v>
      </c>
    </row>
    <row r="31" spans="1:7" ht="15.6" thickTop="1" thickBot="1" x14ac:dyDescent="0.35">
      <c r="A31" s="124">
        <v>3</v>
      </c>
      <c r="B31" s="536" t="s">
        <v>283</v>
      </c>
      <c r="C31" s="536"/>
      <c r="D31" s="536"/>
      <c r="E31" s="536"/>
      <c r="F31" s="536"/>
    </row>
    <row r="32" spans="1:7" s="1" customFormat="1" ht="15" thickTop="1" thickBot="1" x14ac:dyDescent="0.3">
      <c r="A32" s="6" t="s">
        <v>0</v>
      </c>
      <c r="B32" s="7" t="s">
        <v>10</v>
      </c>
      <c r="C32" s="7" t="s">
        <v>1</v>
      </c>
      <c r="D32" s="7" t="s">
        <v>2</v>
      </c>
      <c r="E32" s="7" t="s">
        <v>11</v>
      </c>
      <c r="F32" s="7" t="s">
        <v>3</v>
      </c>
    </row>
    <row r="33" spans="1:8" ht="21" thickTop="1" x14ac:dyDescent="0.3">
      <c r="A33" s="126">
        <f>+A31+0.1</f>
        <v>3.1</v>
      </c>
      <c r="B33" s="8" t="s">
        <v>69</v>
      </c>
      <c r="C33" s="106" t="e">
        <f>+#REF!</f>
        <v>#REF!</v>
      </c>
      <c r="D33" s="88">
        <f>+[5]RESUMEN!$C$40+[4]RESUMEN!$C$40</f>
        <v>2264.8354819999995</v>
      </c>
      <c r="E33" s="9" t="e">
        <f>+#REF!</f>
        <v>#REF!</v>
      </c>
      <c r="F33" s="10" t="e">
        <f>+D33*E33</f>
        <v>#REF!</v>
      </c>
      <c r="G33" s="9">
        <v>15532.107666666667</v>
      </c>
    </row>
    <row r="34" spans="1:8" ht="28.5" customHeight="1" x14ac:dyDescent="0.3">
      <c r="A34" s="126">
        <f>+A33+0.1</f>
        <v>3.2</v>
      </c>
      <c r="B34" s="11" t="s">
        <v>82</v>
      </c>
      <c r="C34" s="109" t="e">
        <f>+#REF!</f>
        <v>#REF!</v>
      </c>
      <c r="D34" s="89">
        <f>+[5]RESUMEN!$C$28+[5]RESUMEN!$C$32+[4]RESUMEN!$C$28+[4]RESUMEN!$C$32</f>
        <v>1849.6048987850063</v>
      </c>
      <c r="E34" s="13" t="e">
        <f>+#REF!</f>
        <v>#REF!</v>
      </c>
      <c r="F34" s="14" t="e">
        <f>+D34*E34</f>
        <v>#REF!</v>
      </c>
      <c r="G34" s="101">
        <v>90511.366500000004</v>
      </c>
      <c r="H34" s="122"/>
    </row>
    <row r="35" spans="1:8" x14ac:dyDescent="0.3">
      <c r="A35" s="126">
        <f>+A34+0.1</f>
        <v>3.3000000000000003</v>
      </c>
      <c r="B35" s="11" t="s">
        <v>65</v>
      </c>
      <c r="C35" s="109" t="e">
        <f>+#REF!</f>
        <v>#REF!</v>
      </c>
      <c r="D35" s="89">
        <f>+[5]RESUMEN!$C$34+[5]RESUMEN!$C$38+[4]RESUMEN!$C$34+[4]RESUMEN!$C$38</f>
        <v>472.03559313039199</v>
      </c>
      <c r="E35" s="13" t="e">
        <f>+#REF!</f>
        <v>#REF!</v>
      </c>
      <c r="F35" s="14" t="e">
        <f>+D35*E35</f>
        <v>#REF!</v>
      </c>
      <c r="G35" s="13">
        <v>46744.48550000001</v>
      </c>
    </row>
    <row r="36" spans="1:8" ht="20.399999999999999" x14ac:dyDescent="0.3">
      <c r="A36" s="126">
        <f>+A35+0.1</f>
        <v>3.4000000000000004</v>
      </c>
      <c r="B36" s="11" t="s">
        <v>66</v>
      </c>
      <c r="C36" s="109" t="e">
        <f>+#REF!</f>
        <v>#REF!</v>
      </c>
      <c r="D36" s="89">
        <f>+[5]RESUMEN!$C$45+[5]RESUMEN!$C$49+[4]RESUMEN!$C$45+[4]RESUMEN!$C$49</f>
        <v>2698.2384841402072</v>
      </c>
      <c r="E36" s="13" t="e">
        <f>+#REF!</f>
        <v>#REF!</v>
      </c>
      <c r="F36" s="14" t="e">
        <f>+D36*E36</f>
        <v>#REF!</v>
      </c>
      <c r="G36" s="13">
        <v>25324.977583333333</v>
      </c>
    </row>
    <row r="37" spans="1:8" ht="31.2" thickBot="1" x14ac:dyDescent="0.35">
      <c r="A37" s="125">
        <f>+A36+0.1</f>
        <v>3.5000000000000004</v>
      </c>
      <c r="B37" s="15" t="s">
        <v>103</v>
      </c>
      <c r="C37" s="107" t="s">
        <v>45</v>
      </c>
      <c r="D37" s="87">
        <f>+[5]RESUMEN!$C$50+[4]RESUMEN!$C$50</f>
        <v>3255.6968199999997</v>
      </c>
      <c r="E37" s="16" t="e">
        <f>+#REF!</f>
        <v>#REF!</v>
      </c>
      <c r="F37" s="17" t="e">
        <f>+D37*E37</f>
        <v>#REF!</v>
      </c>
      <c r="G37" s="16">
        <v>31598.125585233327</v>
      </c>
      <c r="H37" s="122"/>
    </row>
    <row r="38" spans="1:8" ht="15.6" thickTop="1" thickBot="1" x14ac:dyDescent="0.35">
      <c r="A38" s="18"/>
      <c r="B38" s="19"/>
      <c r="C38" s="108"/>
      <c r="D38" s="19"/>
      <c r="E38" s="20" t="s">
        <v>12</v>
      </c>
      <c r="F38" s="82" t="e">
        <f>+SUM(F33:F37)</f>
        <v>#REF!</v>
      </c>
    </row>
    <row r="39" spans="1:8" ht="15.6" thickTop="1" thickBot="1" x14ac:dyDescent="0.35">
      <c r="A39" s="124">
        <v>4</v>
      </c>
      <c r="B39" s="526" t="s">
        <v>78</v>
      </c>
      <c r="C39" s="526"/>
      <c r="D39" s="526"/>
      <c r="E39" s="526"/>
      <c r="F39" s="526"/>
    </row>
    <row r="40" spans="1:8" s="1" customFormat="1" thickTop="1" x14ac:dyDescent="0.25">
      <c r="A40" s="90" t="s">
        <v>0</v>
      </c>
      <c r="B40" s="91" t="s">
        <v>10</v>
      </c>
      <c r="C40" s="91" t="s">
        <v>1</v>
      </c>
      <c r="D40" s="91" t="s">
        <v>2</v>
      </c>
      <c r="E40" s="91" t="s">
        <v>11</v>
      </c>
      <c r="F40" s="91" t="s">
        <v>3</v>
      </c>
    </row>
    <row r="41" spans="1:8" s="1" customFormat="1" ht="20.399999999999999" x14ac:dyDescent="0.25">
      <c r="A41" s="92" t="s">
        <v>114</v>
      </c>
      <c r="B41" s="120" t="s">
        <v>109</v>
      </c>
      <c r="C41" s="110" t="s">
        <v>5</v>
      </c>
      <c r="D41" s="94">
        <f>+[5]RESUMEN!$C$7</f>
        <v>2011.46</v>
      </c>
      <c r="E41" s="121" t="e">
        <f>+#REF!</f>
        <v>#REF!</v>
      </c>
      <c r="F41" s="93" t="e">
        <f>D41*E41</f>
        <v>#REF!</v>
      </c>
      <c r="G41" s="103">
        <v>69964.622645999989</v>
      </c>
    </row>
    <row r="42" spans="1:8" s="1" customFormat="1" ht="20.399999999999999" x14ac:dyDescent="0.25">
      <c r="A42" s="92" t="s">
        <v>287</v>
      </c>
      <c r="B42" s="120" t="s">
        <v>288</v>
      </c>
      <c r="C42" s="110" t="s">
        <v>5</v>
      </c>
      <c r="D42" s="94">
        <f>+[4]RESUMEN!$C$7</f>
        <v>59.28</v>
      </c>
      <c r="E42" s="121" t="e">
        <f>+#REF!</f>
        <v>#REF!</v>
      </c>
      <c r="F42" s="93" t="e">
        <f>D42*E42</f>
        <v>#REF!</v>
      </c>
      <c r="G42" s="145"/>
    </row>
    <row r="43" spans="1:8" ht="15" thickBot="1" x14ac:dyDescent="0.35">
      <c r="A43" s="18"/>
      <c r="B43" s="19"/>
      <c r="C43" s="108"/>
      <c r="D43" s="19"/>
      <c r="E43" s="20" t="s">
        <v>12</v>
      </c>
      <c r="F43" s="82" t="e">
        <f>+SUM(F41:F41)</f>
        <v>#REF!</v>
      </c>
    </row>
    <row r="44" spans="1:8" ht="15" thickTop="1" x14ac:dyDescent="0.3">
      <c r="A44" s="18"/>
      <c r="B44" s="19"/>
      <c r="C44" s="108"/>
      <c r="D44" s="19"/>
      <c r="E44" s="20"/>
      <c r="F44" s="20"/>
    </row>
    <row r="45" spans="1:8" ht="97.5" customHeight="1" x14ac:dyDescent="0.3">
      <c r="A45" s="127">
        <v>5</v>
      </c>
      <c r="B45" s="523" t="s">
        <v>70</v>
      </c>
      <c r="C45" s="524"/>
      <c r="D45" s="524"/>
      <c r="E45" s="525"/>
      <c r="F45" s="86"/>
    </row>
    <row r="46" spans="1:8" s="1" customFormat="1" thickBot="1" x14ac:dyDescent="0.3">
      <c r="A46" s="84" t="s">
        <v>0</v>
      </c>
      <c r="B46" s="85" t="s">
        <v>10</v>
      </c>
      <c r="C46" s="85" t="s">
        <v>1</v>
      </c>
      <c r="D46" s="85" t="s">
        <v>2</v>
      </c>
      <c r="E46" s="85" t="s">
        <v>11</v>
      </c>
      <c r="F46" s="85" t="s">
        <v>3</v>
      </c>
    </row>
    <row r="47" spans="1:8" ht="31.2" thickTop="1" x14ac:dyDescent="0.3">
      <c r="A47" s="126">
        <f>+A45+0.1</f>
        <v>5.0999999999999996</v>
      </c>
      <c r="B47" s="11" t="s">
        <v>284</v>
      </c>
      <c r="C47" s="109" t="s">
        <v>72</v>
      </c>
      <c r="D47" s="12">
        <f>+[5]RESUMEN!$C$52+[4]RESUMEN!$C$52</f>
        <v>41</v>
      </c>
      <c r="E47" s="13" t="e">
        <f>+#REF!</f>
        <v>#REF!</v>
      </c>
      <c r="F47" s="14" t="e">
        <f>D47*E47</f>
        <v>#REF!</v>
      </c>
      <c r="G47" s="13">
        <v>1586814.3365828069</v>
      </c>
    </row>
    <row r="48" spans="1:8" ht="30.6" x14ac:dyDescent="0.3">
      <c r="A48" s="126">
        <f>+A47+0.1</f>
        <v>5.1999999999999993</v>
      </c>
      <c r="B48" s="11" t="s">
        <v>285</v>
      </c>
      <c r="C48" s="109" t="s">
        <v>72</v>
      </c>
      <c r="D48" s="12">
        <f>+[5]RESUMEN!$C$53+[4]RESUMEN!$C$53</f>
        <v>13</v>
      </c>
      <c r="E48" s="13" t="e">
        <f>+#REF!</f>
        <v>#REF!</v>
      </c>
      <c r="F48" s="14" t="e">
        <f>D48*E48</f>
        <v>#REF!</v>
      </c>
      <c r="G48" s="13">
        <v>2246686.1025828072</v>
      </c>
    </row>
    <row r="49" spans="1:7" ht="30.6" x14ac:dyDescent="0.3">
      <c r="A49" s="126">
        <f>+A48+0.1</f>
        <v>5.2999999999999989</v>
      </c>
      <c r="B49" s="11" t="s">
        <v>286</v>
      </c>
      <c r="C49" s="109" t="s">
        <v>72</v>
      </c>
      <c r="D49" s="12">
        <f>+[5]RESUMEN!$C$54</f>
        <v>15</v>
      </c>
      <c r="E49" s="13" t="e">
        <f>+#REF!</f>
        <v>#REF!</v>
      </c>
      <c r="F49" s="14" t="e">
        <f>D49*E49</f>
        <v>#REF!</v>
      </c>
      <c r="G49" s="13">
        <v>3180149.7645828072</v>
      </c>
    </row>
    <row r="50" spans="1:7" ht="20.399999999999999" x14ac:dyDescent="0.3">
      <c r="A50" s="126">
        <f>+A49+0.1</f>
        <v>5.3999999999999986</v>
      </c>
      <c r="B50" s="11" t="s">
        <v>111</v>
      </c>
      <c r="C50" s="109" t="s">
        <v>72</v>
      </c>
      <c r="D50" s="12">
        <v>30</v>
      </c>
      <c r="E50" s="13" t="e">
        <f>+#REF!</f>
        <v>#REF!</v>
      </c>
      <c r="F50" s="14" t="e">
        <f>D50*E50</f>
        <v>#REF!</v>
      </c>
      <c r="G50" s="99"/>
    </row>
    <row r="51" spans="1:7" ht="15" thickBot="1" x14ac:dyDescent="0.35">
      <c r="A51" s="18"/>
      <c r="B51" s="19"/>
      <c r="C51" s="108"/>
      <c r="D51" s="19"/>
      <c r="E51" s="20" t="s">
        <v>12</v>
      </c>
      <c r="F51" s="82" t="e">
        <f>+SUM(F47:F50)</f>
        <v>#REF!</v>
      </c>
    </row>
    <row r="52" spans="1:7" ht="15.6" thickTop="1" thickBot="1" x14ac:dyDescent="0.35">
      <c r="A52" s="124" t="s">
        <v>113</v>
      </c>
      <c r="B52" s="526" t="s">
        <v>64</v>
      </c>
      <c r="C52" s="526"/>
      <c r="D52" s="526"/>
      <c r="E52" s="526"/>
      <c r="F52" s="526"/>
    </row>
    <row r="53" spans="1:7" s="1" customFormat="1" ht="15" thickTop="1" thickBot="1" x14ac:dyDescent="0.3">
      <c r="A53" s="6" t="s">
        <v>0</v>
      </c>
      <c r="B53" s="7" t="s">
        <v>10</v>
      </c>
      <c r="C53" s="7" t="s">
        <v>1</v>
      </c>
      <c r="D53" s="7" t="s">
        <v>2</v>
      </c>
      <c r="E53" s="7" t="s">
        <v>11</v>
      </c>
      <c r="F53" s="7" t="s">
        <v>3</v>
      </c>
    </row>
    <row r="54" spans="1:7" s="139" customFormat="1" ht="21" thickTop="1" x14ac:dyDescent="0.3">
      <c r="A54" s="140">
        <f>A52+0.1</f>
        <v>6.1</v>
      </c>
      <c r="B54" s="141" t="s">
        <v>77</v>
      </c>
      <c r="C54" s="142" t="e">
        <f>+#REF!</f>
        <v>#REF!</v>
      </c>
      <c r="D54" s="95">
        <v>162</v>
      </c>
      <c r="E54" s="143" t="e">
        <f>+#REF!</f>
        <v>#REF!</v>
      </c>
      <c r="F54" s="144" t="e">
        <f>D54*E54</f>
        <v>#REF!</v>
      </c>
      <c r="G54" s="139">
        <v>10</v>
      </c>
    </row>
    <row r="55" spans="1:7" ht="15" thickBot="1" x14ac:dyDescent="0.35">
      <c r="A55" s="19"/>
      <c r="B55" s="108"/>
      <c r="C55" s="19"/>
      <c r="D55" s="20"/>
      <c r="E55" s="19"/>
      <c r="F55" s="82" t="e">
        <f>+SUM(F54:F54)</f>
        <v>#REF!</v>
      </c>
    </row>
    <row r="56" spans="1:7" ht="27" customHeight="1" thickTop="1" thickBot="1" x14ac:dyDescent="0.35">
      <c r="A56" s="128" t="s">
        <v>87</v>
      </c>
      <c r="B56" s="527" t="s">
        <v>112</v>
      </c>
      <c r="C56" s="527"/>
      <c r="D56" s="527"/>
      <c r="E56" s="527"/>
      <c r="F56" s="527"/>
    </row>
    <row r="57" spans="1:7" ht="15.6" thickTop="1" thickBot="1" x14ac:dyDescent="0.35">
      <c r="A57" s="6" t="s">
        <v>0</v>
      </c>
      <c r="B57" s="7" t="s">
        <v>10</v>
      </c>
      <c r="C57" s="7" t="s">
        <v>1</v>
      </c>
      <c r="D57" s="7" t="s">
        <v>2</v>
      </c>
      <c r="E57" s="7" t="s">
        <v>11</v>
      </c>
      <c r="F57" s="7" t="s">
        <v>3</v>
      </c>
    </row>
    <row r="58" spans="1:7" ht="15" thickTop="1" x14ac:dyDescent="0.3">
      <c r="A58" s="129">
        <v>9.11</v>
      </c>
      <c r="B58" s="116" t="s">
        <v>115</v>
      </c>
      <c r="C58" s="116"/>
      <c r="D58" s="116"/>
      <c r="E58" s="116"/>
      <c r="F58" s="117"/>
    </row>
    <row r="59" spans="1:7" ht="16.8" x14ac:dyDescent="0.3">
      <c r="A59" s="126" t="s">
        <v>116</v>
      </c>
      <c r="B59" s="11" t="s">
        <v>81</v>
      </c>
      <c r="C59" s="109" t="s">
        <v>117</v>
      </c>
      <c r="D59" s="95">
        <v>12.11</v>
      </c>
      <c r="E59" s="13" t="e">
        <f>+#REF!</f>
        <v>#REF!</v>
      </c>
      <c r="F59" s="14" t="e">
        <f>+E59*D59</f>
        <v>#REF!</v>
      </c>
      <c r="G59">
        <f>1.1+2</f>
        <v>3.1</v>
      </c>
    </row>
    <row r="60" spans="1:7" ht="20.399999999999999" x14ac:dyDescent="0.3">
      <c r="A60" s="126" t="s">
        <v>89</v>
      </c>
      <c r="B60" s="11" t="s">
        <v>82</v>
      </c>
      <c r="C60" s="109" t="s">
        <v>117</v>
      </c>
      <c r="D60" s="131">
        <v>1.6</v>
      </c>
      <c r="E60" s="13" t="e">
        <f>+#REF!</f>
        <v>#REF!</v>
      </c>
      <c r="F60" s="14" t="e">
        <f t="shared" ref="F60:F91" si="2">+E60*D60</f>
        <v>#REF!</v>
      </c>
    </row>
    <row r="61" spans="1:7" ht="20.399999999999999" x14ac:dyDescent="0.3">
      <c r="A61" s="126" t="s">
        <v>90</v>
      </c>
      <c r="B61" s="11" t="s">
        <v>118</v>
      </c>
      <c r="C61" s="109" t="s">
        <v>117</v>
      </c>
      <c r="D61" s="95">
        <f>+D59-D60</f>
        <v>10.51</v>
      </c>
      <c r="E61" s="13" t="e">
        <f>+#REF!</f>
        <v>#REF!</v>
      </c>
      <c r="F61" s="14" t="e">
        <f t="shared" si="2"/>
        <v>#REF!</v>
      </c>
    </row>
    <row r="62" spans="1:7" ht="16.8" x14ac:dyDescent="0.3">
      <c r="A62" s="126" t="s">
        <v>91</v>
      </c>
      <c r="B62" s="11" t="s">
        <v>119</v>
      </c>
      <c r="C62" s="109" t="s">
        <v>117</v>
      </c>
      <c r="D62" s="131">
        <v>0.4</v>
      </c>
      <c r="E62" s="13" t="e">
        <f>+#REF!</f>
        <v>#REF!</v>
      </c>
      <c r="F62" s="14" t="e">
        <f t="shared" si="2"/>
        <v>#REF!</v>
      </c>
    </row>
    <row r="63" spans="1:7" ht="16.8" x14ac:dyDescent="0.3">
      <c r="A63" s="126" t="s">
        <v>92</v>
      </c>
      <c r="B63" s="11" t="s">
        <v>120</v>
      </c>
      <c r="C63" s="109" t="s">
        <v>117</v>
      </c>
      <c r="D63" s="132">
        <v>0.1</v>
      </c>
      <c r="E63" s="13" t="e">
        <f>+#REF!</f>
        <v>#REF!</v>
      </c>
      <c r="F63" s="14" t="e">
        <f t="shared" si="2"/>
        <v>#REF!</v>
      </c>
    </row>
    <row r="64" spans="1:7" ht="16.8" x14ac:dyDescent="0.3">
      <c r="A64" s="126" t="s">
        <v>93</v>
      </c>
      <c r="B64" s="11" t="s">
        <v>128</v>
      </c>
      <c r="C64" s="109" t="s">
        <v>117</v>
      </c>
      <c r="D64" s="131">
        <v>0.51</v>
      </c>
      <c r="E64" s="13" t="e">
        <f>+#REF!</f>
        <v>#REF!</v>
      </c>
      <c r="F64" s="14" t="e">
        <f t="shared" si="2"/>
        <v>#REF!</v>
      </c>
    </row>
    <row r="65" spans="1:8" ht="20.399999999999999" x14ac:dyDescent="0.3">
      <c r="A65" s="126" t="s">
        <v>94</v>
      </c>
      <c r="B65" s="11" t="s">
        <v>129</v>
      </c>
      <c r="C65" s="109" t="s">
        <v>117</v>
      </c>
      <c r="D65" s="95">
        <v>4.0999999999999996</v>
      </c>
      <c r="E65" s="13" t="e">
        <f>+#REF!</f>
        <v>#REF!</v>
      </c>
      <c r="F65" s="14" t="e">
        <f t="shared" si="2"/>
        <v>#REF!</v>
      </c>
    </row>
    <row r="66" spans="1:8" x14ac:dyDescent="0.3">
      <c r="A66" s="126" t="s">
        <v>95</v>
      </c>
      <c r="B66" s="11" t="str">
        <f>'[6]PRESUPUESTO PTAR'!$B$56</f>
        <v>Cinta PVC de e=15 cm</v>
      </c>
      <c r="C66" s="109" t="s">
        <v>121</v>
      </c>
      <c r="D66" s="95">
        <v>11.6</v>
      </c>
      <c r="E66" s="13" t="e">
        <f>+#REF!</f>
        <v>#REF!</v>
      </c>
      <c r="F66" s="14" t="e">
        <f t="shared" si="2"/>
        <v>#REF!</v>
      </c>
    </row>
    <row r="67" spans="1:8" x14ac:dyDescent="0.3">
      <c r="A67" s="126" t="s">
        <v>96</v>
      </c>
      <c r="B67" s="11" t="s">
        <v>122</v>
      </c>
      <c r="C67" s="109" t="s">
        <v>44</v>
      </c>
      <c r="D67" s="95">
        <f>+(D64+D65)*150</f>
        <v>691.49999999999989</v>
      </c>
      <c r="E67" s="13" t="e">
        <f>+#REF!</f>
        <v>#REF!</v>
      </c>
      <c r="F67" s="14" t="e">
        <f t="shared" si="2"/>
        <v>#REF!</v>
      </c>
      <c r="H67" s="135"/>
    </row>
    <row r="68" spans="1:8" ht="20.399999999999999" x14ac:dyDescent="0.3">
      <c r="A68" s="126" t="s">
        <v>97</v>
      </c>
      <c r="B68" s="11" t="s">
        <v>123</v>
      </c>
      <c r="C68" s="109" t="s">
        <v>124</v>
      </c>
      <c r="D68" s="95">
        <v>2</v>
      </c>
      <c r="E68" s="13" t="e">
        <f>+#REF!</f>
        <v>#REF!</v>
      </c>
      <c r="F68" s="14" t="e">
        <f t="shared" si="2"/>
        <v>#REF!</v>
      </c>
    </row>
    <row r="69" spans="1:8" ht="30.6" x14ac:dyDescent="0.3">
      <c r="A69" s="126" t="s">
        <v>98</v>
      </c>
      <c r="B69" s="11" t="s">
        <v>125</v>
      </c>
      <c r="C69" s="109" t="s">
        <v>124</v>
      </c>
      <c r="D69" s="95">
        <v>2</v>
      </c>
      <c r="E69" s="13" t="e">
        <f>+#REF!</f>
        <v>#REF!</v>
      </c>
      <c r="F69" s="14" t="e">
        <f t="shared" si="2"/>
        <v>#REF!</v>
      </c>
    </row>
    <row r="70" spans="1:8" ht="20.399999999999999" x14ac:dyDescent="0.3">
      <c r="A70" s="126" t="s">
        <v>99</v>
      </c>
      <c r="B70" s="11" t="s">
        <v>126</v>
      </c>
      <c r="C70" s="109" t="s">
        <v>124</v>
      </c>
      <c r="D70" s="95">
        <v>1</v>
      </c>
      <c r="E70" s="13" t="e">
        <f>+#REF!</f>
        <v>#REF!</v>
      </c>
      <c r="F70" s="14" t="e">
        <f t="shared" si="2"/>
        <v>#REF!</v>
      </c>
    </row>
    <row r="71" spans="1:8" ht="15" thickBot="1" x14ac:dyDescent="0.35">
      <c r="A71" s="118"/>
      <c r="B71" s="97"/>
      <c r="C71" s="111"/>
      <c r="D71" s="119"/>
      <c r="E71" s="99"/>
      <c r="F71" s="82" t="e">
        <f>+SUM(F59:F70)</f>
        <v>#REF!</v>
      </c>
    </row>
    <row r="72" spans="1:8" ht="15" thickTop="1" x14ac:dyDescent="0.3">
      <c r="A72" s="130" t="s">
        <v>88</v>
      </c>
      <c r="B72" s="116" t="s">
        <v>130</v>
      </c>
      <c r="C72" s="116"/>
      <c r="D72" s="116"/>
      <c r="E72" s="116"/>
      <c r="F72" s="117"/>
    </row>
    <row r="73" spans="1:8" ht="16.8" x14ac:dyDescent="0.3">
      <c r="A73" s="126" t="s">
        <v>140</v>
      </c>
      <c r="B73" s="11" t="s">
        <v>81</v>
      </c>
      <c r="C73" s="109" t="s">
        <v>117</v>
      </c>
      <c r="D73" s="95">
        <f>ROUND((3*8.75*8.74),1)</f>
        <v>229.4</v>
      </c>
      <c r="E73" s="13" t="e">
        <f>+#REF!</f>
        <v>#REF!</v>
      </c>
      <c r="F73" s="14" t="e">
        <f t="shared" ref="F73:F80" si="3">+E73*D73</f>
        <v>#REF!</v>
      </c>
    </row>
    <row r="74" spans="1:8" ht="20.399999999999999" x14ac:dyDescent="0.3">
      <c r="A74" s="126" t="s">
        <v>143</v>
      </c>
      <c r="B74" s="11" t="s">
        <v>82</v>
      </c>
      <c r="C74" s="109" t="s">
        <v>117</v>
      </c>
      <c r="D74" s="95">
        <f>ROUNDUP((8.75*8.74*0.3),1)</f>
        <v>23</v>
      </c>
      <c r="E74" s="13" t="e">
        <f>+#REF!</f>
        <v>#REF!</v>
      </c>
      <c r="F74" s="14" t="e">
        <f t="shared" si="3"/>
        <v>#REF!</v>
      </c>
    </row>
    <row r="75" spans="1:8" ht="20.399999999999999" x14ac:dyDescent="0.3">
      <c r="A75" s="126" t="s">
        <v>144</v>
      </c>
      <c r="B75" s="11" t="s">
        <v>118</v>
      </c>
      <c r="C75" s="109" t="s">
        <v>117</v>
      </c>
      <c r="D75" s="95">
        <f>+(D73)*1.25</f>
        <v>286.75</v>
      </c>
      <c r="E75" s="13" t="e">
        <f>+#REF!</f>
        <v>#REF!</v>
      </c>
      <c r="F75" s="14" t="e">
        <f t="shared" si="3"/>
        <v>#REF!</v>
      </c>
    </row>
    <row r="76" spans="1:8" ht="16.8" x14ac:dyDescent="0.3">
      <c r="A76" s="126" t="s">
        <v>145</v>
      </c>
      <c r="B76" s="11" t="s">
        <v>131</v>
      </c>
      <c r="C76" s="109" t="s">
        <v>117</v>
      </c>
      <c r="D76" s="95">
        <f>8.74*8.75*0.15</f>
        <v>11.471250000000001</v>
      </c>
      <c r="E76" s="13" t="e">
        <f>+E62</f>
        <v>#REF!</v>
      </c>
      <c r="F76" s="14" t="e">
        <f t="shared" si="3"/>
        <v>#REF!</v>
      </c>
    </row>
    <row r="77" spans="1:8" ht="16.8" x14ac:dyDescent="0.3">
      <c r="A77" s="126" t="s">
        <v>146</v>
      </c>
      <c r="B77" s="11" t="s">
        <v>120</v>
      </c>
      <c r="C77" s="109" t="s">
        <v>117</v>
      </c>
      <c r="D77" s="95">
        <f>8.74*8.75*0.05</f>
        <v>3.8237500000000004</v>
      </c>
      <c r="E77" s="13" t="e">
        <f>+E63</f>
        <v>#REF!</v>
      </c>
      <c r="F77" s="14" t="e">
        <f t="shared" si="3"/>
        <v>#REF!</v>
      </c>
    </row>
    <row r="78" spans="1:8" ht="16.8" x14ac:dyDescent="0.3">
      <c r="A78" s="126" t="s">
        <v>147</v>
      </c>
      <c r="B78" s="11" t="s">
        <v>128</v>
      </c>
      <c r="C78" s="109" t="s">
        <v>117</v>
      </c>
      <c r="D78" s="95">
        <f>8.74*8.75*0.3</f>
        <v>22.942500000000003</v>
      </c>
      <c r="E78" s="13" t="e">
        <f>+E64</f>
        <v>#REF!</v>
      </c>
      <c r="F78" s="14" t="e">
        <f t="shared" si="3"/>
        <v>#REF!</v>
      </c>
      <c r="H78" s="136"/>
    </row>
    <row r="79" spans="1:8" ht="20.399999999999999" x14ac:dyDescent="0.3">
      <c r="A79" s="126" t="s">
        <v>148</v>
      </c>
      <c r="B79" s="11" t="s">
        <v>141</v>
      </c>
      <c r="C79" s="109" t="s">
        <v>117</v>
      </c>
      <c r="D79" s="95">
        <f>+((8.74*2.65*2*0.25)+(8.75*2.65*0.25*3)+(8.75*2.1*0.25)+(4.58*1*0.25))</f>
        <v>34.709875000000004</v>
      </c>
      <c r="E79" s="13" t="e">
        <f>+E65</f>
        <v>#REF!</v>
      </c>
      <c r="F79" s="14" t="e">
        <f t="shared" si="3"/>
        <v>#REF!</v>
      </c>
    </row>
    <row r="80" spans="1:8" ht="20.399999999999999" x14ac:dyDescent="0.3">
      <c r="A80" s="126" t="s">
        <v>149</v>
      </c>
      <c r="B80" s="11" t="s">
        <v>142</v>
      </c>
      <c r="C80" s="109" t="s">
        <v>117</v>
      </c>
      <c r="D80" s="132">
        <f>8.2*8.25*0.15</f>
        <v>10.147499999999999</v>
      </c>
      <c r="E80" s="13" t="e">
        <f>+#REF!</f>
        <v>#REF!</v>
      </c>
      <c r="F80" s="14" t="e">
        <f t="shared" si="3"/>
        <v>#REF!</v>
      </c>
    </row>
    <row r="81" spans="1:6" x14ac:dyDescent="0.3">
      <c r="A81" s="126" t="s">
        <v>150</v>
      </c>
      <c r="B81" s="11" t="str">
        <f>'[6]PRESUPUESTO PTAR'!$B$56</f>
        <v>Cinta PVC de e=15 cm</v>
      </c>
      <c r="C81" s="109" t="s">
        <v>121</v>
      </c>
      <c r="D81" s="95">
        <v>34.5</v>
      </c>
      <c r="E81" s="13" t="e">
        <f>+E66</f>
        <v>#REF!</v>
      </c>
      <c r="F81" s="14" t="e">
        <f t="shared" si="2"/>
        <v>#REF!</v>
      </c>
    </row>
    <row r="82" spans="1:6" x14ac:dyDescent="0.3">
      <c r="A82" s="126" t="s">
        <v>151</v>
      </c>
      <c r="B82" s="11" t="s">
        <v>122</v>
      </c>
      <c r="C82" s="109" t="s">
        <v>44</v>
      </c>
      <c r="D82" s="95">
        <f>+(D80+D79+D78)*155</f>
        <v>10508.980625000002</v>
      </c>
      <c r="E82" s="13" t="e">
        <f>+E67</f>
        <v>#REF!</v>
      </c>
      <c r="F82" s="14" t="e">
        <f t="shared" si="2"/>
        <v>#REF!</v>
      </c>
    </row>
    <row r="83" spans="1:6" x14ac:dyDescent="0.3">
      <c r="A83" s="126" t="s">
        <v>152</v>
      </c>
      <c r="B83" s="11" t="s">
        <v>132</v>
      </c>
      <c r="C83" s="109" t="s">
        <v>124</v>
      </c>
      <c r="D83" s="95">
        <v>6</v>
      </c>
      <c r="E83" s="13" t="e">
        <f>+#REF!</f>
        <v>#REF!</v>
      </c>
      <c r="F83" s="14" t="e">
        <f t="shared" si="2"/>
        <v>#REF!</v>
      </c>
    </row>
    <row r="84" spans="1:6" x14ac:dyDescent="0.3">
      <c r="A84" s="126" t="s">
        <v>153</v>
      </c>
      <c r="B84" s="11" t="s">
        <v>133</v>
      </c>
      <c r="C84" s="109" t="s">
        <v>121</v>
      </c>
      <c r="D84" s="95">
        <v>17.899999999999999</v>
      </c>
      <c r="E84" s="13" t="e">
        <f>+#REF!</f>
        <v>#REF!</v>
      </c>
      <c r="F84" s="14" t="e">
        <f t="shared" si="2"/>
        <v>#REF!</v>
      </c>
    </row>
    <row r="85" spans="1:6" x14ac:dyDescent="0.3">
      <c r="A85" s="126" t="s">
        <v>154</v>
      </c>
      <c r="B85" s="11" t="s">
        <v>134</v>
      </c>
      <c r="C85" s="109" t="s">
        <v>124</v>
      </c>
      <c r="D85" s="95">
        <v>1</v>
      </c>
      <c r="E85" s="13" t="e">
        <f>+#REF!</f>
        <v>#REF!</v>
      </c>
      <c r="F85" s="14" t="e">
        <f t="shared" si="2"/>
        <v>#REF!</v>
      </c>
    </row>
    <row r="86" spans="1:6" x14ac:dyDescent="0.3">
      <c r="A86" s="126" t="s">
        <v>155</v>
      </c>
      <c r="B86" s="11" t="s">
        <v>135</v>
      </c>
      <c r="C86" s="109" t="s">
        <v>124</v>
      </c>
      <c r="D86" s="95">
        <v>7</v>
      </c>
      <c r="E86" s="13" t="e">
        <f>+#REF!</f>
        <v>#REF!</v>
      </c>
      <c r="F86" s="14" t="e">
        <f t="shared" si="2"/>
        <v>#REF!</v>
      </c>
    </row>
    <row r="87" spans="1:6" x14ac:dyDescent="0.3">
      <c r="A87" s="126" t="s">
        <v>156</v>
      </c>
      <c r="B87" s="11" t="s">
        <v>136</v>
      </c>
      <c r="C87" s="109" t="s">
        <v>124</v>
      </c>
      <c r="D87" s="95">
        <v>12</v>
      </c>
      <c r="E87" s="13" t="e">
        <f>+#REF!</f>
        <v>#REF!</v>
      </c>
      <c r="F87" s="14" t="e">
        <f t="shared" si="2"/>
        <v>#REF!</v>
      </c>
    </row>
    <row r="88" spans="1:6" x14ac:dyDescent="0.3">
      <c r="A88" s="126" t="s">
        <v>157</v>
      </c>
      <c r="B88" s="11" t="s">
        <v>137</v>
      </c>
      <c r="C88" s="109" t="s">
        <v>124</v>
      </c>
      <c r="D88" s="95">
        <v>2</v>
      </c>
      <c r="E88" s="13" t="e">
        <f>+#REF!</f>
        <v>#REF!</v>
      </c>
      <c r="F88" s="14" t="e">
        <f t="shared" si="2"/>
        <v>#REF!</v>
      </c>
    </row>
    <row r="89" spans="1:6" ht="20.399999999999999" x14ac:dyDescent="0.3">
      <c r="A89" s="126" t="s">
        <v>158</v>
      </c>
      <c r="B89" s="11" t="s">
        <v>138</v>
      </c>
      <c r="C89" s="109" t="s">
        <v>124</v>
      </c>
      <c r="D89" s="95">
        <v>4</v>
      </c>
      <c r="E89" s="13" t="e">
        <f>+#REF!</f>
        <v>#REF!</v>
      </c>
      <c r="F89" s="14" t="e">
        <f t="shared" si="2"/>
        <v>#REF!</v>
      </c>
    </row>
    <row r="90" spans="1:6" x14ac:dyDescent="0.3">
      <c r="A90" s="126" t="s">
        <v>160</v>
      </c>
      <c r="B90" s="11" t="s">
        <v>161</v>
      </c>
      <c r="C90" s="109" t="s">
        <v>124</v>
      </c>
      <c r="D90" s="95">
        <v>4</v>
      </c>
      <c r="E90" s="13" t="e">
        <f>+#REF!</f>
        <v>#REF!</v>
      </c>
      <c r="F90" s="14" t="e">
        <f t="shared" si="2"/>
        <v>#REF!</v>
      </c>
    </row>
    <row r="91" spans="1:6" ht="20.399999999999999" x14ac:dyDescent="0.3">
      <c r="A91" s="126" t="s">
        <v>162</v>
      </c>
      <c r="B91" s="11" t="s">
        <v>139</v>
      </c>
      <c r="C91" s="109" t="s">
        <v>124</v>
      </c>
      <c r="D91" s="95">
        <v>1</v>
      </c>
      <c r="E91" s="13" t="e">
        <f>+#REF!</f>
        <v>#REF!</v>
      </c>
      <c r="F91" s="14" t="e">
        <f t="shared" si="2"/>
        <v>#REF!</v>
      </c>
    </row>
    <row r="92" spans="1:6" ht="15" thickBot="1" x14ac:dyDescent="0.35">
      <c r="A92" s="96"/>
      <c r="B92" s="114"/>
      <c r="C92" s="115"/>
      <c r="D92" s="98"/>
      <c r="E92" s="99"/>
      <c r="F92" s="82" t="e">
        <f>+SUM(F73:F91)</f>
        <v>#REF!</v>
      </c>
    </row>
    <row r="93" spans="1:6" ht="15" thickTop="1" x14ac:dyDescent="0.3">
      <c r="A93" s="130" t="s">
        <v>163</v>
      </c>
      <c r="B93" s="116" t="s">
        <v>164</v>
      </c>
      <c r="C93" s="116"/>
      <c r="D93" s="116"/>
      <c r="E93" s="116"/>
      <c r="F93" s="117"/>
    </row>
    <row r="94" spans="1:6" x14ac:dyDescent="0.3">
      <c r="A94" s="126" t="s">
        <v>173</v>
      </c>
      <c r="B94" s="11" t="s">
        <v>81</v>
      </c>
      <c r="C94" s="109" t="s">
        <v>172</v>
      </c>
      <c r="D94" s="95">
        <f>ROUND((4.65*4.9*2.65),0)</f>
        <v>60</v>
      </c>
      <c r="E94" s="13" t="e">
        <f>+E73</f>
        <v>#REF!</v>
      </c>
      <c r="F94" s="14" t="e">
        <f>+E94*D94</f>
        <v>#REF!</v>
      </c>
    </row>
    <row r="95" spans="1:6" ht="20.399999999999999" x14ac:dyDescent="0.3">
      <c r="A95" s="126" t="s">
        <v>174</v>
      </c>
      <c r="B95" s="11" t="s">
        <v>82</v>
      </c>
      <c r="C95" s="109" t="s">
        <v>172</v>
      </c>
      <c r="D95" s="95">
        <f>ROUNDUP((4.5*4.9*0.3),0)</f>
        <v>7</v>
      </c>
      <c r="E95" s="13" t="e">
        <f>+E74</f>
        <v>#REF!</v>
      </c>
      <c r="F95" s="14" t="e">
        <f t="shared" ref="F95:F113" si="4">+E95*D95</f>
        <v>#REF!</v>
      </c>
    </row>
    <row r="96" spans="1:6" ht="20.399999999999999" x14ac:dyDescent="0.3">
      <c r="A96" s="126" t="s">
        <v>175</v>
      </c>
      <c r="B96" s="11" t="s">
        <v>118</v>
      </c>
      <c r="C96" s="109" t="s">
        <v>172</v>
      </c>
      <c r="D96" s="95">
        <f>+(D94)*1.25</f>
        <v>75</v>
      </c>
      <c r="E96" s="13" t="e">
        <f>+E75</f>
        <v>#REF!</v>
      </c>
      <c r="F96" s="14" t="e">
        <f t="shared" si="4"/>
        <v>#REF!</v>
      </c>
    </row>
    <row r="97" spans="1:8" x14ac:dyDescent="0.3">
      <c r="A97" s="126" t="s">
        <v>176</v>
      </c>
      <c r="B97" s="11" t="s">
        <v>131</v>
      </c>
      <c r="C97" s="109" t="s">
        <v>172</v>
      </c>
      <c r="D97" s="95">
        <f>ROUNDUP((4.65*4.9*0.15),0)</f>
        <v>4</v>
      </c>
      <c r="E97" s="13" t="e">
        <f t="shared" ref="E97:E105" si="5">+E76</f>
        <v>#REF!</v>
      </c>
      <c r="F97" s="14" t="e">
        <f t="shared" si="4"/>
        <v>#REF!</v>
      </c>
    </row>
    <row r="98" spans="1:8" x14ac:dyDescent="0.3">
      <c r="A98" s="126" t="s">
        <v>178</v>
      </c>
      <c r="B98" s="11" t="s">
        <v>120</v>
      </c>
      <c r="C98" s="109" t="s">
        <v>172</v>
      </c>
      <c r="D98" s="95">
        <f>ROUNDUP((4.65*4.4*0.05),0)</f>
        <v>2</v>
      </c>
      <c r="E98" s="13" t="e">
        <f t="shared" si="5"/>
        <v>#REF!</v>
      </c>
      <c r="F98" s="14" t="e">
        <f t="shared" si="4"/>
        <v>#REF!</v>
      </c>
    </row>
    <row r="99" spans="1:8" x14ac:dyDescent="0.3">
      <c r="A99" s="126" t="s">
        <v>179</v>
      </c>
      <c r="B99" s="11" t="s">
        <v>128</v>
      </c>
      <c r="C99" s="109" t="s">
        <v>172</v>
      </c>
      <c r="D99" s="95">
        <f>ROUNDUP((4.65*4.4*0.3),0)</f>
        <v>7</v>
      </c>
      <c r="E99" s="13" t="e">
        <f t="shared" si="5"/>
        <v>#REF!</v>
      </c>
      <c r="F99" s="14" t="e">
        <f t="shared" si="4"/>
        <v>#REF!</v>
      </c>
      <c r="H99" s="134"/>
    </row>
    <row r="100" spans="1:8" ht="20.399999999999999" x14ac:dyDescent="0.3">
      <c r="A100" s="126" t="s">
        <v>177</v>
      </c>
      <c r="B100" s="11" t="s">
        <v>191</v>
      </c>
      <c r="C100" s="109" t="s">
        <v>172</v>
      </c>
      <c r="D100" s="95">
        <f>ROUNDUP((+(4.65*2.65*2*0.25)+(4.4*2.65*0.25)),0)</f>
        <v>10</v>
      </c>
      <c r="E100" s="13" t="e">
        <f t="shared" si="5"/>
        <v>#REF!</v>
      </c>
      <c r="F100" s="14" t="e">
        <f t="shared" si="4"/>
        <v>#REF!</v>
      </c>
      <c r="H100" s="136"/>
    </row>
    <row r="101" spans="1:8" ht="20.399999999999999" x14ac:dyDescent="0.3">
      <c r="A101" s="126" t="s">
        <v>180</v>
      </c>
      <c r="B101" s="11" t="s">
        <v>192</v>
      </c>
      <c r="C101" s="109" t="s">
        <v>172</v>
      </c>
      <c r="D101" s="95">
        <f>ROUNDUP((4.65*4.4*0.15),0)</f>
        <v>4</v>
      </c>
      <c r="E101" s="13" t="e">
        <f t="shared" si="5"/>
        <v>#REF!</v>
      </c>
      <c r="F101" s="14" t="e">
        <f t="shared" si="4"/>
        <v>#REF!</v>
      </c>
    </row>
    <row r="102" spans="1:8" x14ac:dyDescent="0.3">
      <c r="A102" s="126" t="s">
        <v>181</v>
      </c>
      <c r="B102" s="11" t="str">
        <f>'[6]PRESUPUESTO PTAR'!$B$56</f>
        <v>Cinta PVC de e=15 cm</v>
      </c>
      <c r="C102" s="109" t="s">
        <v>121</v>
      </c>
      <c r="D102" s="95">
        <v>11</v>
      </c>
      <c r="E102" s="13" t="e">
        <f t="shared" si="5"/>
        <v>#REF!</v>
      </c>
      <c r="F102" s="14" t="e">
        <f t="shared" si="4"/>
        <v>#REF!</v>
      </c>
    </row>
    <row r="103" spans="1:8" x14ac:dyDescent="0.3">
      <c r="A103" s="126" t="s">
        <v>182</v>
      </c>
      <c r="B103" s="11" t="s">
        <v>122</v>
      </c>
      <c r="C103" s="109" t="s">
        <v>44</v>
      </c>
      <c r="D103" s="95">
        <f>+(D101+D100+D99)*155</f>
        <v>3255</v>
      </c>
      <c r="E103" s="13" t="e">
        <f t="shared" si="5"/>
        <v>#REF!</v>
      </c>
      <c r="F103" s="14" t="e">
        <f t="shared" si="4"/>
        <v>#REF!</v>
      </c>
    </row>
    <row r="104" spans="1:8" x14ac:dyDescent="0.3">
      <c r="A104" s="126" t="s">
        <v>183</v>
      </c>
      <c r="B104" s="11" t="s">
        <v>132</v>
      </c>
      <c r="C104" s="109" t="s">
        <v>124</v>
      </c>
      <c r="D104" s="95">
        <v>2</v>
      </c>
      <c r="E104" s="13" t="e">
        <f t="shared" si="5"/>
        <v>#REF!</v>
      </c>
      <c r="F104" s="14" t="e">
        <f t="shared" si="4"/>
        <v>#REF!</v>
      </c>
    </row>
    <row r="105" spans="1:8" x14ac:dyDescent="0.3">
      <c r="A105" s="126" t="s">
        <v>183</v>
      </c>
      <c r="B105" s="11" t="s">
        <v>165</v>
      </c>
      <c r="C105" s="109" t="s">
        <v>121</v>
      </c>
      <c r="D105" s="95">
        <v>12.4</v>
      </c>
      <c r="E105" s="13" t="e">
        <f t="shared" si="5"/>
        <v>#REF!</v>
      </c>
      <c r="F105" s="14" t="e">
        <f t="shared" si="4"/>
        <v>#REF!</v>
      </c>
    </row>
    <row r="106" spans="1:8" x14ac:dyDescent="0.3">
      <c r="A106" s="126" t="s">
        <v>184</v>
      </c>
      <c r="B106" s="11" t="s">
        <v>166</v>
      </c>
      <c r="C106" s="109" t="s">
        <v>121</v>
      </c>
      <c r="D106" s="95">
        <f>4.4*2</f>
        <v>8.8000000000000007</v>
      </c>
      <c r="E106" s="13" t="e">
        <f>+E105</f>
        <v>#REF!</v>
      </c>
      <c r="F106" s="14" t="e">
        <f t="shared" si="4"/>
        <v>#REF!</v>
      </c>
    </row>
    <row r="107" spans="1:8" x14ac:dyDescent="0.3">
      <c r="A107" s="126" t="s">
        <v>185</v>
      </c>
      <c r="B107" s="11" t="s">
        <v>167</v>
      </c>
      <c r="C107" s="109" t="s">
        <v>124</v>
      </c>
      <c r="D107" s="95">
        <v>1</v>
      </c>
      <c r="E107" s="13" t="e">
        <f>+#REF!</f>
        <v>#REF!</v>
      </c>
      <c r="F107" s="14" t="e">
        <f t="shared" si="4"/>
        <v>#REF!</v>
      </c>
    </row>
    <row r="108" spans="1:8" ht="20.399999999999999" x14ac:dyDescent="0.3">
      <c r="A108" s="126" t="s">
        <v>186</v>
      </c>
      <c r="B108" s="11" t="s">
        <v>138</v>
      </c>
      <c r="C108" s="109" t="s">
        <v>124</v>
      </c>
      <c r="D108" s="95">
        <v>12</v>
      </c>
      <c r="E108" s="13" t="e">
        <f>+E89</f>
        <v>#REF!</v>
      </c>
      <c r="F108" s="14" t="e">
        <f t="shared" si="4"/>
        <v>#REF!</v>
      </c>
    </row>
    <row r="109" spans="1:8" x14ac:dyDescent="0.3">
      <c r="A109" s="126" t="s">
        <v>187</v>
      </c>
      <c r="B109" s="11" t="s">
        <v>168</v>
      </c>
      <c r="C109" s="109" t="s">
        <v>172</v>
      </c>
      <c r="D109" s="95">
        <f>ROUNDUP((4.4*4.4*1.63),0)</f>
        <v>32</v>
      </c>
      <c r="E109" s="13" t="e">
        <f>+#REF!</f>
        <v>#REF!</v>
      </c>
      <c r="F109" s="14" t="e">
        <f t="shared" si="4"/>
        <v>#REF!</v>
      </c>
    </row>
    <row r="110" spans="1:8" x14ac:dyDescent="0.3">
      <c r="A110" s="126" t="s">
        <v>188</v>
      </c>
      <c r="B110" s="11" t="s">
        <v>193</v>
      </c>
      <c r="C110" s="109" t="s">
        <v>124</v>
      </c>
      <c r="D110" s="95">
        <v>1</v>
      </c>
      <c r="E110" s="13" t="e">
        <f>+#REF!</f>
        <v>#REF!</v>
      </c>
      <c r="F110" s="14" t="e">
        <f t="shared" si="4"/>
        <v>#REF!</v>
      </c>
    </row>
    <row r="111" spans="1:8" x14ac:dyDescent="0.3">
      <c r="A111" s="126" t="s">
        <v>159</v>
      </c>
      <c r="B111" s="11" t="s">
        <v>169</v>
      </c>
      <c r="C111" s="109" t="s">
        <v>121</v>
      </c>
      <c r="D111" s="95">
        <f>5.5+2.91</f>
        <v>8.41</v>
      </c>
      <c r="E111" s="13" t="e">
        <f>+#REF!</f>
        <v>#REF!</v>
      </c>
      <c r="F111" s="14" t="e">
        <f t="shared" si="4"/>
        <v>#REF!</v>
      </c>
    </row>
    <row r="112" spans="1:8" x14ac:dyDescent="0.3">
      <c r="A112" s="126" t="s">
        <v>189</v>
      </c>
      <c r="B112" s="11" t="s">
        <v>170</v>
      </c>
      <c r="C112" s="109" t="s">
        <v>124</v>
      </c>
      <c r="D112" s="95">
        <v>1</v>
      </c>
      <c r="E112" s="13" t="e">
        <f>+#REF!</f>
        <v>#REF!</v>
      </c>
      <c r="F112" s="14" t="e">
        <f t="shared" si="4"/>
        <v>#REF!</v>
      </c>
    </row>
    <row r="113" spans="1:6" x14ac:dyDescent="0.3">
      <c r="A113" s="126" t="s">
        <v>190</v>
      </c>
      <c r="B113" s="11" t="s">
        <v>171</v>
      </c>
      <c r="C113" s="109" t="s">
        <v>124</v>
      </c>
      <c r="D113" s="95">
        <v>1</v>
      </c>
      <c r="E113" s="13" t="e">
        <f>+#REF!</f>
        <v>#REF!</v>
      </c>
      <c r="F113" s="14" t="e">
        <f t="shared" si="4"/>
        <v>#REF!</v>
      </c>
    </row>
    <row r="114" spans="1:6" ht="15" thickBot="1" x14ac:dyDescent="0.35">
      <c r="A114" s="96"/>
      <c r="B114" s="114"/>
      <c r="C114" s="115"/>
      <c r="D114" s="98"/>
      <c r="E114" s="99"/>
      <c r="F114" s="82" t="e">
        <f>+SUM(F94:F113)</f>
        <v>#REF!</v>
      </c>
    </row>
    <row r="115" spans="1:6" ht="15" thickTop="1" x14ac:dyDescent="0.3">
      <c r="A115" s="130" t="s">
        <v>194</v>
      </c>
      <c r="B115" s="116" t="s">
        <v>195</v>
      </c>
      <c r="C115" s="116"/>
      <c r="D115" s="116"/>
      <c r="E115" s="116"/>
      <c r="F115" s="117"/>
    </row>
    <row r="116" spans="1:6" x14ac:dyDescent="0.3">
      <c r="A116" s="126" t="s">
        <v>207</v>
      </c>
      <c r="B116" s="11" t="s">
        <v>81</v>
      </c>
      <c r="C116" s="109" t="s">
        <v>205</v>
      </c>
      <c r="D116" s="95">
        <v>22.5</v>
      </c>
      <c r="E116" s="13" t="e">
        <f>+E73</f>
        <v>#REF!</v>
      </c>
      <c r="F116" s="14" t="e">
        <f>+E116*D116</f>
        <v>#REF!</v>
      </c>
    </row>
    <row r="117" spans="1:6" ht="20.399999999999999" x14ac:dyDescent="0.3">
      <c r="A117" s="126" t="s">
        <v>208</v>
      </c>
      <c r="B117" s="11" t="s">
        <v>82</v>
      </c>
      <c r="C117" s="109" t="s">
        <v>205</v>
      </c>
      <c r="D117" s="95">
        <v>4.18</v>
      </c>
      <c r="E117" s="13" t="e">
        <f t="shared" ref="E117:E122" si="6">+E95</f>
        <v>#REF!</v>
      </c>
      <c r="F117" s="14" t="e">
        <f t="shared" ref="F117:F132" si="7">+E117*D117</f>
        <v>#REF!</v>
      </c>
    </row>
    <row r="118" spans="1:6" ht="20.399999999999999" x14ac:dyDescent="0.3">
      <c r="A118" s="126" t="s">
        <v>209</v>
      </c>
      <c r="B118" s="11" t="s">
        <v>118</v>
      </c>
      <c r="C118" s="109" t="s">
        <v>205</v>
      </c>
      <c r="D118" s="95">
        <f>+D116*1.25</f>
        <v>28.125</v>
      </c>
      <c r="E118" s="13" t="e">
        <f t="shared" si="6"/>
        <v>#REF!</v>
      </c>
      <c r="F118" s="14" t="e">
        <f t="shared" si="7"/>
        <v>#REF!</v>
      </c>
    </row>
    <row r="119" spans="1:6" x14ac:dyDescent="0.3">
      <c r="A119" s="126" t="s">
        <v>211</v>
      </c>
      <c r="B119" s="11" t="s">
        <v>131</v>
      </c>
      <c r="C119" s="109" t="s">
        <v>205</v>
      </c>
      <c r="D119" s="95">
        <v>1.58</v>
      </c>
      <c r="E119" s="13" t="e">
        <f t="shared" si="6"/>
        <v>#REF!</v>
      </c>
      <c r="F119" s="14" t="e">
        <f t="shared" si="7"/>
        <v>#REF!</v>
      </c>
    </row>
    <row r="120" spans="1:6" x14ac:dyDescent="0.3">
      <c r="A120" s="126" t="s">
        <v>212</v>
      </c>
      <c r="B120" s="11" t="s">
        <v>120</v>
      </c>
      <c r="C120" s="109" t="s">
        <v>205</v>
      </c>
      <c r="D120" s="95">
        <v>0.4</v>
      </c>
      <c r="E120" s="13" t="e">
        <f t="shared" si="6"/>
        <v>#REF!</v>
      </c>
      <c r="F120" s="14" t="e">
        <f t="shared" si="7"/>
        <v>#REF!</v>
      </c>
    </row>
    <row r="121" spans="1:6" x14ac:dyDescent="0.3">
      <c r="A121" s="126" t="s">
        <v>213</v>
      </c>
      <c r="B121" s="11" t="s">
        <v>128</v>
      </c>
      <c r="C121" s="109" t="s">
        <v>205</v>
      </c>
      <c r="D121" s="95">
        <v>1.59</v>
      </c>
      <c r="E121" s="13" t="e">
        <f t="shared" si="6"/>
        <v>#REF!</v>
      </c>
      <c r="F121" s="14" t="e">
        <f t="shared" si="7"/>
        <v>#REF!</v>
      </c>
    </row>
    <row r="122" spans="1:6" ht="20.399999999999999" x14ac:dyDescent="0.3">
      <c r="A122" s="126" t="s">
        <v>214</v>
      </c>
      <c r="B122" s="11" t="s">
        <v>224</v>
      </c>
      <c r="C122" s="109" t="s">
        <v>205</v>
      </c>
      <c r="D122" s="95">
        <v>1.74</v>
      </c>
      <c r="E122" s="13" t="e">
        <f t="shared" si="6"/>
        <v>#REF!</v>
      </c>
      <c r="F122" s="14" t="e">
        <f t="shared" si="7"/>
        <v>#REF!</v>
      </c>
    </row>
    <row r="123" spans="1:6" ht="20.399999999999999" x14ac:dyDescent="0.3">
      <c r="A123" s="126" t="s">
        <v>210</v>
      </c>
      <c r="B123" s="11" t="s">
        <v>196</v>
      </c>
      <c r="C123" s="109" t="s">
        <v>124</v>
      </c>
      <c r="D123" s="95">
        <v>2</v>
      </c>
      <c r="E123" s="13">
        <v>427639</v>
      </c>
      <c r="F123" s="14">
        <f t="shared" si="7"/>
        <v>855278</v>
      </c>
    </row>
    <row r="124" spans="1:6" ht="20.399999999999999" x14ac:dyDescent="0.3">
      <c r="A124" s="126" t="s">
        <v>215</v>
      </c>
      <c r="B124" s="11" t="s">
        <v>225</v>
      </c>
      <c r="C124" s="109" t="s">
        <v>121</v>
      </c>
      <c r="D124" s="95">
        <v>8.4</v>
      </c>
      <c r="E124" s="13" t="e">
        <f>+E111</f>
        <v>#REF!</v>
      </c>
      <c r="F124" s="14" t="e">
        <f t="shared" si="7"/>
        <v>#REF!</v>
      </c>
    </row>
    <row r="125" spans="1:6" x14ac:dyDescent="0.3">
      <c r="A125" s="126" t="s">
        <v>216</v>
      </c>
      <c r="B125" s="11" t="s">
        <v>197</v>
      </c>
      <c r="C125" s="109" t="s">
        <v>124</v>
      </c>
      <c r="D125" s="95">
        <v>1</v>
      </c>
      <c r="E125" s="13" t="e">
        <f>+E86</f>
        <v>#REF!</v>
      </c>
      <c r="F125" s="14" t="e">
        <f t="shared" si="7"/>
        <v>#REF!</v>
      </c>
    </row>
    <row r="126" spans="1:6" x14ac:dyDescent="0.3">
      <c r="A126" s="126" t="s">
        <v>217</v>
      </c>
      <c r="B126" s="11" t="s">
        <v>198</v>
      </c>
      <c r="C126" s="109" t="s">
        <v>124</v>
      </c>
      <c r="D126" s="95">
        <v>2</v>
      </c>
      <c r="E126" s="13" t="e">
        <f>+E88</f>
        <v>#REF!</v>
      </c>
      <c r="F126" s="14" t="e">
        <f t="shared" si="7"/>
        <v>#REF!</v>
      </c>
    </row>
    <row r="127" spans="1:6" x14ac:dyDescent="0.3">
      <c r="A127" s="126" t="s">
        <v>218</v>
      </c>
      <c r="B127" s="11" t="s">
        <v>199</v>
      </c>
      <c r="C127" s="109" t="s">
        <v>124</v>
      </c>
      <c r="D127" s="95">
        <v>2</v>
      </c>
      <c r="E127" s="13" t="e">
        <f>+#REF!</f>
        <v>#REF!</v>
      </c>
      <c r="F127" s="14" t="e">
        <f t="shared" si="7"/>
        <v>#REF!</v>
      </c>
    </row>
    <row r="128" spans="1:6" x14ac:dyDescent="0.3">
      <c r="A128" s="126" t="s">
        <v>219</v>
      </c>
      <c r="B128" s="11" t="s">
        <v>200</v>
      </c>
      <c r="C128" s="109" t="s">
        <v>205</v>
      </c>
      <c r="D128" s="95">
        <f>1.8/2</f>
        <v>0.9</v>
      </c>
      <c r="E128" s="13" t="e">
        <f>+#REF!</f>
        <v>#REF!</v>
      </c>
      <c r="F128" s="14" t="e">
        <f t="shared" si="7"/>
        <v>#REF!</v>
      </c>
    </row>
    <row r="129" spans="1:6" x14ac:dyDescent="0.3">
      <c r="A129" s="126" t="s">
        <v>220</v>
      </c>
      <c r="B129" s="11" t="s">
        <v>201</v>
      </c>
      <c r="C129" s="109" t="s">
        <v>205</v>
      </c>
      <c r="D129" s="95">
        <f>2.4/2</f>
        <v>1.2</v>
      </c>
      <c r="E129" s="13" t="e">
        <f>+#REF!</f>
        <v>#REF!</v>
      </c>
      <c r="F129" s="14" t="e">
        <f t="shared" si="7"/>
        <v>#REF!</v>
      </c>
    </row>
    <row r="130" spans="1:6" x14ac:dyDescent="0.3">
      <c r="A130" s="126" t="s">
        <v>221</v>
      </c>
      <c r="B130" s="11" t="s">
        <v>202</v>
      </c>
      <c r="C130" s="109" t="s">
        <v>206</v>
      </c>
      <c r="D130" s="95">
        <v>11</v>
      </c>
      <c r="E130" s="13" t="e">
        <f>+#REF!</f>
        <v>#REF!</v>
      </c>
      <c r="F130" s="14" t="e">
        <f t="shared" si="7"/>
        <v>#REF!</v>
      </c>
    </row>
    <row r="131" spans="1:6" x14ac:dyDescent="0.3">
      <c r="A131" s="126" t="s">
        <v>222</v>
      </c>
      <c r="B131" s="11" t="s">
        <v>203</v>
      </c>
      <c r="C131" s="109" t="s">
        <v>121</v>
      </c>
      <c r="D131" s="95">
        <v>10</v>
      </c>
      <c r="E131" s="13" t="e">
        <f>+#REF!</f>
        <v>#REF!</v>
      </c>
      <c r="F131" s="14" t="e">
        <f t="shared" si="7"/>
        <v>#REF!</v>
      </c>
    </row>
    <row r="132" spans="1:6" ht="20.399999999999999" x14ac:dyDescent="0.3">
      <c r="A132" s="126" t="s">
        <v>223</v>
      </c>
      <c r="B132" s="11" t="s">
        <v>204</v>
      </c>
      <c r="C132" s="109" t="s">
        <v>124</v>
      </c>
      <c r="D132" s="95">
        <v>1</v>
      </c>
      <c r="E132" s="13" t="e">
        <f>+#REF!</f>
        <v>#REF!</v>
      </c>
      <c r="F132" s="14" t="e">
        <f t="shared" si="7"/>
        <v>#REF!</v>
      </c>
    </row>
    <row r="133" spans="1:6" ht="15" thickBot="1" x14ac:dyDescent="0.35">
      <c r="A133" s="96"/>
      <c r="B133" s="114"/>
      <c r="C133" s="115"/>
      <c r="D133" s="98"/>
      <c r="E133" s="99"/>
      <c r="F133" s="82" t="e">
        <f>+SUM(F116:F132)</f>
        <v>#REF!</v>
      </c>
    </row>
    <row r="134" spans="1:6" ht="15" thickTop="1" x14ac:dyDescent="0.3">
      <c r="A134" s="130" t="s">
        <v>252</v>
      </c>
      <c r="B134" s="116" t="s">
        <v>272</v>
      </c>
      <c r="C134" s="116"/>
      <c r="D134" s="116"/>
      <c r="E134" s="116"/>
      <c r="F134" s="117"/>
    </row>
    <row r="135" spans="1:6" x14ac:dyDescent="0.3">
      <c r="A135" s="126" t="s">
        <v>253</v>
      </c>
      <c r="B135" s="11" t="s">
        <v>273</v>
      </c>
      <c r="C135" s="109" t="s">
        <v>124</v>
      </c>
      <c r="D135" s="95">
        <v>1</v>
      </c>
      <c r="E135" s="13" t="e">
        <f>+#REF!</f>
        <v>#REF!</v>
      </c>
      <c r="F135" s="14" t="e">
        <f>+E135*D135</f>
        <v>#REF!</v>
      </c>
    </row>
    <row r="136" spans="1:6" x14ac:dyDescent="0.3">
      <c r="A136" s="126" t="s">
        <v>254</v>
      </c>
      <c r="B136" s="11" t="s">
        <v>226</v>
      </c>
      <c r="C136" s="109" t="s">
        <v>124</v>
      </c>
      <c r="D136" s="95">
        <v>4</v>
      </c>
      <c r="E136" s="13">
        <v>23437.5</v>
      </c>
      <c r="F136" s="14">
        <f t="shared" ref="F136:F143" si="8">+E136*D136</f>
        <v>93750</v>
      </c>
    </row>
    <row r="137" spans="1:6" x14ac:dyDescent="0.3">
      <c r="A137" s="126" t="s">
        <v>255</v>
      </c>
      <c r="B137" s="11" t="s">
        <v>227</v>
      </c>
      <c r="C137" s="109" t="s">
        <v>124</v>
      </c>
      <c r="D137" s="95">
        <v>10</v>
      </c>
      <c r="E137" s="13">
        <v>14073.75</v>
      </c>
      <c r="F137" s="14">
        <f t="shared" si="8"/>
        <v>140737.5</v>
      </c>
    </row>
    <row r="138" spans="1:6" x14ac:dyDescent="0.3">
      <c r="A138" s="126" t="s">
        <v>256</v>
      </c>
      <c r="B138" s="11" t="s">
        <v>228</v>
      </c>
      <c r="C138" s="109" t="s">
        <v>124</v>
      </c>
      <c r="D138" s="95">
        <v>2</v>
      </c>
      <c r="E138" s="13">
        <v>33466.25</v>
      </c>
      <c r="F138" s="14">
        <f t="shared" si="8"/>
        <v>66932.5</v>
      </c>
    </row>
    <row r="139" spans="1:6" x14ac:dyDescent="0.3">
      <c r="A139" s="126" t="s">
        <v>258</v>
      </c>
      <c r="B139" s="11" t="s">
        <v>229</v>
      </c>
      <c r="C139" s="109" t="s">
        <v>124</v>
      </c>
      <c r="D139" s="95">
        <v>1</v>
      </c>
      <c r="E139" s="13">
        <v>51738.75</v>
      </c>
      <c r="F139" s="14">
        <f t="shared" si="8"/>
        <v>51738.75</v>
      </c>
    </row>
    <row r="140" spans="1:6" x14ac:dyDescent="0.3">
      <c r="A140" s="126" t="s">
        <v>257</v>
      </c>
      <c r="B140" s="11" t="s">
        <v>230</v>
      </c>
      <c r="C140" s="109" t="s">
        <v>124</v>
      </c>
      <c r="D140" s="95">
        <v>2</v>
      </c>
      <c r="E140" s="13">
        <v>529795</v>
      </c>
      <c r="F140" s="14">
        <f t="shared" si="8"/>
        <v>1059590</v>
      </c>
    </row>
    <row r="141" spans="1:6" x14ac:dyDescent="0.3">
      <c r="A141" s="126" t="s">
        <v>259</v>
      </c>
      <c r="B141" s="11" t="s">
        <v>231</v>
      </c>
      <c r="C141" s="109" t="s">
        <v>124</v>
      </c>
      <c r="D141" s="95">
        <v>2</v>
      </c>
      <c r="E141" s="13">
        <v>952768.75</v>
      </c>
      <c r="F141" s="14">
        <f t="shared" si="8"/>
        <v>1905537.5</v>
      </c>
    </row>
    <row r="142" spans="1:6" x14ac:dyDescent="0.3">
      <c r="A142" s="126" t="s">
        <v>260</v>
      </c>
      <c r="B142" s="11" t="s">
        <v>232</v>
      </c>
      <c r="C142" s="109" t="s">
        <v>124</v>
      </c>
      <c r="D142" s="95">
        <v>2</v>
      </c>
      <c r="E142" s="13">
        <v>78332.5</v>
      </c>
      <c r="F142" s="14">
        <f t="shared" si="8"/>
        <v>156665</v>
      </c>
    </row>
    <row r="143" spans="1:6" x14ac:dyDescent="0.3">
      <c r="A143" s="126" t="s">
        <v>261</v>
      </c>
      <c r="B143" s="11" t="s">
        <v>233</v>
      </c>
      <c r="C143" s="109" t="s">
        <v>124</v>
      </c>
      <c r="D143" s="95">
        <v>60</v>
      </c>
      <c r="E143" s="13">
        <v>6118.75</v>
      </c>
      <c r="F143" s="14">
        <f t="shared" si="8"/>
        <v>367125</v>
      </c>
    </row>
    <row r="144" spans="1:6" ht="15" thickBot="1" x14ac:dyDescent="0.35">
      <c r="A144" s="96"/>
      <c r="B144" s="114"/>
      <c r="C144" s="115"/>
      <c r="D144" s="98"/>
      <c r="E144" s="99"/>
      <c r="F144" s="82" t="e">
        <f>+SUM(F135:F143)</f>
        <v>#REF!</v>
      </c>
    </row>
    <row r="145" spans="1:6" ht="15" thickTop="1" x14ac:dyDescent="0.3">
      <c r="A145" s="130" t="s">
        <v>262</v>
      </c>
      <c r="B145" s="116" t="s">
        <v>234</v>
      </c>
      <c r="C145" s="116"/>
      <c r="D145" s="116"/>
      <c r="E145" s="116"/>
      <c r="F145" s="117"/>
    </row>
    <row r="146" spans="1:6" ht="16.8" x14ac:dyDescent="0.3">
      <c r="A146" s="126" t="s">
        <v>263</v>
      </c>
      <c r="B146" s="11" t="s">
        <v>81</v>
      </c>
      <c r="C146" s="109" t="s">
        <v>117</v>
      </c>
      <c r="D146" s="95">
        <v>24.13</v>
      </c>
      <c r="E146" s="13" t="e">
        <f>+E116</f>
        <v>#REF!</v>
      </c>
      <c r="F146" s="14" t="e">
        <f t="shared" ref="F146:F154" si="9">+E146*D146</f>
        <v>#REF!</v>
      </c>
    </row>
    <row r="147" spans="1:6" ht="20.399999999999999" x14ac:dyDescent="0.3">
      <c r="A147" s="126" t="s">
        <v>264</v>
      </c>
      <c r="B147" s="11" t="s">
        <v>82</v>
      </c>
      <c r="C147" s="109" t="s">
        <v>117</v>
      </c>
      <c r="D147" s="95">
        <v>24</v>
      </c>
      <c r="E147" s="13" t="e">
        <f>+E117</f>
        <v>#REF!</v>
      </c>
      <c r="F147" s="14" t="e">
        <f t="shared" si="9"/>
        <v>#REF!</v>
      </c>
    </row>
    <row r="148" spans="1:6" ht="20.399999999999999" x14ac:dyDescent="0.3">
      <c r="A148" s="126" t="s">
        <v>265</v>
      </c>
      <c r="B148" s="11" t="s">
        <v>118</v>
      </c>
      <c r="C148" s="109" t="s">
        <v>117</v>
      </c>
      <c r="D148" s="95">
        <f>D146*1.25</f>
        <v>30.162499999999998</v>
      </c>
      <c r="E148" s="13" t="e">
        <f>+E96</f>
        <v>#REF!</v>
      </c>
      <c r="F148" s="14" t="e">
        <f t="shared" si="9"/>
        <v>#REF!</v>
      </c>
    </row>
    <row r="149" spans="1:6" x14ac:dyDescent="0.3">
      <c r="A149" s="126" t="s">
        <v>266</v>
      </c>
      <c r="B149" s="11" t="s">
        <v>235</v>
      </c>
      <c r="C149" s="109" t="s">
        <v>121</v>
      </c>
      <c r="D149" s="95">
        <v>42.76</v>
      </c>
      <c r="E149" s="13" t="e">
        <f>+#REF!</f>
        <v>#REF!</v>
      </c>
      <c r="F149" s="14" t="e">
        <f t="shared" si="9"/>
        <v>#REF!</v>
      </c>
    </row>
    <row r="150" spans="1:6" x14ac:dyDescent="0.3">
      <c r="A150" s="126" t="s">
        <v>267</v>
      </c>
      <c r="B150" s="11" t="s">
        <v>236</v>
      </c>
      <c r="C150" s="109" t="s">
        <v>121</v>
      </c>
      <c r="D150" s="132">
        <v>0.3</v>
      </c>
      <c r="E150" s="13" t="e">
        <f>+#REF!</f>
        <v>#REF!</v>
      </c>
      <c r="F150" s="14" t="e">
        <f t="shared" si="9"/>
        <v>#REF!</v>
      </c>
    </row>
    <row r="151" spans="1:6" ht="20.399999999999999" x14ac:dyDescent="0.3">
      <c r="A151" s="126" t="s">
        <v>268</v>
      </c>
      <c r="B151" s="11" t="s">
        <v>237</v>
      </c>
      <c r="C151" s="109" t="s">
        <v>124</v>
      </c>
      <c r="D151" s="95">
        <v>1</v>
      </c>
      <c r="E151" s="13">
        <f>193470+432726</f>
        <v>626196</v>
      </c>
      <c r="F151" s="14">
        <f t="shared" si="9"/>
        <v>626196</v>
      </c>
    </row>
    <row r="152" spans="1:6" ht="16.8" x14ac:dyDescent="0.3">
      <c r="A152" s="126" t="s">
        <v>269</v>
      </c>
      <c r="B152" s="11" t="s">
        <v>274</v>
      </c>
      <c r="C152" s="109" t="s">
        <v>117</v>
      </c>
      <c r="D152" s="95">
        <v>1.5</v>
      </c>
      <c r="E152" s="13" t="e">
        <f>+#REF!</f>
        <v>#REF!</v>
      </c>
      <c r="F152" s="14" t="e">
        <f t="shared" si="9"/>
        <v>#REF!</v>
      </c>
    </row>
    <row r="153" spans="1:6" ht="16.8" x14ac:dyDescent="0.3">
      <c r="A153" s="126" t="s">
        <v>270</v>
      </c>
      <c r="B153" s="11" t="s">
        <v>238</v>
      </c>
      <c r="C153" s="109" t="s">
        <v>117</v>
      </c>
      <c r="D153" s="95">
        <f>D149*0.2*0.6</f>
        <v>5.1311999999999998</v>
      </c>
      <c r="E153" s="13" t="e">
        <f>+#REF!</f>
        <v>#REF!</v>
      </c>
      <c r="F153" s="14" t="e">
        <f t="shared" si="9"/>
        <v>#REF!</v>
      </c>
    </row>
    <row r="154" spans="1:6" x14ac:dyDescent="0.3">
      <c r="A154" s="126" t="s">
        <v>271</v>
      </c>
      <c r="B154" s="11" t="s">
        <v>239</v>
      </c>
      <c r="C154" s="109" t="s">
        <v>240</v>
      </c>
      <c r="D154" s="95">
        <v>2.8</v>
      </c>
      <c r="E154" s="13" t="e">
        <f>+#REF!</f>
        <v>#REF!</v>
      </c>
      <c r="F154" s="14" t="e">
        <f t="shared" si="9"/>
        <v>#REF!</v>
      </c>
    </row>
    <row r="155" spans="1:6" ht="15" thickBot="1" x14ac:dyDescent="0.35">
      <c r="A155" s="138"/>
      <c r="B155" s="97"/>
      <c r="C155" s="111"/>
      <c r="D155" s="119"/>
      <c r="E155" s="99"/>
      <c r="F155" s="82" t="e">
        <f>+SUM(F146:F154)</f>
        <v>#REF!</v>
      </c>
    </row>
    <row r="156" spans="1:6" ht="15" thickTop="1" x14ac:dyDescent="0.3">
      <c r="A156" s="130">
        <v>9.6999999999999993</v>
      </c>
      <c r="B156" s="116" t="s">
        <v>241</v>
      </c>
      <c r="C156" s="116"/>
      <c r="D156" s="116"/>
      <c r="E156" s="116"/>
      <c r="F156" s="117"/>
    </row>
    <row r="157" spans="1:6" ht="16.8" x14ac:dyDescent="0.3">
      <c r="A157" s="126" t="s">
        <v>275</v>
      </c>
      <c r="B157" s="11" t="s">
        <v>242</v>
      </c>
      <c r="C157" s="109" t="s">
        <v>117</v>
      </c>
      <c r="D157" s="131">
        <f>55.4*0.05</f>
        <v>2.77</v>
      </c>
      <c r="E157" s="13" t="e">
        <f>+#REF!</f>
        <v>#REF!</v>
      </c>
      <c r="F157" s="14" t="e">
        <f>+E157*D157</f>
        <v>#REF!</v>
      </c>
    </row>
    <row r="158" spans="1:6" ht="20.399999999999999" x14ac:dyDescent="0.3">
      <c r="A158" s="126" t="s">
        <v>276</v>
      </c>
      <c r="B158" s="11" t="s">
        <v>243</v>
      </c>
      <c r="C158" s="109" t="s">
        <v>244</v>
      </c>
      <c r="D158" s="131">
        <f>11*0.6*0.4</f>
        <v>2.64</v>
      </c>
      <c r="E158" s="13" t="e">
        <f>+#REF!</f>
        <v>#REF!</v>
      </c>
      <c r="F158" s="14" t="e">
        <f t="shared" ref="F158:F164" si="10">+E158*D158</f>
        <v>#REF!</v>
      </c>
    </row>
    <row r="159" spans="1:6" ht="16.8" x14ac:dyDescent="0.3">
      <c r="A159" s="126" t="s">
        <v>277</v>
      </c>
      <c r="B159" s="11" t="s">
        <v>245</v>
      </c>
      <c r="C159" s="109" t="s">
        <v>244</v>
      </c>
      <c r="D159" s="95">
        <v>310</v>
      </c>
      <c r="E159" s="13" t="e">
        <f>+#REF!</f>
        <v>#REF!</v>
      </c>
      <c r="F159" s="14" t="e">
        <f t="shared" si="10"/>
        <v>#REF!</v>
      </c>
    </row>
    <row r="160" spans="1:6" ht="20.399999999999999" x14ac:dyDescent="0.3">
      <c r="A160" s="126" t="s">
        <v>278</v>
      </c>
      <c r="B160" s="11" t="s">
        <v>246</v>
      </c>
      <c r="C160" s="109" t="s">
        <v>247</v>
      </c>
      <c r="D160" s="95">
        <v>1</v>
      </c>
      <c r="E160" s="13" t="e">
        <f>+#REF!</f>
        <v>#REF!</v>
      </c>
      <c r="F160" s="14" t="e">
        <f t="shared" si="10"/>
        <v>#REF!</v>
      </c>
    </row>
    <row r="161" spans="1:9" ht="30.6" x14ac:dyDescent="0.3">
      <c r="A161" s="126" t="s">
        <v>279</v>
      </c>
      <c r="B161" s="11" t="s">
        <v>248</v>
      </c>
      <c r="C161" s="109" t="s">
        <v>121</v>
      </c>
      <c r="D161" s="95">
        <v>100</v>
      </c>
      <c r="E161" s="13" t="e">
        <f>+#REF!</f>
        <v>#REF!</v>
      </c>
      <c r="F161" s="14" t="e">
        <f t="shared" si="10"/>
        <v>#REF!</v>
      </c>
    </row>
    <row r="162" spans="1:9" ht="30.6" x14ac:dyDescent="0.3">
      <c r="A162" s="126" t="s">
        <v>280</v>
      </c>
      <c r="B162" s="11" t="s">
        <v>249</v>
      </c>
      <c r="C162" s="109" t="s">
        <v>124</v>
      </c>
      <c r="D162" s="95">
        <v>1</v>
      </c>
      <c r="E162" s="13" t="e">
        <f>+#REF!</f>
        <v>#REF!</v>
      </c>
      <c r="F162" s="14" t="e">
        <f t="shared" si="10"/>
        <v>#REF!</v>
      </c>
    </row>
    <row r="163" spans="1:9" x14ac:dyDescent="0.3">
      <c r="A163" s="126" t="s">
        <v>281</v>
      </c>
      <c r="B163" s="11" t="s">
        <v>250</v>
      </c>
      <c r="C163" s="109" t="s">
        <v>124</v>
      </c>
      <c r="D163" s="95">
        <f>+D161/2.5</f>
        <v>40</v>
      </c>
      <c r="E163" s="13" t="e">
        <f>+#REF!</f>
        <v>#REF!</v>
      </c>
      <c r="F163" s="14" t="e">
        <f t="shared" si="10"/>
        <v>#REF!</v>
      </c>
    </row>
    <row r="164" spans="1:9" ht="20.399999999999999" x14ac:dyDescent="0.3">
      <c r="A164" s="126" t="s">
        <v>282</v>
      </c>
      <c r="B164" s="11" t="s">
        <v>251</v>
      </c>
      <c r="C164" s="109" t="s">
        <v>121</v>
      </c>
      <c r="D164" s="95">
        <v>30</v>
      </c>
      <c r="E164" s="13">
        <v>26169</v>
      </c>
      <c r="F164" s="14">
        <f t="shared" si="10"/>
        <v>785070</v>
      </c>
    </row>
    <row r="165" spans="1:9" ht="15" thickBot="1" x14ac:dyDescent="0.35">
      <c r="A165" s="96"/>
      <c r="B165" s="114"/>
      <c r="C165" s="115"/>
      <c r="D165" s="98"/>
      <c r="E165" s="99"/>
      <c r="F165" s="82" t="e">
        <f>+SUM(F157:F164)</f>
        <v>#REF!</v>
      </c>
    </row>
    <row r="166" spans="1:9" ht="15" thickTop="1" x14ac:dyDescent="0.3">
      <c r="A166" s="528" t="s">
        <v>106</v>
      </c>
      <c r="B166" s="529"/>
      <c r="C166" s="529"/>
      <c r="D166" s="529"/>
      <c r="E166" s="529"/>
      <c r="F166" s="123" t="e">
        <f>+ROUND(F55+F51+F38+F30+F25++F92+F43+F71+F114+F133+F144+F155+F165,0)</f>
        <v>#REF!</v>
      </c>
      <c r="I166" s="137"/>
    </row>
    <row r="167" spans="1:9" x14ac:dyDescent="0.3">
      <c r="A167" s="520" t="s">
        <v>80</v>
      </c>
      <c r="B167" s="521"/>
      <c r="C167" s="521"/>
      <c r="D167" s="521"/>
      <c r="E167" s="521"/>
      <c r="F167" s="123" t="e">
        <f>+ROUND(F166*0.3,0)</f>
        <v>#REF!</v>
      </c>
    </row>
    <row r="168" spans="1:9" x14ac:dyDescent="0.3">
      <c r="A168" s="520" t="s">
        <v>107</v>
      </c>
      <c r="B168" s="521"/>
      <c r="C168" s="521"/>
      <c r="D168" s="521"/>
      <c r="E168" s="521"/>
      <c r="F168" s="123" t="e">
        <f>+SUM(F166:F167)</f>
        <v>#REF!</v>
      </c>
    </row>
    <row r="169" spans="1:9" x14ac:dyDescent="0.3">
      <c r="A169" s="520" t="s">
        <v>108</v>
      </c>
      <c r="B169" s="521"/>
      <c r="C169" s="521"/>
      <c r="D169" s="521"/>
      <c r="E169" s="522"/>
      <c r="F169" s="123" t="e">
        <f>+F168*8%</f>
        <v>#REF!</v>
      </c>
    </row>
    <row r="170" spans="1:9" s="83" customFormat="1" x14ac:dyDescent="0.3">
      <c r="A170" s="520" t="s">
        <v>79</v>
      </c>
      <c r="B170" s="521"/>
      <c r="C170" s="521"/>
      <c r="D170" s="521"/>
      <c r="E170" s="521"/>
      <c r="F170" s="123" t="e">
        <f>+F169+F168</f>
        <v>#REF!</v>
      </c>
      <c r="H170"/>
      <c r="I170" s="133"/>
    </row>
    <row r="171" spans="1:9" ht="15.6" x14ac:dyDescent="0.3">
      <c r="A171" s="21"/>
      <c r="B171" s="22"/>
      <c r="C171" s="112"/>
      <c r="D171" s="23"/>
      <c r="E171" s="100"/>
      <c r="F171" s="23"/>
    </row>
    <row r="172" spans="1:9" x14ac:dyDescent="0.3">
      <c r="B172" s="113"/>
    </row>
    <row r="173" spans="1:9" x14ac:dyDescent="0.3">
      <c r="B173" s="113"/>
      <c r="F173" t="s">
        <v>289</v>
      </c>
      <c r="H173" s="137" t="e">
        <f>+#REF!</f>
        <v>#REF!</v>
      </c>
    </row>
    <row r="174" spans="1:9" x14ac:dyDescent="0.3">
      <c r="F174" t="s">
        <v>290</v>
      </c>
      <c r="H174" s="137" t="e">
        <f>+#REF!</f>
        <v>#REF!</v>
      </c>
    </row>
    <row r="175" spans="1:9" x14ac:dyDescent="0.3">
      <c r="F175" t="s">
        <v>291</v>
      </c>
      <c r="H175" s="137" t="e">
        <f>+F170</f>
        <v>#REF!</v>
      </c>
    </row>
    <row r="176" spans="1:9" x14ac:dyDescent="0.3">
      <c r="H176" s="137" t="e">
        <f>SUM(H173:H175)</f>
        <v>#REF!</v>
      </c>
    </row>
  </sheetData>
  <mergeCells count="14">
    <mergeCell ref="B39:F39"/>
    <mergeCell ref="A2:F2"/>
    <mergeCell ref="A4:F4"/>
    <mergeCell ref="B6:F6"/>
    <mergeCell ref="B26:F26"/>
    <mergeCell ref="B31:F31"/>
    <mergeCell ref="A169:E169"/>
    <mergeCell ref="A170:E170"/>
    <mergeCell ref="B45:E45"/>
    <mergeCell ref="B52:F52"/>
    <mergeCell ref="B56:F56"/>
    <mergeCell ref="A166:E166"/>
    <mergeCell ref="A167:E167"/>
    <mergeCell ref="A168:E168"/>
  </mergeCells>
  <pageMargins left="0.70866141732283472" right="0.70866141732283472" top="0.74803149606299213" bottom="0.74803149606299213" header="0.31496062992125984" footer="0.31496062992125984"/>
  <pageSetup scale="90" orientation="portrait" verticalDpi="300" r:id="rId1"/>
  <rowBreaks count="2" manualBreakCount="2">
    <brk id="38" max="16383" man="1"/>
    <brk id="16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4"/>
  </sheetPr>
  <dimension ref="B1:I76"/>
  <sheetViews>
    <sheetView showGridLines="0" zoomScale="98" zoomScaleNormal="98" zoomScaleSheetLayoutView="100" zoomScalePageLayoutView="80" workbookViewId="0">
      <pane ySplit="1" topLeftCell="A2" activePane="bottomLeft" state="frozenSplit"/>
      <selection activeCell="A16" sqref="A16:B16"/>
      <selection pane="bottomLeft" activeCell="H5" sqref="H5"/>
    </sheetView>
  </sheetViews>
  <sheetFormatPr baseColWidth="10" defaultColWidth="10.6640625" defaultRowHeight="15" x14ac:dyDescent="0.3"/>
  <cols>
    <col min="1" max="1" width="7.6640625" style="147" customWidth="1"/>
    <col min="2" max="2" width="6.109375" style="152" bestFit="1" customWidth="1"/>
    <col min="3" max="3" width="57.44140625" style="147" customWidth="1"/>
    <col min="4" max="4" width="7" style="147" customWidth="1"/>
    <col min="5" max="5" width="14.109375" style="147" customWidth="1"/>
    <col min="6" max="6" width="18.88671875" style="149" customWidth="1"/>
    <col min="7" max="7" width="25.88671875" style="149" customWidth="1"/>
    <col min="8" max="8" width="10.109375" style="147" customWidth="1"/>
    <col min="9" max="9" width="43.33203125" style="147" customWidth="1"/>
    <col min="10" max="10" width="13.33203125" style="147" bestFit="1" customWidth="1"/>
    <col min="11" max="234" width="11.44140625" style="147"/>
    <col min="235" max="235" width="6.5546875" style="147" customWidth="1"/>
    <col min="236" max="236" width="64.6640625" style="147" customWidth="1"/>
    <col min="237" max="237" width="13.44140625" style="147" customWidth="1"/>
    <col min="238" max="238" width="11.88671875" style="147" bestFit="1" customWidth="1"/>
    <col min="239" max="239" width="21.33203125" style="147" customWidth="1"/>
    <col min="240" max="240" width="26.88671875" style="147" customWidth="1"/>
    <col min="241" max="243" width="14.5546875" style="147" bestFit="1" customWidth="1"/>
    <col min="244" max="247" width="15.5546875" style="147" bestFit="1" customWidth="1"/>
    <col min="248" max="249" width="14.5546875" style="147" bestFit="1" customWidth="1"/>
    <col min="250" max="250" width="22.109375" style="147" customWidth="1"/>
    <col min="251" max="490" width="11.44140625" style="147"/>
    <col min="491" max="491" width="6.5546875" style="147" customWidth="1"/>
    <col min="492" max="492" width="64.6640625" style="147" customWidth="1"/>
    <col min="493" max="493" width="13.44140625" style="147" customWidth="1"/>
    <col min="494" max="494" width="11.88671875" style="147" bestFit="1" customWidth="1"/>
    <col min="495" max="495" width="21.33203125" style="147" customWidth="1"/>
    <col min="496" max="496" width="26.88671875" style="147" customWidth="1"/>
    <col min="497" max="499" width="14.5546875" style="147" bestFit="1" customWidth="1"/>
    <col min="500" max="503" width="15.5546875" style="147" bestFit="1" customWidth="1"/>
    <col min="504" max="505" width="14.5546875" style="147" bestFit="1" customWidth="1"/>
    <col min="506" max="506" width="22.109375" style="147" customWidth="1"/>
    <col min="507" max="746" width="11.44140625" style="147"/>
    <col min="747" max="747" width="6.5546875" style="147" customWidth="1"/>
    <col min="748" max="748" width="64.6640625" style="147" customWidth="1"/>
    <col min="749" max="749" width="13.44140625" style="147" customWidth="1"/>
    <col min="750" max="750" width="11.88671875" style="147" bestFit="1" customWidth="1"/>
    <col min="751" max="751" width="21.33203125" style="147" customWidth="1"/>
    <col min="752" max="752" width="26.88671875" style="147" customWidth="1"/>
    <col min="753" max="755" width="14.5546875" style="147" bestFit="1" customWidth="1"/>
    <col min="756" max="759" width="15.5546875" style="147" bestFit="1" customWidth="1"/>
    <col min="760" max="761" width="14.5546875" style="147" bestFit="1" customWidth="1"/>
    <col min="762" max="762" width="22.109375" style="147" customWidth="1"/>
    <col min="763" max="1002" width="11.44140625" style="147"/>
    <col min="1003" max="1003" width="6.5546875" style="147" customWidth="1"/>
    <col min="1004" max="1004" width="64.6640625" style="147" customWidth="1"/>
    <col min="1005" max="1005" width="13.44140625" style="147" customWidth="1"/>
    <col min="1006" max="1006" width="11.88671875" style="147" bestFit="1" customWidth="1"/>
    <col min="1007" max="1007" width="21.33203125" style="147" customWidth="1"/>
    <col min="1008" max="1008" width="26.88671875" style="147" customWidth="1"/>
    <col min="1009" max="1011" width="14.5546875" style="147" bestFit="1" customWidth="1"/>
    <col min="1012" max="1015" width="15.5546875" style="147" bestFit="1" customWidth="1"/>
    <col min="1016" max="1017" width="14.5546875" style="147" bestFit="1" customWidth="1"/>
    <col min="1018" max="1018" width="22.109375" style="147" customWidth="1"/>
    <col min="1019" max="1258" width="11.44140625" style="147"/>
    <col min="1259" max="1259" width="6.5546875" style="147" customWidth="1"/>
    <col min="1260" max="1260" width="64.6640625" style="147" customWidth="1"/>
    <col min="1261" max="1261" width="13.44140625" style="147" customWidth="1"/>
    <col min="1262" max="1262" width="11.88671875" style="147" bestFit="1" customWidth="1"/>
    <col min="1263" max="1263" width="21.33203125" style="147" customWidth="1"/>
    <col min="1264" max="1264" width="26.88671875" style="147" customWidth="1"/>
    <col min="1265" max="1267" width="14.5546875" style="147" bestFit="1" customWidth="1"/>
    <col min="1268" max="1271" width="15.5546875" style="147" bestFit="1" customWidth="1"/>
    <col min="1272" max="1273" width="14.5546875" style="147" bestFit="1" customWidth="1"/>
    <col min="1274" max="1274" width="22.109375" style="147" customWidth="1"/>
    <col min="1275" max="1514" width="11.44140625" style="147"/>
    <col min="1515" max="1515" width="6.5546875" style="147" customWidth="1"/>
    <col min="1516" max="1516" width="64.6640625" style="147" customWidth="1"/>
    <col min="1517" max="1517" width="13.44140625" style="147" customWidth="1"/>
    <col min="1518" max="1518" width="11.88671875" style="147" bestFit="1" customWidth="1"/>
    <col min="1519" max="1519" width="21.33203125" style="147" customWidth="1"/>
    <col min="1520" max="1520" width="26.88671875" style="147" customWidth="1"/>
    <col min="1521" max="1523" width="14.5546875" style="147" bestFit="1" customWidth="1"/>
    <col min="1524" max="1527" width="15.5546875" style="147" bestFit="1" customWidth="1"/>
    <col min="1528" max="1529" width="14.5546875" style="147" bestFit="1" customWidth="1"/>
    <col min="1530" max="1530" width="22.109375" style="147" customWidth="1"/>
    <col min="1531" max="1770" width="11.44140625" style="147"/>
    <col min="1771" max="1771" width="6.5546875" style="147" customWidth="1"/>
    <col min="1772" max="1772" width="64.6640625" style="147" customWidth="1"/>
    <col min="1773" max="1773" width="13.44140625" style="147" customWidth="1"/>
    <col min="1774" max="1774" width="11.88671875" style="147" bestFit="1" customWidth="1"/>
    <col min="1775" max="1775" width="21.33203125" style="147" customWidth="1"/>
    <col min="1776" max="1776" width="26.88671875" style="147" customWidth="1"/>
    <col min="1777" max="1779" width="14.5546875" style="147" bestFit="1" customWidth="1"/>
    <col min="1780" max="1783" width="15.5546875" style="147" bestFit="1" customWidth="1"/>
    <col min="1784" max="1785" width="14.5546875" style="147" bestFit="1" customWidth="1"/>
    <col min="1786" max="1786" width="22.109375" style="147" customWidth="1"/>
    <col min="1787" max="2026" width="11.44140625" style="147"/>
    <col min="2027" max="2027" width="6.5546875" style="147" customWidth="1"/>
    <col min="2028" max="2028" width="64.6640625" style="147" customWidth="1"/>
    <col min="2029" max="2029" width="13.44140625" style="147" customWidth="1"/>
    <col min="2030" max="2030" width="11.88671875" style="147" bestFit="1" customWidth="1"/>
    <col min="2031" max="2031" width="21.33203125" style="147" customWidth="1"/>
    <col min="2032" max="2032" width="26.88671875" style="147" customWidth="1"/>
    <col min="2033" max="2035" width="14.5546875" style="147" bestFit="1" customWidth="1"/>
    <col min="2036" max="2039" width="15.5546875" style="147" bestFit="1" customWidth="1"/>
    <col min="2040" max="2041" width="14.5546875" style="147" bestFit="1" customWidth="1"/>
    <col min="2042" max="2042" width="22.109375" style="147" customWidth="1"/>
    <col min="2043" max="2282" width="11.44140625" style="147"/>
    <col min="2283" max="2283" width="6.5546875" style="147" customWidth="1"/>
    <col min="2284" max="2284" width="64.6640625" style="147" customWidth="1"/>
    <col min="2285" max="2285" width="13.44140625" style="147" customWidth="1"/>
    <col min="2286" max="2286" width="11.88671875" style="147" bestFit="1" customWidth="1"/>
    <col min="2287" max="2287" width="21.33203125" style="147" customWidth="1"/>
    <col min="2288" max="2288" width="26.88671875" style="147" customWidth="1"/>
    <col min="2289" max="2291" width="14.5546875" style="147" bestFit="1" customWidth="1"/>
    <col min="2292" max="2295" width="15.5546875" style="147" bestFit="1" customWidth="1"/>
    <col min="2296" max="2297" width="14.5546875" style="147" bestFit="1" customWidth="1"/>
    <col min="2298" max="2298" width="22.109375" style="147" customWidth="1"/>
    <col min="2299" max="2538" width="11.44140625" style="147"/>
    <col min="2539" max="2539" width="6.5546875" style="147" customWidth="1"/>
    <col min="2540" max="2540" width="64.6640625" style="147" customWidth="1"/>
    <col min="2541" max="2541" width="13.44140625" style="147" customWidth="1"/>
    <col min="2542" max="2542" width="11.88671875" style="147" bestFit="1" customWidth="1"/>
    <col min="2543" max="2543" width="21.33203125" style="147" customWidth="1"/>
    <col min="2544" max="2544" width="26.88671875" style="147" customWidth="1"/>
    <col min="2545" max="2547" width="14.5546875" style="147" bestFit="1" customWidth="1"/>
    <col min="2548" max="2551" width="15.5546875" style="147" bestFit="1" customWidth="1"/>
    <col min="2552" max="2553" width="14.5546875" style="147" bestFit="1" customWidth="1"/>
    <col min="2554" max="2554" width="22.109375" style="147" customWidth="1"/>
    <col min="2555" max="2794" width="11.44140625" style="147"/>
    <col min="2795" max="2795" width="6.5546875" style="147" customWidth="1"/>
    <col min="2796" max="2796" width="64.6640625" style="147" customWidth="1"/>
    <col min="2797" max="2797" width="13.44140625" style="147" customWidth="1"/>
    <col min="2798" max="2798" width="11.88671875" style="147" bestFit="1" customWidth="1"/>
    <col min="2799" max="2799" width="21.33203125" style="147" customWidth="1"/>
    <col min="2800" max="2800" width="26.88671875" style="147" customWidth="1"/>
    <col min="2801" max="2803" width="14.5546875" style="147" bestFit="1" customWidth="1"/>
    <col min="2804" max="2807" width="15.5546875" style="147" bestFit="1" customWidth="1"/>
    <col min="2808" max="2809" width="14.5546875" style="147" bestFit="1" customWidth="1"/>
    <col min="2810" max="2810" width="22.109375" style="147" customWidth="1"/>
    <col min="2811" max="3050" width="11.44140625" style="147"/>
    <col min="3051" max="3051" width="6.5546875" style="147" customWidth="1"/>
    <col min="3052" max="3052" width="64.6640625" style="147" customWidth="1"/>
    <col min="3053" max="3053" width="13.44140625" style="147" customWidth="1"/>
    <col min="3054" max="3054" width="11.88671875" style="147" bestFit="1" customWidth="1"/>
    <col min="3055" max="3055" width="21.33203125" style="147" customWidth="1"/>
    <col min="3056" max="3056" width="26.88671875" style="147" customWidth="1"/>
    <col min="3057" max="3059" width="14.5546875" style="147" bestFit="1" customWidth="1"/>
    <col min="3060" max="3063" width="15.5546875" style="147" bestFit="1" customWidth="1"/>
    <col min="3064" max="3065" width="14.5546875" style="147" bestFit="1" customWidth="1"/>
    <col min="3066" max="3066" width="22.109375" style="147" customWidth="1"/>
    <col min="3067" max="3306" width="11.44140625" style="147"/>
    <col min="3307" max="3307" width="6.5546875" style="147" customWidth="1"/>
    <col min="3308" max="3308" width="64.6640625" style="147" customWidth="1"/>
    <col min="3309" max="3309" width="13.44140625" style="147" customWidth="1"/>
    <col min="3310" max="3310" width="11.88671875" style="147" bestFit="1" customWidth="1"/>
    <col min="3311" max="3311" width="21.33203125" style="147" customWidth="1"/>
    <col min="3312" max="3312" width="26.88671875" style="147" customWidth="1"/>
    <col min="3313" max="3315" width="14.5546875" style="147" bestFit="1" customWidth="1"/>
    <col min="3316" max="3319" width="15.5546875" style="147" bestFit="1" customWidth="1"/>
    <col min="3320" max="3321" width="14.5546875" style="147" bestFit="1" customWidth="1"/>
    <col min="3322" max="3322" width="22.109375" style="147" customWidth="1"/>
    <col min="3323" max="3562" width="11.44140625" style="147"/>
    <col min="3563" max="3563" width="6.5546875" style="147" customWidth="1"/>
    <col min="3564" max="3564" width="64.6640625" style="147" customWidth="1"/>
    <col min="3565" max="3565" width="13.44140625" style="147" customWidth="1"/>
    <col min="3566" max="3566" width="11.88671875" style="147" bestFit="1" customWidth="1"/>
    <col min="3567" max="3567" width="21.33203125" style="147" customWidth="1"/>
    <col min="3568" max="3568" width="26.88671875" style="147" customWidth="1"/>
    <col min="3569" max="3571" width="14.5546875" style="147" bestFit="1" customWidth="1"/>
    <col min="3572" max="3575" width="15.5546875" style="147" bestFit="1" customWidth="1"/>
    <col min="3576" max="3577" width="14.5546875" style="147" bestFit="1" customWidth="1"/>
    <col min="3578" max="3578" width="22.109375" style="147" customWidth="1"/>
    <col min="3579" max="3818" width="11.44140625" style="147"/>
    <col min="3819" max="3819" width="6.5546875" style="147" customWidth="1"/>
    <col min="3820" max="3820" width="64.6640625" style="147" customWidth="1"/>
    <col min="3821" max="3821" width="13.44140625" style="147" customWidth="1"/>
    <col min="3822" max="3822" width="11.88671875" style="147" bestFit="1" customWidth="1"/>
    <col min="3823" max="3823" width="21.33203125" style="147" customWidth="1"/>
    <col min="3824" max="3824" width="26.88671875" style="147" customWidth="1"/>
    <col min="3825" max="3827" width="14.5546875" style="147" bestFit="1" customWidth="1"/>
    <col min="3828" max="3831" width="15.5546875" style="147" bestFit="1" customWidth="1"/>
    <col min="3832" max="3833" width="14.5546875" style="147" bestFit="1" customWidth="1"/>
    <col min="3834" max="3834" width="22.109375" style="147" customWidth="1"/>
    <col min="3835" max="4074" width="11.44140625" style="147"/>
    <col min="4075" max="4075" width="6.5546875" style="147" customWidth="1"/>
    <col min="4076" max="4076" width="64.6640625" style="147" customWidth="1"/>
    <col min="4077" max="4077" width="13.44140625" style="147" customWidth="1"/>
    <col min="4078" max="4078" width="11.88671875" style="147" bestFit="1" customWidth="1"/>
    <col min="4079" max="4079" width="21.33203125" style="147" customWidth="1"/>
    <col min="4080" max="4080" width="26.88671875" style="147" customWidth="1"/>
    <col min="4081" max="4083" width="14.5546875" style="147" bestFit="1" customWidth="1"/>
    <col min="4084" max="4087" width="15.5546875" style="147" bestFit="1" customWidth="1"/>
    <col min="4088" max="4089" width="14.5546875" style="147" bestFit="1" customWidth="1"/>
    <col min="4090" max="4090" width="22.109375" style="147" customWidth="1"/>
    <col min="4091" max="4330" width="11.44140625" style="147"/>
    <col min="4331" max="4331" width="6.5546875" style="147" customWidth="1"/>
    <col min="4332" max="4332" width="64.6640625" style="147" customWidth="1"/>
    <col min="4333" max="4333" width="13.44140625" style="147" customWidth="1"/>
    <col min="4334" max="4334" width="11.88671875" style="147" bestFit="1" customWidth="1"/>
    <col min="4335" max="4335" width="21.33203125" style="147" customWidth="1"/>
    <col min="4336" max="4336" width="26.88671875" style="147" customWidth="1"/>
    <col min="4337" max="4339" width="14.5546875" style="147" bestFit="1" customWidth="1"/>
    <col min="4340" max="4343" width="15.5546875" style="147" bestFit="1" customWidth="1"/>
    <col min="4344" max="4345" width="14.5546875" style="147" bestFit="1" customWidth="1"/>
    <col min="4346" max="4346" width="22.109375" style="147" customWidth="1"/>
    <col min="4347" max="4586" width="11.44140625" style="147"/>
    <col min="4587" max="4587" width="6.5546875" style="147" customWidth="1"/>
    <col min="4588" max="4588" width="64.6640625" style="147" customWidth="1"/>
    <col min="4589" max="4589" width="13.44140625" style="147" customWidth="1"/>
    <col min="4590" max="4590" width="11.88671875" style="147" bestFit="1" customWidth="1"/>
    <col min="4591" max="4591" width="21.33203125" style="147" customWidth="1"/>
    <col min="4592" max="4592" width="26.88671875" style="147" customWidth="1"/>
    <col min="4593" max="4595" width="14.5546875" style="147" bestFit="1" customWidth="1"/>
    <col min="4596" max="4599" width="15.5546875" style="147" bestFit="1" customWidth="1"/>
    <col min="4600" max="4601" width="14.5546875" style="147" bestFit="1" customWidth="1"/>
    <col min="4602" max="4602" width="22.109375" style="147" customWidth="1"/>
    <col min="4603" max="4842" width="11.44140625" style="147"/>
    <col min="4843" max="4843" width="6.5546875" style="147" customWidth="1"/>
    <col min="4844" max="4844" width="64.6640625" style="147" customWidth="1"/>
    <col min="4845" max="4845" width="13.44140625" style="147" customWidth="1"/>
    <col min="4846" max="4846" width="11.88671875" style="147" bestFit="1" customWidth="1"/>
    <col min="4847" max="4847" width="21.33203125" style="147" customWidth="1"/>
    <col min="4848" max="4848" width="26.88671875" style="147" customWidth="1"/>
    <col min="4849" max="4851" width="14.5546875" style="147" bestFit="1" customWidth="1"/>
    <col min="4852" max="4855" width="15.5546875" style="147" bestFit="1" customWidth="1"/>
    <col min="4856" max="4857" width="14.5546875" style="147" bestFit="1" customWidth="1"/>
    <col min="4858" max="4858" width="22.109375" style="147" customWidth="1"/>
    <col min="4859" max="5098" width="11.44140625" style="147"/>
    <col min="5099" max="5099" width="6.5546875" style="147" customWidth="1"/>
    <col min="5100" max="5100" width="64.6640625" style="147" customWidth="1"/>
    <col min="5101" max="5101" width="13.44140625" style="147" customWidth="1"/>
    <col min="5102" max="5102" width="11.88671875" style="147" bestFit="1" customWidth="1"/>
    <col min="5103" max="5103" width="21.33203125" style="147" customWidth="1"/>
    <col min="5104" max="5104" width="26.88671875" style="147" customWidth="1"/>
    <col min="5105" max="5107" width="14.5546875" style="147" bestFit="1" customWidth="1"/>
    <col min="5108" max="5111" width="15.5546875" style="147" bestFit="1" customWidth="1"/>
    <col min="5112" max="5113" width="14.5546875" style="147" bestFit="1" customWidth="1"/>
    <col min="5114" max="5114" width="22.109375" style="147" customWidth="1"/>
    <col min="5115" max="5354" width="11.44140625" style="147"/>
    <col min="5355" max="5355" width="6.5546875" style="147" customWidth="1"/>
    <col min="5356" max="5356" width="64.6640625" style="147" customWidth="1"/>
    <col min="5357" max="5357" width="13.44140625" style="147" customWidth="1"/>
    <col min="5358" max="5358" width="11.88671875" style="147" bestFit="1" customWidth="1"/>
    <col min="5359" max="5359" width="21.33203125" style="147" customWidth="1"/>
    <col min="5360" max="5360" width="26.88671875" style="147" customWidth="1"/>
    <col min="5361" max="5363" width="14.5546875" style="147" bestFit="1" customWidth="1"/>
    <col min="5364" max="5367" width="15.5546875" style="147" bestFit="1" customWidth="1"/>
    <col min="5368" max="5369" width="14.5546875" style="147" bestFit="1" customWidth="1"/>
    <col min="5370" max="5370" width="22.109375" style="147" customWidth="1"/>
    <col min="5371" max="5610" width="11.44140625" style="147"/>
    <col min="5611" max="5611" width="6.5546875" style="147" customWidth="1"/>
    <col min="5612" max="5612" width="64.6640625" style="147" customWidth="1"/>
    <col min="5613" max="5613" width="13.44140625" style="147" customWidth="1"/>
    <col min="5614" max="5614" width="11.88671875" style="147" bestFit="1" customWidth="1"/>
    <col min="5615" max="5615" width="21.33203125" style="147" customWidth="1"/>
    <col min="5616" max="5616" width="26.88671875" style="147" customWidth="1"/>
    <col min="5617" max="5619" width="14.5546875" style="147" bestFit="1" customWidth="1"/>
    <col min="5620" max="5623" width="15.5546875" style="147" bestFit="1" customWidth="1"/>
    <col min="5624" max="5625" width="14.5546875" style="147" bestFit="1" customWidth="1"/>
    <col min="5626" max="5626" width="22.109375" style="147" customWidth="1"/>
    <col min="5627" max="5866" width="11.44140625" style="147"/>
    <col min="5867" max="5867" width="6.5546875" style="147" customWidth="1"/>
    <col min="5868" max="5868" width="64.6640625" style="147" customWidth="1"/>
    <col min="5869" max="5869" width="13.44140625" style="147" customWidth="1"/>
    <col min="5870" max="5870" width="11.88671875" style="147" bestFit="1" customWidth="1"/>
    <col min="5871" max="5871" width="21.33203125" style="147" customWidth="1"/>
    <col min="5872" max="5872" width="26.88671875" style="147" customWidth="1"/>
    <col min="5873" max="5875" width="14.5546875" style="147" bestFit="1" customWidth="1"/>
    <col min="5876" max="5879" width="15.5546875" style="147" bestFit="1" customWidth="1"/>
    <col min="5880" max="5881" width="14.5546875" style="147" bestFit="1" customWidth="1"/>
    <col min="5882" max="5882" width="22.109375" style="147" customWidth="1"/>
    <col min="5883" max="6122" width="11.44140625" style="147"/>
    <col min="6123" max="6123" width="6.5546875" style="147" customWidth="1"/>
    <col min="6124" max="6124" width="64.6640625" style="147" customWidth="1"/>
    <col min="6125" max="6125" width="13.44140625" style="147" customWidth="1"/>
    <col min="6126" max="6126" width="11.88671875" style="147" bestFit="1" customWidth="1"/>
    <col min="6127" max="6127" width="21.33203125" style="147" customWidth="1"/>
    <col min="6128" max="6128" width="26.88671875" style="147" customWidth="1"/>
    <col min="6129" max="6131" width="14.5546875" style="147" bestFit="1" customWidth="1"/>
    <col min="6132" max="6135" width="15.5546875" style="147" bestFit="1" customWidth="1"/>
    <col min="6136" max="6137" width="14.5546875" style="147" bestFit="1" customWidth="1"/>
    <col min="6138" max="6138" width="22.109375" style="147" customWidth="1"/>
    <col min="6139" max="6378" width="11.44140625" style="147"/>
    <col min="6379" max="6379" width="6.5546875" style="147" customWidth="1"/>
    <col min="6380" max="6380" width="64.6640625" style="147" customWidth="1"/>
    <col min="6381" max="6381" width="13.44140625" style="147" customWidth="1"/>
    <col min="6382" max="6382" width="11.88671875" style="147" bestFit="1" customWidth="1"/>
    <col min="6383" max="6383" width="21.33203125" style="147" customWidth="1"/>
    <col min="6384" max="6384" width="26.88671875" style="147" customWidth="1"/>
    <col min="6385" max="6387" width="14.5546875" style="147" bestFit="1" customWidth="1"/>
    <col min="6388" max="6391" width="15.5546875" style="147" bestFit="1" customWidth="1"/>
    <col min="6392" max="6393" width="14.5546875" style="147" bestFit="1" customWidth="1"/>
    <col min="6394" max="6394" width="22.109375" style="147" customWidth="1"/>
    <col min="6395" max="6634" width="11.44140625" style="147"/>
    <col min="6635" max="6635" width="6.5546875" style="147" customWidth="1"/>
    <col min="6636" max="6636" width="64.6640625" style="147" customWidth="1"/>
    <col min="6637" max="6637" width="13.44140625" style="147" customWidth="1"/>
    <col min="6638" max="6638" width="11.88671875" style="147" bestFit="1" customWidth="1"/>
    <col min="6639" max="6639" width="21.33203125" style="147" customWidth="1"/>
    <col min="6640" max="6640" width="26.88671875" style="147" customWidth="1"/>
    <col min="6641" max="6643" width="14.5546875" style="147" bestFit="1" customWidth="1"/>
    <col min="6644" max="6647" width="15.5546875" style="147" bestFit="1" customWidth="1"/>
    <col min="6648" max="6649" width="14.5546875" style="147" bestFit="1" customWidth="1"/>
    <col min="6650" max="6650" width="22.109375" style="147" customWidth="1"/>
    <col min="6651" max="6890" width="11.44140625" style="147"/>
    <col min="6891" max="6891" width="6.5546875" style="147" customWidth="1"/>
    <col min="6892" max="6892" width="64.6640625" style="147" customWidth="1"/>
    <col min="6893" max="6893" width="13.44140625" style="147" customWidth="1"/>
    <col min="6894" max="6894" width="11.88671875" style="147" bestFit="1" customWidth="1"/>
    <col min="6895" max="6895" width="21.33203125" style="147" customWidth="1"/>
    <col min="6896" max="6896" width="26.88671875" style="147" customWidth="1"/>
    <col min="6897" max="6899" width="14.5546875" style="147" bestFit="1" customWidth="1"/>
    <col min="6900" max="6903" width="15.5546875" style="147" bestFit="1" customWidth="1"/>
    <col min="6904" max="6905" width="14.5546875" style="147" bestFit="1" customWidth="1"/>
    <col min="6906" max="6906" width="22.109375" style="147" customWidth="1"/>
    <col min="6907" max="7146" width="11.44140625" style="147"/>
    <col min="7147" max="7147" width="6.5546875" style="147" customWidth="1"/>
    <col min="7148" max="7148" width="64.6640625" style="147" customWidth="1"/>
    <col min="7149" max="7149" width="13.44140625" style="147" customWidth="1"/>
    <col min="7150" max="7150" width="11.88671875" style="147" bestFit="1" customWidth="1"/>
    <col min="7151" max="7151" width="21.33203125" style="147" customWidth="1"/>
    <col min="7152" max="7152" width="26.88671875" style="147" customWidth="1"/>
    <col min="7153" max="7155" width="14.5546875" style="147" bestFit="1" customWidth="1"/>
    <col min="7156" max="7159" width="15.5546875" style="147" bestFit="1" customWidth="1"/>
    <col min="7160" max="7161" width="14.5546875" style="147" bestFit="1" customWidth="1"/>
    <col min="7162" max="7162" width="22.109375" style="147" customWidth="1"/>
    <col min="7163" max="7402" width="11.44140625" style="147"/>
    <col min="7403" max="7403" width="6.5546875" style="147" customWidth="1"/>
    <col min="7404" max="7404" width="64.6640625" style="147" customWidth="1"/>
    <col min="7405" max="7405" width="13.44140625" style="147" customWidth="1"/>
    <col min="7406" max="7406" width="11.88671875" style="147" bestFit="1" customWidth="1"/>
    <col min="7407" max="7407" width="21.33203125" style="147" customWidth="1"/>
    <col min="7408" max="7408" width="26.88671875" style="147" customWidth="1"/>
    <col min="7409" max="7411" width="14.5546875" style="147" bestFit="1" customWidth="1"/>
    <col min="7412" max="7415" width="15.5546875" style="147" bestFit="1" customWidth="1"/>
    <col min="7416" max="7417" width="14.5546875" style="147" bestFit="1" customWidth="1"/>
    <col min="7418" max="7418" width="22.109375" style="147" customWidth="1"/>
    <col min="7419" max="7658" width="11.44140625" style="147"/>
    <col min="7659" max="7659" width="6.5546875" style="147" customWidth="1"/>
    <col min="7660" max="7660" width="64.6640625" style="147" customWidth="1"/>
    <col min="7661" max="7661" width="13.44140625" style="147" customWidth="1"/>
    <col min="7662" max="7662" width="11.88671875" style="147" bestFit="1" customWidth="1"/>
    <col min="7663" max="7663" width="21.33203125" style="147" customWidth="1"/>
    <col min="7664" max="7664" width="26.88671875" style="147" customWidth="1"/>
    <col min="7665" max="7667" width="14.5546875" style="147" bestFit="1" customWidth="1"/>
    <col min="7668" max="7671" width="15.5546875" style="147" bestFit="1" customWidth="1"/>
    <col min="7672" max="7673" width="14.5546875" style="147" bestFit="1" customWidth="1"/>
    <col min="7674" max="7674" width="22.109375" style="147" customWidth="1"/>
    <col min="7675" max="7914" width="11.44140625" style="147"/>
    <col min="7915" max="7915" width="6.5546875" style="147" customWidth="1"/>
    <col min="7916" max="7916" width="64.6640625" style="147" customWidth="1"/>
    <col min="7917" max="7917" width="13.44140625" style="147" customWidth="1"/>
    <col min="7918" max="7918" width="11.88671875" style="147" bestFit="1" customWidth="1"/>
    <col min="7919" max="7919" width="21.33203125" style="147" customWidth="1"/>
    <col min="7920" max="7920" width="26.88671875" style="147" customWidth="1"/>
    <col min="7921" max="7923" width="14.5546875" style="147" bestFit="1" customWidth="1"/>
    <col min="7924" max="7927" width="15.5546875" style="147" bestFit="1" customWidth="1"/>
    <col min="7928" max="7929" width="14.5546875" style="147" bestFit="1" customWidth="1"/>
    <col min="7930" max="7930" width="22.109375" style="147" customWidth="1"/>
    <col min="7931" max="8170" width="11.44140625" style="147"/>
    <col min="8171" max="8171" width="6.5546875" style="147" customWidth="1"/>
    <col min="8172" max="8172" width="64.6640625" style="147" customWidth="1"/>
    <col min="8173" max="8173" width="13.44140625" style="147" customWidth="1"/>
    <col min="8174" max="8174" width="11.88671875" style="147" bestFit="1" customWidth="1"/>
    <col min="8175" max="8175" width="21.33203125" style="147" customWidth="1"/>
    <col min="8176" max="8176" width="26.88671875" style="147" customWidth="1"/>
    <col min="8177" max="8179" width="14.5546875" style="147" bestFit="1" customWidth="1"/>
    <col min="8180" max="8183" width="15.5546875" style="147" bestFit="1" customWidth="1"/>
    <col min="8184" max="8185" width="14.5546875" style="147" bestFit="1" customWidth="1"/>
    <col min="8186" max="8186" width="22.109375" style="147" customWidth="1"/>
    <col min="8187" max="8426" width="11.44140625" style="147"/>
    <col min="8427" max="8427" width="6.5546875" style="147" customWidth="1"/>
    <col min="8428" max="8428" width="64.6640625" style="147" customWidth="1"/>
    <col min="8429" max="8429" width="13.44140625" style="147" customWidth="1"/>
    <col min="8430" max="8430" width="11.88671875" style="147" bestFit="1" customWidth="1"/>
    <col min="8431" max="8431" width="21.33203125" style="147" customWidth="1"/>
    <col min="8432" max="8432" width="26.88671875" style="147" customWidth="1"/>
    <col min="8433" max="8435" width="14.5546875" style="147" bestFit="1" customWidth="1"/>
    <col min="8436" max="8439" width="15.5546875" style="147" bestFit="1" customWidth="1"/>
    <col min="8440" max="8441" width="14.5546875" style="147" bestFit="1" customWidth="1"/>
    <col min="8442" max="8442" width="22.109375" style="147" customWidth="1"/>
    <col min="8443" max="8682" width="11.44140625" style="147"/>
    <col min="8683" max="8683" width="6.5546875" style="147" customWidth="1"/>
    <col min="8684" max="8684" width="64.6640625" style="147" customWidth="1"/>
    <col min="8685" max="8685" width="13.44140625" style="147" customWidth="1"/>
    <col min="8686" max="8686" width="11.88671875" style="147" bestFit="1" customWidth="1"/>
    <col min="8687" max="8687" width="21.33203125" style="147" customWidth="1"/>
    <col min="8688" max="8688" width="26.88671875" style="147" customWidth="1"/>
    <col min="8689" max="8691" width="14.5546875" style="147" bestFit="1" customWidth="1"/>
    <col min="8692" max="8695" width="15.5546875" style="147" bestFit="1" customWidth="1"/>
    <col min="8696" max="8697" width="14.5546875" style="147" bestFit="1" customWidth="1"/>
    <col min="8698" max="8698" width="22.109375" style="147" customWidth="1"/>
    <col min="8699" max="8938" width="11.44140625" style="147"/>
    <col min="8939" max="8939" width="6.5546875" style="147" customWidth="1"/>
    <col min="8940" max="8940" width="64.6640625" style="147" customWidth="1"/>
    <col min="8941" max="8941" width="13.44140625" style="147" customWidth="1"/>
    <col min="8942" max="8942" width="11.88671875" style="147" bestFit="1" customWidth="1"/>
    <col min="8943" max="8943" width="21.33203125" style="147" customWidth="1"/>
    <col min="8944" max="8944" width="26.88671875" style="147" customWidth="1"/>
    <col min="8945" max="8947" width="14.5546875" style="147" bestFit="1" customWidth="1"/>
    <col min="8948" max="8951" width="15.5546875" style="147" bestFit="1" customWidth="1"/>
    <col min="8952" max="8953" width="14.5546875" style="147" bestFit="1" customWidth="1"/>
    <col min="8954" max="8954" width="22.109375" style="147" customWidth="1"/>
    <col min="8955" max="9194" width="11.44140625" style="147"/>
    <col min="9195" max="9195" width="6.5546875" style="147" customWidth="1"/>
    <col min="9196" max="9196" width="64.6640625" style="147" customWidth="1"/>
    <col min="9197" max="9197" width="13.44140625" style="147" customWidth="1"/>
    <col min="9198" max="9198" width="11.88671875" style="147" bestFit="1" customWidth="1"/>
    <col min="9199" max="9199" width="21.33203125" style="147" customWidth="1"/>
    <col min="9200" max="9200" width="26.88671875" style="147" customWidth="1"/>
    <col min="9201" max="9203" width="14.5546875" style="147" bestFit="1" customWidth="1"/>
    <col min="9204" max="9207" width="15.5546875" style="147" bestFit="1" customWidth="1"/>
    <col min="9208" max="9209" width="14.5546875" style="147" bestFit="1" customWidth="1"/>
    <col min="9210" max="9210" width="22.109375" style="147" customWidth="1"/>
    <col min="9211" max="9450" width="11.44140625" style="147"/>
    <col min="9451" max="9451" width="6.5546875" style="147" customWidth="1"/>
    <col min="9452" max="9452" width="64.6640625" style="147" customWidth="1"/>
    <col min="9453" max="9453" width="13.44140625" style="147" customWidth="1"/>
    <col min="9454" max="9454" width="11.88671875" style="147" bestFit="1" customWidth="1"/>
    <col min="9455" max="9455" width="21.33203125" style="147" customWidth="1"/>
    <col min="9456" max="9456" width="26.88671875" style="147" customWidth="1"/>
    <col min="9457" max="9459" width="14.5546875" style="147" bestFit="1" customWidth="1"/>
    <col min="9460" max="9463" width="15.5546875" style="147" bestFit="1" customWidth="1"/>
    <col min="9464" max="9465" width="14.5546875" style="147" bestFit="1" customWidth="1"/>
    <col min="9466" max="9466" width="22.109375" style="147" customWidth="1"/>
    <col min="9467" max="9706" width="11.44140625" style="147"/>
    <col min="9707" max="9707" width="6.5546875" style="147" customWidth="1"/>
    <col min="9708" max="9708" width="64.6640625" style="147" customWidth="1"/>
    <col min="9709" max="9709" width="13.44140625" style="147" customWidth="1"/>
    <col min="9710" max="9710" width="11.88671875" style="147" bestFit="1" customWidth="1"/>
    <col min="9711" max="9711" width="21.33203125" style="147" customWidth="1"/>
    <col min="9712" max="9712" width="26.88671875" style="147" customWidth="1"/>
    <col min="9713" max="9715" width="14.5546875" style="147" bestFit="1" customWidth="1"/>
    <col min="9716" max="9719" width="15.5546875" style="147" bestFit="1" customWidth="1"/>
    <col min="9720" max="9721" width="14.5546875" style="147" bestFit="1" customWidth="1"/>
    <col min="9722" max="9722" width="22.109375" style="147" customWidth="1"/>
    <col min="9723" max="9962" width="11.44140625" style="147"/>
    <col min="9963" max="9963" width="6.5546875" style="147" customWidth="1"/>
    <col min="9964" max="9964" width="64.6640625" style="147" customWidth="1"/>
    <col min="9965" max="9965" width="13.44140625" style="147" customWidth="1"/>
    <col min="9966" max="9966" width="11.88671875" style="147" bestFit="1" customWidth="1"/>
    <col min="9967" max="9967" width="21.33203125" style="147" customWidth="1"/>
    <col min="9968" max="9968" width="26.88671875" style="147" customWidth="1"/>
    <col min="9969" max="9971" width="14.5546875" style="147" bestFit="1" customWidth="1"/>
    <col min="9972" max="9975" width="15.5546875" style="147" bestFit="1" customWidth="1"/>
    <col min="9976" max="9977" width="14.5546875" style="147" bestFit="1" customWidth="1"/>
    <col min="9978" max="9978" width="22.109375" style="147" customWidth="1"/>
    <col min="9979" max="10218" width="11.44140625" style="147"/>
    <col min="10219" max="10219" width="6.5546875" style="147" customWidth="1"/>
    <col min="10220" max="10220" width="64.6640625" style="147" customWidth="1"/>
    <col min="10221" max="10221" width="13.44140625" style="147" customWidth="1"/>
    <col min="10222" max="10222" width="11.88671875" style="147" bestFit="1" customWidth="1"/>
    <col min="10223" max="10223" width="21.33203125" style="147" customWidth="1"/>
    <col min="10224" max="10224" width="26.88671875" style="147" customWidth="1"/>
    <col min="10225" max="10227" width="14.5546875" style="147" bestFit="1" customWidth="1"/>
    <col min="10228" max="10231" width="15.5546875" style="147" bestFit="1" customWidth="1"/>
    <col min="10232" max="10233" width="14.5546875" style="147" bestFit="1" customWidth="1"/>
    <col min="10234" max="10234" width="22.109375" style="147" customWidth="1"/>
    <col min="10235" max="10474" width="11.44140625" style="147"/>
    <col min="10475" max="10475" width="6.5546875" style="147" customWidth="1"/>
    <col min="10476" max="10476" width="64.6640625" style="147" customWidth="1"/>
    <col min="10477" max="10477" width="13.44140625" style="147" customWidth="1"/>
    <col min="10478" max="10478" width="11.88671875" style="147" bestFit="1" customWidth="1"/>
    <col min="10479" max="10479" width="21.33203125" style="147" customWidth="1"/>
    <col min="10480" max="10480" width="26.88671875" style="147" customWidth="1"/>
    <col min="10481" max="10483" width="14.5546875" style="147" bestFit="1" customWidth="1"/>
    <col min="10484" max="10487" width="15.5546875" style="147" bestFit="1" customWidth="1"/>
    <col min="10488" max="10489" width="14.5546875" style="147" bestFit="1" customWidth="1"/>
    <col min="10490" max="10490" width="22.109375" style="147" customWidth="1"/>
    <col min="10491" max="10730" width="11.44140625" style="147"/>
    <col min="10731" max="10731" width="6.5546875" style="147" customWidth="1"/>
    <col min="10732" max="10732" width="64.6640625" style="147" customWidth="1"/>
    <col min="10733" max="10733" width="13.44140625" style="147" customWidth="1"/>
    <col min="10734" max="10734" width="11.88671875" style="147" bestFit="1" customWidth="1"/>
    <col min="10735" max="10735" width="21.33203125" style="147" customWidth="1"/>
    <col min="10736" max="10736" width="26.88671875" style="147" customWidth="1"/>
    <col min="10737" max="10739" width="14.5546875" style="147" bestFit="1" customWidth="1"/>
    <col min="10740" max="10743" width="15.5546875" style="147" bestFit="1" customWidth="1"/>
    <col min="10744" max="10745" width="14.5546875" style="147" bestFit="1" customWidth="1"/>
    <col min="10746" max="10746" width="22.109375" style="147" customWidth="1"/>
    <col min="10747" max="10986" width="11.44140625" style="147"/>
    <col min="10987" max="10987" width="6.5546875" style="147" customWidth="1"/>
    <col min="10988" max="10988" width="64.6640625" style="147" customWidth="1"/>
    <col min="10989" max="10989" width="13.44140625" style="147" customWidth="1"/>
    <col min="10990" max="10990" width="11.88671875" style="147" bestFit="1" customWidth="1"/>
    <col min="10991" max="10991" width="21.33203125" style="147" customWidth="1"/>
    <col min="10992" max="10992" width="26.88671875" style="147" customWidth="1"/>
    <col min="10993" max="10995" width="14.5546875" style="147" bestFit="1" customWidth="1"/>
    <col min="10996" max="10999" width="15.5546875" style="147" bestFit="1" customWidth="1"/>
    <col min="11000" max="11001" width="14.5546875" style="147" bestFit="1" customWidth="1"/>
    <col min="11002" max="11002" width="22.109375" style="147" customWidth="1"/>
    <col min="11003" max="11242" width="11.44140625" style="147"/>
    <col min="11243" max="11243" width="6.5546875" style="147" customWidth="1"/>
    <col min="11244" max="11244" width="64.6640625" style="147" customWidth="1"/>
    <col min="11245" max="11245" width="13.44140625" style="147" customWidth="1"/>
    <col min="11246" max="11246" width="11.88671875" style="147" bestFit="1" customWidth="1"/>
    <col min="11247" max="11247" width="21.33203125" style="147" customWidth="1"/>
    <col min="11248" max="11248" width="26.88671875" style="147" customWidth="1"/>
    <col min="11249" max="11251" width="14.5546875" style="147" bestFit="1" customWidth="1"/>
    <col min="11252" max="11255" width="15.5546875" style="147" bestFit="1" customWidth="1"/>
    <col min="11256" max="11257" width="14.5546875" style="147" bestFit="1" customWidth="1"/>
    <col min="11258" max="11258" width="22.109375" style="147" customWidth="1"/>
    <col min="11259" max="11498" width="11.44140625" style="147"/>
    <col min="11499" max="11499" width="6.5546875" style="147" customWidth="1"/>
    <col min="11500" max="11500" width="64.6640625" style="147" customWidth="1"/>
    <col min="11501" max="11501" width="13.44140625" style="147" customWidth="1"/>
    <col min="11502" max="11502" width="11.88671875" style="147" bestFit="1" customWidth="1"/>
    <col min="11503" max="11503" width="21.33203125" style="147" customWidth="1"/>
    <col min="11504" max="11504" width="26.88671875" style="147" customWidth="1"/>
    <col min="11505" max="11507" width="14.5546875" style="147" bestFit="1" customWidth="1"/>
    <col min="11508" max="11511" width="15.5546875" style="147" bestFit="1" customWidth="1"/>
    <col min="11512" max="11513" width="14.5546875" style="147" bestFit="1" customWidth="1"/>
    <col min="11514" max="11514" width="22.109375" style="147" customWidth="1"/>
    <col min="11515" max="11754" width="11.44140625" style="147"/>
    <col min="11755" max="11755" width="6.5546875" style="147" customWidth="1"/>
    <col min="11756" max="11756" width="64.6640625" style="147" customWidth="1"/>
    <col min="11757" max="11757" width="13.44140625" style="147" customWidth="1"/>
    <col min="11758" max="11758" width="11.88671875" style="147" bestFit="1" customWidth="1"/>
    <col min="11759" max="11759" width="21.33203125" style="147" customWidth="1"/>
    <col min="11760" max="11760" width="26.88671875" style="147" customWidth="1"/>
    <col min="11761" max="11763" width="14.5546875" style="147" bestFit="1" customWidth="1"/>
    <col min="11764" max="11767" width="15.5546875" style="147" bestFit="1" customWidth="1"/>
    <col min="11768" max="11769" width="14.5546875" style="147" bestFit="1" customWidth="1"/>
    <col min="11770" max="11770" width="22.109375" style="147" customWidth="1"/>
    <col min="11771" max="12010" width="11.44140625" style="147"/>
    <col min="12011" max="12011" width="6.5546875" style="147" customWidth="1"/>
    <col min="12012" max="12012" width="64.6640625" style="147" customWidth="1"/>
    <col min="12013" max="12013" width="13.44140625" style="147" customWidth="1"/>
    <col min="12014" max="12014" width="11.88671875" style="147" bestFit="1" customWidth="1"/>
    <col min="12015" max="12015" width="21.33203125" style="147" customWidth="1"/>
    <col min="12016" max="12016" width="26.88671875" style="147" customWidth="1"/>
    <col min="12017" max="12019" width="14.5546875" style="147" bestFit="1" customWidth="1"/>
    <col min="12020" max="12023" width="15.5546875" style="147" bestFit="1" customWidth="1"/>
    <col min="12024" max="12025" width="14.5546875" style="147" bestFit="1" customWidth="1"/>
    <col min="12026" max="12026" width="22.109375" style="147" customWidth="1"/>
    <col min="12027" max="12266" width="11.44140625" style="147"/>
    <col min="12267" max="12267" width="6.5546875" style="147" customWidth="1"/>
    <col min="12268" max="12268" width="64.6640625" style="147" customWidth="1"/>
    <col min="12269" max="12269" width="13.44140625" style="147" customWidth="1"/>
    <col min="12270" max="12270" width="11.88671875" style="147" bestFit="1" customWidth="1"/>
    <col min="12271" max="12271" width="21.33203125" style="147" customWidth="1"/>
    <col min="12272" max="12272" width="26.88671875" style="147" customWidth="1"/>
    <col min="12273" max="12275" width="14.5546875" style="147" bestFit="1" customWidth="1"/>
    <col min="12276" max="12279" width="15.5546875" style="147" bestFit="1" customWidth="1"/>
    <col min="12280" max="12281" width="14.5546875" style="147" bestFit="1" customWidth="1"/>
    <col min="12282" max="12282" width="22.109375" style="147" customWidth="1"/>
    <col min="12283" max="12522" width="11.44140625" style="147"/>
    <col min="12523" max="12523" width="6.5546875" style="147" customWidth="1"/>
    <col min="12524" max="12524" width="64.6640625" style="147" customWidth="1"/>
    <col min="12525" max="12525" width="13.44140625" style="147" customWidth="1"/>
    <col min="12526" max="12526" width="11.88671875" style="147" bestFit="1" customWidth="1"/>
    <col min="12527" max="12527" width="21.33203125" style="147" customWidth="1"/>
    <col min="12528" max="12528" width="26.88671875" style="147" customWidth="1"/>
    <col min="12529" max="12531" width="14.5546875" style="147" bestFit="1" customWidth="1"/>
    <col min="12532" max="12535" width="15.5546875" style="147" bestFit="1" customWidth="1"/>
    <col min="12536" max="12537" width="14.5546875" style="147" bestFit="1" customWidth="1"/>
    <col min="12538" max="12538" width="22.109375" style="147" customWidth="1"/>
    <col min="12539" max="12778" width="11.44140625" style="147"/>
    <col min="12779" max="12779" width="6.5546875" style="147" customWidth="1"/>
    <col min="12780" max="12780" width="64.6640625" style="147" customWidth="1"/>
    <col min="12781" max="12781" width="13.44140625" style="147" customWidth="1"/>
    <col min="12782" max="12782" width="11.88671875" style="147" bestFit="1" customWidth="1"/>
    <col min="12783" max="12783" width="21.33203125" style="147" customWidth="1"/>
    <col min="12784" max="12784" width="26.88671875" style="147" customWidth="1"/>
    <col min="12785" max="12787" width="14.5546875" style="147" bestFit="1" customWidth="1"/>
    <col min="12788" max="12791" width="15.5546875" style="147" bestFit="1" customWidth="1"/>
    <col min="12792" max="12793" width="14.5546875" style="147" bestFit="1" customWidth="1"/>
    <col min="12794" max="12794" width="22.109375" style="147" customWidth="1"/>
    <col min="12795" max="13034" width="11.44140625" style="147"/>
    <col min="13035" max="13035" width="6.5546875" style="147" customWidth="1"/>
    <col min="13036" max="13036" width="64.6640625" style="147" customWidth="1"/>
    <col min="13037" max="13037" width="13.44140625" style="147" customWidth="1"/>
    <col min="13038" max="13038" width="11.88671875" style="147" bestFit="1" customWidth="1"/>
    <col min="13039" max="13039" width="21.33203125" style="147" customWidth="1"/>
    <col min="13040" max="13040" width="26.88671875" style="147" customWidth="1"/>
    <col min="13041" max="13043" width="14.5546875" style="147" bestFit="1" customWidth="1"/>
    <col min="13044" max="13047" width="15.5546875" style="147" bestFit="1" customWidth="1"/>
    <col min="13048" max="13049" width="14.5546875" style="147" bestFit="1" customWidth="1"/>
    <col min="13050" max="13050" width="22.109375" style="147" customWidth="1"/>
    <col min="13051" max="13290" width="11.44140625" style="147"/>
    <col min="13291" max="13291" width="6.5546875" style="147" customWidth="1"/>
    <col min="13292" max="13292" width="64.6640625" style="147" customWidth="1"/>
    <col min="13293" max="13293" width="13.44140625" style="147" customWidth="1"/>
    <col min="13294" max="13294" width="11.88671875" style="147" bestFit="1" customWidth="1"/>
    <col min="13295" max="13295" width="21.33203125" style="147" customWidth="1"/>
    <col min="13296" max="13296" width="26.88671875" style="147" customWidth="1"/>
    <col min="13297" max="13299" width="14.5546875" style="147" bestFit="1" customWidth="1"/>
    <col min="13300" max="13303" width="15.5546875" style="147" bestFit="1" customWidth="1"/>
    <col min="13304" max="13305" width="14.5546875" style="147" bestFit="1" customWidth="1"/>
    <col min="13306" max="13306" width="22.109375" style="147" customWidth="1"/>
    <col min="13307" max="13546" width="11.44140625" style="147"/>
    <col min="13547" max="13547" width="6.5546875" style="147" customWidth="1"/>
    <col min="13548" max="13548" width="64.6640625" style="147" customWidth="1"/>
    <col min="13549" max="13549" width="13.44140625" style="147" customWidth="1"/>
    <col min="13550" max="13550" width="11.88671875" style="147" bestFit="1" customWidth="1"/>
    <col min="13551" max="13551" width="21.33203125" style="147" customWidth="1"/>
    <col min="13552" max="13552" width="26.88671875" style="147" customWidth="1"/>
    <col min="13553" max="13555" width="14.5546875" style="147" bestFit="1" customWidth="1"/>
    <col min="13556" max="13559" width="15.5546875" style="147" bestFit="1" customWidth="1"/>
    <col min="13560" max="13561" width="14.5546875" style="147" bestFit="1" customWidth="1"/>
    <col min="13562" max="13562" width="22.109375" style="147" customWidth="1"/>
    <col min="13563" max="13802" width="11.44140625" style="147"/>
    <col min="13803" max="13803" width="6.5546875" style="147" customWidth="1"/>
    <col min="13804" max="13804" width="64.6640625" style="147" customWidth="1"/>
    <col min="13805" max="13805" width="13.44140625" style="147" customWidth="1"/>
    <col min="13806" max="13806" width="11.88671875" style="147" bestFit="1" customWidth="1"/>
    <col min="13807" max="13807" width="21.33203125" style="147" customWidth="1"/>
    <col min="13808" max="13808" width="26.88671875" style="147" customWidth="1"/>
    <col min="13809" max="13811" width="14.5546875" style="147" bestFit="1" customWidth="1"/>
    <col min="13812" max="13815" width="15.5546875" style="147" bestFit="1" customWidth="1"/>
    <col min="13816" max="13817" width="14.5546875" style="147" bestFit="1" customWidth="1"/>
    <col min="13818" max="13818" width="22.109375" style="147" customWidth="1"/>
    <col min="13819" max="14058" width="11.44140625" style="147"/>
    <col min="14059" max="14059" width="6.5546875" style="147" customWidth="1"/>
    <col min="14060" max="14060" width="64.6640625" style="147" customWidth="1"/>
    <col min="14061" max="14061" width="13.44140625" style="147" customWidth="1"/>
    <col min="14062" max="14062" width="11.88671875" style="147" bestFit="1" customWidth="1"/>
    <col min="14063" max="14063" width="21.33203125" style="147" customWidth="1"/>
    <col min="14064" max="14064" width="26.88671875" style="147" customWidth="1"/>
    <col min="14065" max="14067" width="14.5546875" style="147" bestFit="1" customWidth="1"/>
    <col min="14068" max="14071" width="15.5546875" style="147" bestFit="1" customWidth="1"/>
    <col min="14072" max="14073" width="14.5546875" style="147" bestFit="1" customWidth="1"/>
    <col min="14074" max="14074" width="22.109375" style="147" customWidth="1"/>
    <col min="14075" max="14314" width="11.44140625" style="147"/>
    <col min="14315" max="14315" width="6.5546875" style="147" customWidth="1"/>
    <col min="14316" max="14316" width="64.6640625" style="147" customWidth="1"/>
    <col min="14317" max="14317" width="13.44140625" style="147" customWidth="1"/>
    <col min="14318" max="14318" width="11.88671875" style="147" bestFit="1" customWidth="1"/>
    <col min="14319" max="14319" width="21.33203125" style="147" customWidth="1"/>
    <col min="14320" max="14320" width="26.88671875" style="147" customWidth="1"/>
    <col min="14321" max="14323" width="14.5546875" style="147" bestFit="1" customWidth="1"/>
    <col min="14324" max="14327" width="15.5546875" style="147" bestFit="1" customWidth="1"/>
    <col min="14328" max="14329" width="14.5546875" style="147" bestFit="1" customWidth="1"/>
    <col min="14330" max="14330" width="22.109375" style="147" customWidth="1"/>
    <col min="14331" max="14570" width="11.44140625" style="147"/>
    <col min="14571" max="14571" width="6.5546875" style="147" customWidth="1"/>
    <col min="14572" max="14572" width="64.6640625" style="147" customWidth="1"/>
    <col min="14573" max="14573" width="13.44140625" style="147" customWidth="1"/>
    <col min="14574" max="14574" width="11.88671875" style="147" bestFit="1" customWidth="1"/>
    <col min="14575" max="14575" width="21.33203125" style="147" customWidth="1"/>
    <col min="14576" max="14576" width="26.88671875" style="147" customWidth="1"/>
    <col min="14577" max="14579" width="14.5546875" style="147" bestFit="1" customWidth="1"/>
    <col min="14580" max="14583" width="15.5546875" style="147" bestFit="1" customWidth="1"/>
    <col min="14584" max="14585" width="14.5546875" style="147" bestFit="1" customWidth="1"/>
    <col min="14586" max="14586" width="22.109375" style="147" customWidth="1"/>
    <col min="14587" max="14826" width="11.44140625" style="147"/>
    <col min="14827" max="14827" width="6.5546875" style="147" customWidth="1"/>
    <col min="14828" max="14828" width="64.6640625" style="147" customWidth="1"/>
    <col min="14829" max="14829" width="13.44140625" style="147" customWidth="1"/>
    <col min="14830" max="14830" width="11.88671875" style="147" bestFit="1" customWidth="1"/>
    <col min="14831" max="14831" width="21.33203125" style="147" customWidth="1"/>
    <col min="14832" max="14832" width="26.88671875" style="147" customWidth="1"/>
    <col min="14833" max="14835" width="14.5546875" style="147" bestFit="1" customWidth="1"/>
    <col min="14836" max="14839" width="15.5546875" style="147" bestFit="1" customWidth="1"/>
    <col min="14840" max="14841" width="14.5546875" style="147" bestFit="1" customWidth="1"/>
    <col min="14842" max="14842" width="22.109375" style="147" customWidth="1"/>
    <col min="14843" max="15082" width="11.44140625" style="147"/>
    <col min="15083" max="15083" width="6.5546875" style="147" customWidth="1"/>
    <col min="15084" max="15084" width="64.6640625" style="147" customWidth="1"/>
    <col min="15085" max="15085" width="13.44140625" style="147" customWidth="1"/>
    <col min="15086" max="15086" width="11.88671875" style="147" bestFit="1" customWidth="1"/>
    <col min="15087" max="15087" width="21.33203125" style="147" customWidth="1"/>
    <col min="15088" max="15088" width="26.88671875" style="147" customWidth="1"/>
    <col min="15089" max="15091" width="14.5546875" style="147" bestFit="1" customWidth="1"/>
    <col min="15092" max="15095" width="15.5546875" style="147" bestFit="1" customWidth="1"/>
    <col min="15096" max="15097" width="14.5546875" style="147" bestFit="1" customWidth="1"/>
    <col min="15098" max="15098" width="22.109375" style="147" customWidth="1"/>
    <col min="15099" max="15338" width="11.44140625" style="147"/>
    <col min="15339" max="15339" width="6.5546875" style="147" customWidth="1"/>
    <col min="15340" max="15340" width="64.6640625" style="147" customWidth="1"/>
    <col min="15341" max="15341" width="13.44140625" style="147" customWidth="1"/>
    <col min="15342" max="15342" width="11.88671875" style="147" bestFit="1" customWidth="1"/>
    <col min="15343" max="15343" width="21.33203125" style="147" customWidth="1"/>
    <col min="15344" max="15344" width="26.88671875" style="147" customWidth="1"/>
    <col min="15345" max="15347" width="14.5546875" style="147" bestFit="1" customWidth="1"/>
    <col min="15348" max="15351" width="15.5546875" style="147" bestFit="1" customWidth="1"/>
    <col min="15352" max="15353" width="14.5546875" style="147" bestFit="1" customWidth="1"/>
    <col min="15354" max="15354" width="22.109375" style="147" customWidth="1"/>
    <col min="15355" max="15594" width="11.44140625" style="147"/>
    <col min="15595" max="15595" width="6.5546875" style="147" customWidth="1"/>
    <col min="15596" max="15596" width="64.6640625" style="147" customWidth="1"/>
    <col min="15597" max="15597" width="13.44140625" style="147" customWidth="1"/>
    <col min="15598" max="15598" width="11.88671875" style="147" bestFit="1" customWidth="1"/>
    <col min="15599" max="15599" width="21.33203125" style="147" customWidth="1"/>
    <col min="15600" max="15600" width="26.88671875" style="147" customWidth="1"/>
    <col min="15601" max="15603" width="14.5546875" style="147" bestFit="1" customWidth="1"/>
    <col min="15604" max="15607" width="15.5546875" style="147" bestFit="1" customWidth="1"/>
    <col min="15608" max="15609" width="14.5546875" style="147" bestFit="1" customWidth="1"/>
    <col min="15610" max="15610" width="22.109375" style="147" customWidth="1"/>
    <col min="15611" max="15850" width="11.44140625" style="147"/>
    <col min="15851" max="15851" width="6.5546875" style="147" customWidth="1"/>
    <col min="15852" max="15852" width="64.6640625" style="147" customWidth="1"/>
    <col min="15853" max="15853" width="13.44140625" style="147" customWidth="1"/>
    <col min="15854" max="15854" width="11.88671875" style="147" bestFit="1" customWidth="1"/>
    <col min="15855" max="15855" width="21.33203125" style="147" customWidth="1"/>
    <col min="15856" max="15856" width="26.88671875" style="147" customWidth="1"/>
    <col min="15857" max="15859" width="14.5546875" style="147" bestFit="1" customWidth="1"/>
    <col min="15860" max="15863" width="15.5546875" style="147" bestFit="1" customWidth="1"/>
    <col min="15864" max="15865" width="14.5546875" style="147" bestFit="1" customWidth="1"/>
    <col min="15866" max="15866" width="22.109375" style="147" customWidth="1"/>
    <col min="15867" max="16106" width="11.44140625" style="147"/>
    <col min="16107" max="16107" width="6.5546875" style="147" customWidth="1"/>
    <col min="16108" max="16108" width="64.6640625" style="147" customWidth="1"/>
    <col min="16109" max="16109" width="13.44140625" style="147" customWidth="1"/>
    <col min="16110" max="16110" width="11.88671875" style="147" bestFit="1" customWidth="1"/>
    <col min="16111" max="16111" width="21.33203125" style="147" customWidth="1"/>
    <col min="16112" max="16112" width="26.88671875" style="147" customWidth="1"/>
    <col min="16113" max="16115" width="14.5546875" style="147" bestFit="1" customWidth="1"/>
    <col min="16116" max="16119" width="15.5546875" style="147" bestFit="1" customWidth="1"/>
    <col min="16120" max="16121" width="14.5546875" style="147" bestFit="1" customWidth="1"/>
    <col min="16122" max="16122" width="22.109375" style="147" customWidth="1"/>
    <col min="16123" max="16362" width="11.44140625" style="147"/>
    <col min="16363" max="16384" width="11.44140625" style="147" customWidth="1"/>
  </cols>
  <sheetData>
    <row r="1" spans="2:9" ht="57.6" customHeight="1" thickBot="1" x14ac:dyDescent="0.35">
      <c r="B1" s="543" t="s">
        <v>577</v>
      </c>
      <c r="C1" s="544"/>
      <c r="D1" s="544"/>
      <c r="E1" s="544"/>
      <c r="F1" s="544"/>
      <c r="G1" s="270"/>
      <c r="I1" s="147" t="s">
        <v>497</v>
      </c>
    </row>
    <row r="2" spans="2:9" ht="9.6" customHeight="1" x14ac:dyDescent="0.3">
      <c r="B2" s="164"/>
      <c r="C2" s="165" t="s">
        <v>504</v>
      </c>
      <c r="D2" s="165"/>
      <c r="E2" s="165"/>
      <c r="F2" s="166"/>
      <c r="G2" s="166"/>
    </row>
    <row r="3" spans="2:9" ht="30" customHeight="1" x14ac:dyDescent="0.3">
      <c r="B3" s="398" t="s">
        <v>0</v>
      </c>
      <c r="C3" s="398" t="s">
        <v>42</v>
      </c>
      <c r="D3" s="398" t="s">
        <v>1</v>
      </c>
      <c r="E3" s="399" t="s">
        <v>498</v>
      </c>
      <c r="F3" s="398" t="s">
        <v>314</v>
      </c>
      <c r="G3" s="398" t="s">
        <v>315</v>
      </c>
      <c r="I3" s="295"/>
    </row>
    <row r="4" spans="2:9" ht="25.2" customHeight="1" x14ac:dyDescent="0.3">
      <c r="B4" s="400">
        <v>1</v>
      </c>
      <c r="C4" s="403" t="s">
        <v>695</v>
      </c>
      <c r="D4" s="401"/>
      <c r="E4" s="401"/>
      <c r="F4" s="401"/>
      <c r="G4" s="401"/>
    </row>
    <row r="5" spans="2:9" ht="28.8" customHeight="1" x14ac:dyDescent="0.3">
      <c r="B5" s="290">
        <v>1.1000000000000001</v>
      </c>
      <c r="C5" s="402" t="s">
        <v>593</v>
      </c>
      <c r="D5" s="290" t="s">
        <v>1</v>
      </c>
      <c r="E5" s="405">
        <v>2</v>
      </c>
      <c r="F5" s="292">
        <f>+'1. APU INST LA BALSA'!H40</f>
        <v>153098.66629199998</v>
      </c>
      <c r="G5" s="292">
        <f>+E5*F5</f>
        <v>306197.33258399996</v>
      </c>
      <c r="I5" s="395"/>
    </row>
    <row r="6" spans="2:9" ht="28.2" customHeight="1" x14ac:dyDescent="0.3">
      <c r="B6" s="290">
        <v>1.2</v>
      </c>
      <c r="C6" s="402" t="s">
        <v>557</v>
      </c>
      <c r="D6" s="290" t="s">
        <v>1</v>
      </c>
      <c r="E6" s="405">
        <v>6</v>
      </c>
      <c r="F6" s="292">
        <f>+'1. APU INST LA BALSA'!H89</f>
        <v>122478.9330336</v>
      </c>
      <c r="G6" s="292">
        <f t="shared" ref="G6:G18" si="0">+E6*F6</f>
        <v>734873.59820160002</v>
      </c>
      <c r="I6" s="396"/>
    </row>
    <row r="7" spans="2:9" ht="27.6" customHeight="1" x14ac:dyDescent="0.3">
      <c r="B7" s="290">
        <v>1.3</v>
      </c>
      <c r="C7" s="402" t="s">
        <v>559</v>
      </c>
      <c r="D7" s="290" t="s">
        <v>1</v>
      </c>
      <c r="E7" s="405">
        <v>4</v>
      </c>
      <c r="F7" s="292">
        <f>+'1. APU INST LA BALSA'!H141</f>
        <v>153098.66629199998</v>
      </c>
      <c r="G7" s="292">
        <f t="shared" si="0"/>
        <v>612394.66516799992</v>
      </c>
      <c r="I7" s="396"/>
    </row>
    <row r="8" spans="2:9" ht="40.5" customHeight="1" x14ac:dyDescent="0.3">
      <c r="B8" s="290">
        <v>1.4</v>
      </c>
      <c r="C8" s="404" t="s">
        <v>560</v>
      </c>
      <c r="D8" s="290" t="s">
        <v>556</v>
      </c>
      <c r="E8" s="405">
        <v>3</v>
      </c>
      <c r="F8" s="292">
        <f>+'1. APU INST LA BALSA'!H191</f>
        <v>1456003.1074848</v>
      </c>
      <c r="G8" s="292">
        <f t="shared" si="0"/>
        <v>4368009.3224544004</v>
      </c>
      <c r="I8" s="396"/>
    </row>
    <row r="9" spans="2:9" ht="25.8" customHeight="1" x14ac:dyDescent="0.3">
      <c r="B9" s="290">
        <v>1.5</v>
      </c>
      <c r="C9" s="402" t="s">
        <v>558</v>
      </c>
      <c r="D9" s="290" t="s">
        <v>1</v>
      </c>
      <c r="E9" s="405">
        <v>6</v>
      </c>
      <c r="F9" s="292">
        <f>+'1. APU INST LA BALSA'!H244</f>
        <v>941870.92290400004</v>
      </c>
      <c r="G9" s="292">
        <f t="shared" si="0"/>
        <v>5651225.537424</v>
      </c>
      <c r="I9" s="396"/>
    </row>
    <row r="10" spans="2:9" ht="30.6" customHeight="1" x14ac:dyDescent="0.3">
      <c r="B10" s="290">
        <v>1.6</v>
      </c>
      <c r="C10" s="402" t="s">
        <v>607</v>
      </c>
      <c r="D10" s="290" t="s">
        <v>298</v>
      </c>
      <c r="E10" s="291">
        <f>2*0.7*2.1</f>
        <v>2.94</v>
      </c>
      <c r="F10" s="292">
        <f>+'1. APU INST LA BALSA'!H298</f>
        <v>60764.944382000001</v>
      </c>
      <c r="G10" s="292">
        <f t="shared" si="0"/>
        <v>178648.93648308</v>
      </c>
      <c r="I10" s="396"/>
    </row>
    <row r="11" spans="2:9" ht="17.399999999999999" customHeight="1" x14ac:dyDescent="0.3">
      <c r="B11" s="290">
        <v>1.7</v>
      </c>
      <c r="C11" s="402" t="s">
        <v>561</v>
      </c>
      <c r="D11" s="290" t="s">
        <v>1</v>
      </c>
      <c r="E11" s="291">
        <v>6</v>
      </c>
      <c r="F11" s="292">
        <f>+'1. APU INST LA BALSA'!H348</f>
        <v>105991.38435600001</v>
      </c>
      <c r="G11" s="292">
        <f t="shared" si="0"/>
        <v>635948.30613600009</v>
      </c>
      <c r="I11" s="396"/>
    </row>
    <row r="12" spans="2:9" ht="27.6" customHeight="1" x14ac:dyDescent="0.3">
      <c r="B12" s="290">
        <v>1.8</v>
      </c>
      <c r="C12" s="406" t="s">
        <v>562</v>
      </c>
      <c r="D12" s="290" t="s">
        <v>556</v>
      </c>
      <c r="E12" s="291">
        <v>6</v>
      </c>
      <c r="F12" s="292">
        <f>+'1. APU INST LA BALSA'!H401</f>
        <v>597617.40161333338</v>
      </c>
      <c r="G12" s="292">
        <f t="shared" si="0"/>
        <v>3585704.4096800005</v>
      </c>
      <c r="I12" s="396"/>
    </row>
    <row r="13" spans="2:9" ht="28.8" customHeight="1" x14ac:dyDescent="0.3">
      <c r="B13" s="290">
        <v>1.9</v>
      </c>
      <c r="C13" s="402" t="s">
        <v>567</v>
      </c>
      <c r="D13" s="290" t="s">
        <v>1</v>
      </c>
      <c r="E13" s="291">
        <v>2</v>
      </c>
      <c r="F13" s="292">
        <f>+'1. APU INST LA BALSA'!H451</f>
        <v>234288.05121000001</v>
      </c>
      <c r="G13" s="292">
        <f t="shared" si="0"/>
        <v>468576.10242000001</v>
      </c>
      <c r="I13" s="396"/>
    </row>
    <row r="14" spans="2:9" ht="25.5" customHeight="1" x14ac:dyDescent="0.3">
      <c r="B14" s="290" t="s">
        <v>702</v>
      </c>
      <c r="C14" s="402" t="s">
        <v>563</v>
      </c>
      <c r="D14" s="290" t="s">
        <v>1</v>
      </c>
      <c r="E14" s="291">
        <v>2</v>
      </c>
      <c r="F14" s="292">
        <f>+'1. APU INST LA BALSA'!H504</f>
        <v>521841.40161333338</v>
      </c>
      <c r="G14" s="292">
        <f t="shared" si="0"/>
        <v>1043682.8032266668</v>
      </c>
      <c r="I14" s="396"/>
    </row>
    <row r="15" spans="2:9" ht="18.600000000000001" customHeight="1" x14ac:dyDescent="0.3">
      <c r="B15" s="290" t="s">
        <v>703</v>
      </c>
      <c r="C15" s="402" t="s">
        <v>564</v>
      </c>
      <c r="D15" s="290" t="s">
        <v>1</v>
      </c>
      <c r="E15" s="291">
        <v>4</v>
      </c>
      <c r="F15" s="292">
        <f>+'1. APU INST LA BALSA'!H555</f>
        <v>153498.70080666669</v>
      </c>
      <c r="G15" s="292">
        <f t="shared" si="0"/>
        <v>613994.80322666676</v>
      </c>
      <c r="I15" s="396"/>
    </row>
    <row r="16" spans="2:9" ht="16.8" customHeight="1" x14ac:dyDescent="0.3">
      <c r="B16" s="290" t="s">
        <v>704</v>
      </c>
      <c r="C16" s="407" t="s">
        <v>574</v>
      </c>
      <c r="D16" s="290" t="s">
        <v>298</v>
      </c>
      <c r="E16" s="291">
        <v>76.69</v>
      </c>
      <c r="F16" s="292">
        <f>+'1. APU INST LA BALSA'!H608</f>
        <v>11261.973325840001</v>
      </c>
      <c r="G16" s="292">
        <f>+E16*F16</f>
        <v>863680.73435866961</v>
      </c>
      <c r="I16" s="396"/>
    </row>
    <row r="17" spans="2:9" ht="16.5" customHeight="1" x14ac:dyDescent="0.3">
      <c r="B17" s="290" t="s">
        <v>705</v>
      </c>
      <c r="C17" s="402" t="s">
        <v>565</v>
      </c>
      <c r="D17" s="290" t="s">
        <v>298</v>
      </c>
      <c r="E17" s="291">
        <v>112.58</v>
      </c>
      <c r="F17" s="292">
        <f>+'1. APU INST LA BALSA'!H662</f>
        <v>27598.370814600003</v>
      </c>
      <c r="G17" s="292">
        <f t="shared" si="0"/>
        <v>3107024.5863076681</v>
      </c>
      <c r="I17" s="295"/>
    </row>
    <row r="18" spans="2:9" ht="20.25" customHeight="1" x14ac:dyDescent="0.3">
      <c r="B18" s="290" t="s">
        <v>706</v>
      </c>
      <c r="C18" s="402" t="s">
        <v>568</v>
      </c>
      <c r="D18" s="290" t="s">
        <v>298</v>
      </c>
      <c r="E18" s="291">
        <v>30.655000000000001</v>
      </c>
      <c r="F18" s="292">
        <f>+'1. APU INST LA BALSA'!H720</f>
        <v>74044.538286499999</v>
      </c>
      <c r="G18" s="292">
        <f t="shared" si="0"/>
        <v>2269835.3211726574</v>
      </c>
      <c r="I18" s="395"/>
    </row>
    <row r="19" spans="2:9" ht="18.600000000000001" customHeight="1" x14ac:dyDescent="0.25">
      <c r="B19" s="290"/>
      <c r="C19" s="551" t="s">
        <v>555</v>
      </c>
      <c r="D19" s="552"/>
      <c r="E19" s="553"/>
      <c r="F19" s="389"/>
      <c r="G19" s="389">
        <f>+SUM(G5:G18)</f>
        <v>24439796.45884341</v>
      </c>
      <c r="I19" s="397"/>
    </row>
    <row r="20" spans="2:9" ht="21.6" customHeight="1" x14ac:dyDescent="0.3">
      <c r="B20" s="400">
        <v>2</v>
      </c>
      <c r="C20" s="401" t="s">
        <v>696</v>
      </c>
      <c r="D20" s="401"/>
      <c r="E20" s="401"/>
      <c r="F20" s="401"/>
      <c r="G20" s="401"/>
      <c r="H20" s="282"/>
      <c r="I20" s="295"/>
    </row>
    <row r="21" spans="2:9" ht="30" customHeight="1" x14ac:dyDescent="0.3">
      <c r="B21" s="290">
        <v>2.1</v>
      </c>
      <c r="C21" s="402" t="s">
        <v>566</v>
      </c>
      <c r="D21" s="290" t="s">
        <v>1</v>
      </c>
      <c r="E21" s="405">
        <v>2</v>
      </c>
      <c r="F21" s="292">
        <f>+'2. APU INST INDAPAZ 24 NOV'!H40</f>
        <v>153098.66629199998</v>
      </c>
      <c r="G21" s="292">
        <f>+E21*F21</f>
        <v>306197.33258399996</v>
      </c>
      <c r="I21" s="295"/>
    </row>
    <row r="22" spans="2:9" ht="27.75" customHeight="1" x14ac:dyDescent="0.3">
      <c r="B22" s="290">
        <v>2.2000000000000002</v>
      </c>
      <c r="C22" s="402" t="s">
        <v>557</v>
      </c>
      <c r="D22" s="290" t="s">
        <v>1</v>
      </c>
      <c r="E22" s="405">
        <v>6</v>
      </c>
      <c r="F22" s="292">
        <f>+'2. APU INST INDAPAZ 24 NOV'!H91</f>
        <v>122478.9330336</v>
      </c>
      <c r="G22" s="292">
        <f t="shared" ref="G22:G27" si="1">+E22*F22</f>
        <v>734873.59820160002</v>
      </c>
      <c r="I22" s="295"/>
    </row>
    <row r="23" spans="2:9" ht="30.75" customHeight="1" x14ac:dyDescent="0.3">
      <c r="B23" s="290">
        <v>2.2999999999999998</v>
      </c>
      <c r="C23" s="404" t="s">
        <v>579</v>
      </c>
      <c r="D23" s="290" t="s">
        <v>556</v>
      </c>
      <c r="E23" s="405">
        <v>2</v>
      </c>
      <c r="F23" s="292">
        <f>+'2. APU INST INDAPAZ 24 NOV'!H145</f>
        <v>1441863.1074848</v>
      </c>
      <c r="G23" s="292">
        <f t="shared" si="1"/>
        <v>2883726.2149696001</v>
      </c>
      <c r="H23" s="147" t="s">
        <v>497</v>
      </c>
    </row>
    <row r="24" spans="2:9" ht="27" customHeight="1" x14ac:dyDescent="0.3">
      <c r="B24" s="290">
        <v>2.4</v>
      </c>
      <c r="C24" s="402" t="s">
        <v>558</v>
      </c>
      <c r="D24" s="290" t="s">
        <v>1</v>
      </c>
      <c r="E24" s="405">
        <v>6</v>
      </c>
      <c r="F24" s="292">
        <f>+'2. APU INST INDAPAZ 24 NOV'!H197</f>
        <v>927730.92290400004</v>
      </c>
      <c r="G24" s="292">
        <f t="shared" si="1"/>
        <v>5566385.537424</v>
      </c>
      <c r="H24" s="163"/>
      <c r="I24" s="147" t="s">
        <v>497</v>
      </c>
    </row>
    <row r="25" spans="2:9" x14ac:dyDescent="0.3">
      <c r="B25" s="290">
        <v>2.5</v>
      </c>
      <c r="C25" s="402" t="s">
        <v>561</v>
      </c>
      <c r="D25" s="290" t="s">
        <v>1</v>
      </c>
      <c r="E25" s="291">
        <v>6</v>
      </c>
      <c r="F25" s="292">
        <f>+'2. APU INST INDAPAZ 24 NOV'!H247</f>
        <v>105991.38435600001</v>
      </c>
      <c r="G25" s="292">
        <f t="shared" si="1"/>
        <v>635948.30613600009</v>
      </c>
    </row>
    <row r="26" spans="2:9" ht="30" customHeight="1" x14ac:dyDescent="0.3">
      <c r="B26" s="290">
        <v>2.6</v>
      </c>
      <c r="C26" s="406" t="s">
        <v>562</v>
      </c>
      <c r="D26" s="290" t="s">
        <v>556</v>
      </c>
      <c r="E26" s="291">
        <v>6</v>
      </c>
      <c r="F26" s="292">
        <f>+'2. APU INST INDAPAZ 24 NOV'!H300</f>
        <v>582017.40161333338</v>
      </c>
      <c r="G26" s="292">
        <f t="shared" si="1"/>
        <v>3492104.4096800005</v>
      </c>
      <c r="I26" s="147" t="s">
        <v>504</v>
      </c>
    </row>
    <row r="27" spans="2:9" ht="29.4" customHeight="1" x14ac:dyDescent="0.3">
      <c r="B27" s="290">
        <v>2.7</v>
      </c>
      <c r="C27" s="402" t="s">
        <v>567</v>
      </c>
      <c r="D27" s="290" t="s">
        <v>1</v>
      </c>
      <c r="E27" s="291">
        <v>2</v>
      </c>
      <c r="F27" s="292">
        <f>+'2. APU INST INDAPAZ 24 NOV'!H350</f>
        <v>234288.05121000001</v>
      </c>
      <c r="G27" s="292">
        <f t="shared" si="1"/>
        <v>468576.10242000001</v>
      </c>
    </row>
    <row r="28" spans="2:9" ht="18" customHeight="1" x14ac:dyDescent="0.25">
      <c r="B28" s="290"/>
      <c r="C28" s="551" t="s">
        <v>555</v>
      </c>
      <c r="D28" s="552"/>
      <c r="E28" s="553"/>
      <c r="F28" s="389"/>
      <c r="G28" s="389">
        <f>+SUM(G21:G27)</f>
        <v>14087811.501415202</v>
      </c>
    </row>
    <row r="29" spans="2:9" ht="18.75" customHeight="1" x14ac:dyDescent="0.3">
      <c r="B29" s="400">
        <v>3</v>
      </c>
      <c r="C29" s="401" t="s">
        <v>697</v>
      </c>
      <c r="D29" s="401"/>
      <c r="E29" s="401"/>
      <c r="F29" s="401"/>
      <c r="G29" s="401"/>
    </row>
    <row r="30" spans="2:9" ht="29.25" customHeight="1" x14ac:dyDescent="0.3">
      <c r="B30" s="405">
        <v>3.1</v>
      </c>
      <c r="C30" s="402" t="s">
        <v>698</v>
      </c>
      <c r="D30" s="290" t="s">
        <v>298</v>
      </c>
      <c r="E30" s="291">
        <f>+E31</f>
        <v>364.5</v>
      </c>
      <c r="F30" s="485">
        <f>+'7. APU INST LUIFERGO'!H101</f>
        <v>12113.301069257142</v>
      </c>
      <c r="G30" s="514">
        <f>+F30*E30</f>
        <v>4415298.2397442283</v>
      </c>
    </row>
    <row r="31" spans="2:9" ht="18.75" customHeight="1" x14ac:dyDescent="0.3">
      <c r="B31" s="290">
        <v>3.2</v>
      </c>
      <c r="C31" s="402" t="s">
        <v>569</v>
      </c>
      <c r="D31" s="290" t="s">
        <v>298</v>
      </c>
      <c r="E31" s="291">
        <f>7.5*8.1*6</f>
        <v>364.5</v>
      </c>
      <c r="F31" s="292">
        <f>+'3. APU INST INDAPAZ PRINCIPAL'!H48</f>
        <v>71355.736913219938</v>
      </c>
      <c r="G31" s="292">
        <f>+E31*F31</f>
        <v>26009166.104868669</v>
      </c>
    </row>
    <row r="32" spans="2:9" ht="18.75" customHeight="1" x14ac:dyDescent="0.3">
      <c r="B32" s="290"/>
      <c r="C32" s="537" t="s">
        <v>555</v>
      </c>
      <c r="D32" s="538"/>
      <c r="E32" s="539"/>
      <c r="F32" s="389"/>
      <c r="G32" s="389">
        <f>+SUM(G31+G30)</f>
        <v>30424464.344612896</v>
      </c>
    </row>
    <row r="33" spans="2:9" ht="18" customHeight="1" x14ac:dyDescent="0.3">
      <c r="B33" s="400">
        <v>4</v>
      </c>
      <c r="C33" s="401" t="s">
        <v>699</v>
      </c>
      <c r="D33" s="401"/>
      <c r="E33" s="401"/>
      <c r="F33" s="401"/>
      <c r="G33" s="401"/>
    </row>
    <row r="34" spans="2:9" ht="22.8" x14ac:dyDescent="0.3">
      <c r="B34" s="290">
        <v>4.0999999999999996</v>
      </c>
      <c r="C34" s="402" t="s">
        <v>572</v>
      </c>
      <c r="D34" s="290" t="s">
        <v>298</v>
      </c>
      <c r="E34" s="291">
        <f>8.6*9.46</f>
        <v>81.356000000000009</v>
      </c>
      <c r="F34" s="292">
        <f>+'4. APU INST SN PRINCIPAL'!H40</f>
        <v>13672.893303360001</v>
      </c>
      <c r="G34" s="292">
        <f>+E34*F34</f>
        <v>1112371.9075881564</v>
      </c>
      <c r="H34" s="147" t="s">
        <v>497</v>
      </c>
      <c r="I34" s="147" t="s">
        <v>497</v>
      </c>
    </row>
    <row r="35" spans="2:9" ht="22.8" x14ac:dyDescent="0.3">
      <c r="B35" s="290">
        <v>4.2</v>
      </c>
      <c r="C35" s="402" t="s">
        <v>570</v>
      </c>
      <c r="D35" s="290" t="s">
        <v>298</v>
      </c>
      <c r="E35" s="291">
        <f>+E34</f>
        <v>81.356000000000009</v>
      </c>
      <c r="F35" s="292">
        <f>+'4. APU INST SN PRINCIPAL'!H96</f>
        <v>77639.526871200011</v>
      </c>
      <c r="G35" s="292">
        <f t="shared" ref="G35:G43" si="2">+E35*F35</f>
        <v>6316441.3481333489</v>
      </c>
      <c r="H35" s="147" t="s">
        <v>497</v>
      </c>
    </row>
    <row r="36" spans="2:9" ht="16.5" customHeight="1" x14ac:dyDescent="0.3">
      <c r="B36" s="290">
        <v>4.3</v>
      </c>
      <c r="C36" s="402" t="s">
        <v>571</v>
      </c>
      <c r="D36" s="290" t="s">
        <v>83</v>
      </c>
      <c r="E36" s="291">
        <v>9.4600000000000009</v>
      </c>
      <c r="F36" s="292">
        <f>+'4. APU INST SN PRINCIPAL'!H151</f>
        <v>92584.866629199998</v>
      </c>
      <c r="G36" s="292">
        <f t="shared" si="2"/>
        <v>875852.83831223205</v>
      </c>
    </row>
    <row r="37" spans="2:9" ht="17.25" customHeight="1" x14ac:dyDescent="0.3">
      <c r="B37" s="290">
        <v>4.4000000000000004</v>
      </c>
      <c r="C37" s="402" t="s">
        <v>573</v>
      </c>
      <c r="D37" s="290" t="s">
        <v>298</v>
      </c>
      <c r="E37" s="291">
        <f>52.992+65.92</f>
        <v>118.91200000000001</v>
      </c>
      <c r="F37" s="292">
        <f>+'4. APU INST SN PRINCIPAL'!H209</f>
        <v>77044.538286499999</v>
      </c>
      <c r="G37" s="292">
        <f t="shared" si="2"/>
        <v>9161520.1367242876</v>
      </c>
    </row>
    <row r="38" spans="2:9" ht="17.25" customHeight="1" x14ac:dyDescent="0.3">
      <c r="B38" s="290">
        <v>4.5</v>
      </c>
      <c r="C38" s="411" t="s">
        <v>574</v>
      </c>
      <c r="D38" s="290" t="s">
        <v>298</v>
      </c>
      <c r="E38" s="291">
        <f>230.76-71.784</f>
        <v>158.976</v>
      </c>
      <c r="F38" s="292">
        <f>+'4. APU INST SN PRINCIPAL'!H254</f>
        <v>11261.973325839997</v>
      </c>
      <c r="G38" s="292">
        <f t="shared" si="2"/>
        <v>1790383.4714487395</v>
      </c>
    </row>
    <row r="39" spans="2:9" ht="16.8" customHeight="1" x14ac:dyDescent="0.3">
      <c r="B39" s="290">
        <v>4.5999999999999996</v>
      </c>
      <c r="C39" s="411" t="s">
        <v>575</v>
      </c>
      <c r="D39" s="290" t="s">
        <v>298</v>
      </c>
      <c r="E39" s="291">
        <v>243.52799999999999</v>
      </c>
      <c r="F39" s="292">
        <f>+'4. APU INST SN PRINCIPAL'!H308</f>
        <v>27598.370814600003</v>
      </c>
      <c r="G39" s="292">
        <f t="shared" si="2"/>
        <v>6720976.0477379095</v>
      </c>
    </row>
    <row r="40" spans="2:9" ht="27.75" customHeight="1" x14ac:dyDescent="0.3">
      <c r="B40" s="290">
        <v>4.7</v>
      </c>
      <c r="C40" s="411" t="s">
        <v>562</v>
      </c>
      <c r="D40" s="290" t="s">
        <v>1</v>
      </c>
      <c r="E40" s="291">
        <v>2</v>
      </c>
      <c r="F40" s="292">
        <f>+'4. APU INST SN PRINCIPAL'!H360</f>
        <v>612017.40161333338</v>
      </c>
      <c r="G40" s="292">
        <f t="shared" si="2"/>
        <v>1224034.8032266668</v>
      </c>
    </row>
    <row r="41" spans="2:9" ht="22.8" x14ac:dyDescent="0.3">
      <c r="B41" s="290">
        <v>4.8</v>
      </c>
      <c r="C41" s="411" t="s">
        <v>567</v>
      </c>
      <c r="D41" s="290" t="s">
        <v>1</v>
      </c>
      <c r="E41" s="291">
        <v>5</v>
      </c>
      <c r="F41" s="292">
        <f>+'4. APU INST SN PRINCIPAL'!H410</f>
        <v>251953.28193600001</v>
      </c>
      <c r="G41" s="292">
        <f t="shared" si="2"/>
        <v>1259766.40968</v>
      </c>
    </row>
    <row r="42" spans="2:9" ht="27" customHeight="1" x14ac:dyDescent="0.3">
      <c r="B42" s="290">
        <v>4.9000000000000004</v>
      </c>
      <c r="C42" s="411" t="s">
        <v>580</v>
      </c>
      <c r="D42" s="290" t="s">
        <v>1</v>
      </c>
      <c r="E42" s="291">
        <v>2</v>
      </c>
      <c r="F42" s="292">
        <f>+'4. APU INST SN PRINCIPAL'!H460</f>
        <v>1427213.1074848</v>
      </c>
      <c r="G42" s="292">
        <f t="shared" si="2"/>
        <v>2854426.2149696001</v>
      </c>
    </row>
    <row r="43" spans="2:9" ht="26.25" customHeight="1" x14ac:dyDescent="0.3">
      <c r="B43" s="291">
        <v>4.0999999999999996</v>
      </c>
      <c r="C43" s="411" t="s">
        <v>576</v>
      </c>
      <c r="D43" s="290" t="s">
        <v>83</v>
      </c>
      <c r="E43" s="291">
        <v>9</v>
      </c>
      <c r="F43" s="292">
        <f>+'4. APU INST SN PRINCIPAL'!H562</f>
        <v>90024.666572999995</v>
      </c>
      <c r="G43" s="292">
        <f t="shared" si="2"/>
        <v>810221.99915699998</v>
      </c>
    </row>
    <row r="44" spans="2:9" x14ac:dyDescent="0.3">
      <c r="B44" s="290"/>
      <c r="C44" s="537" t="s">
        <v>555</v>
      </c>
      <c r="D44" s="538"/>
      <c r="E44" s="539"/>
      <c r="F44" s="389"/>
      <c r="G44" s="389">
        <f>+SUM(G34:G43)</f>
        <v>32125995.176977944</v>
      </c>
    </row>
    <row r="45" spans="2:9" ht="33.75" customHeight="1" x14ac:dyDescent="0.3">
      <c r="B45" s="400">
        <v>5</v>
      </c>
      <c r="C45" s="401" t="s">
        <v>578</v>
      </c>
      <c r="D45" s="401"/>
      <c r="E45" s="401"/>
      <c r="F45" s="401"/>
      <c r="G45" s="401"/>
    </row>
    <row r="46" spans="2:9" ht="17.399999999999999" customHeight="1" x14ac:dyDescent="0.3">
      <c r="B46" s="405">
        <v>5.0999999999999996</v>
      </c>
      <c r="C46" s="513" t="s">
        <v>700</v>
      </c>
      <c r="D46" s="290" t="s">
        <v>298</v>
      </c>
      <c r="E46" s="290">
        <f>52.4+28.57</f>
        <v>80.97</v>
      </c>
      <c r="F46" s="485">
        <f>+'5. APU INST SN LAS MARGARITAS'!H48</f>
        <v>86044.538286499999</v>
      </c>
      <c r="G46" s="485">
        <f>+F46*E46</f>
        <v>6967026.2650579046</v>
      </c>
    </row>
    <row r="47" spans="2:9" ht="29.25" customHeight="1" x14ac:dyDescent="0.3">
      <c r="B47" s="290">
        <v>5.2</v>
      </c>
      <c r="C47" s="402" t="s">
        <v>701</v>
      </c>
      <c r="D47" s="290" t="s">
        <v>298</v>
      </c>
      <c r="E47" s="291">
        <v>230</v>
      </c>
      <c r="F47" s="292">
        <f>+'5. APU INST SN LAS MARGARITAS'!H149</f>
        <v>27598.370814600003</v>
      </c>
      <c r="G47" s="292">
        <f t="shared" ref="G47:G48" si="3">+E47*F47</f>
        <v>6347625.2873580009</v>
      </c>
    </row>
    <row r="48" spans="2:9" ht="27" customHeight="1" x14ac:dyDescent="0.3">
      <c r="B48" s="290">
        <v>5.3</v>
      </c>
      <c r="C48" s="402" t="s">
        <v>562</v>
      </c>
      <c r="D48" s="290" t="s">
        <v>1</v>
      </c>
      <c r="E48" s="291">
        <v>5</v>
      </c>
      <c r="F48" s="292">
        <f>+'5. APU INST SN LAS MARGARITAS'!H201</f>
        <v>618017.40161333338</v>
      </c>
      <c r="G48" s="292">
        <f t="shared" si="3"/>
        <v>3090087.0080666668</v>
      </c>
    </row>
    <row r="49" spans="2:9" ht="17.399999999999999" customHeight="1" x14ac:dyDescent="0.3">
      <c r="B49" s="290"/>
      <c r="C49" s="537" t="s">
        <v>555</v>
      </c>
      <c r="D49" s="538"/>
      <c r="E49" s="539"/>
      <c r="F49" s="389"/>
      <c r="G49" s="389">
        <f>+SUM(G46:G48)</f>
        <v>16404738.560482573</v>
      </c>
    </row>
    <row r="50" spans="2:9" ht="36" customHeight="1" x14ac:dyDescent="0.3">
      <c r="B50" s="400">
        <v>6</v>
      </c>
      <c r="C50" s="403" t="s">
        <v>584</v>
      </c>
      <c r="D50" s="401"/>
      <c r="E50" s="401"/>
      <c r="F50" s="401"/>
      <c r="G50" s="401"/>
    </row>
    <row r="51" spans="2:9" ht="26.4" customHeight="1" x14ac:dyDescent="0.3">
      <c r="B51" s="405">
        <v>6.1</v>
      </c>
      <c r="C51" s="404" t="s">
        <v>594</v>
      </c>
      <c r="D51" s="290" t="s">
        <v>304</v>
      </c>
      <c r="E51" s="290">
        <f>1.8*1.8*1.5</f>
        <v>4.8600000000000003</v>
      </c>
      <c r="F51" s="485">
        <f>+'6. APU INST SN M. AUXILIADORA'!H40</f>
        <v>141321.84580800001</v>
      </c>
      <c r="G51" s="485">
        <f>+F51*E51</f>
        <v>686824.17062688014</v>
      </c>
    </row>
    <row r="52" spans="2:9" ht="39.6" customHeight="1" x14ac:dyDescent="0.3">
      <c r="B52" s="290">
        <v>6.2</v>
      </c>
      <c r="C52" s="402" t="s">
        <v>589</v>
      </c>
      <c r="D52" s="290" t="s">
        <v>1</v>
      </c>
      <c r="E52" s="291">
        <v>1</v>
      </c>
      <c r="F52" s="292">
        <f>+'6. APU INST SN M. AUXILIADORA'!H98</f>
        <v>937504.33494933357</v>
      </c>
      <c r="G52" s="292">
        <f>+E52*F52</f>
        <v>937504.33494933357</v>
      </c>
    </row>
    <row r="53" spans="2:9" ht="40.200000000000003" customHeight="1" x14ac:dyDescent="0.3">
      <c r="B53" s="405">
        <v>6.3</v>
      </c>
      <c r="C53" s="402" t="s">
        <v>678</v>
      </c>
      <c r="D53" s="290" t="s">
        <v>83</v>
      </c>
      <c r="E53" s="291">
        <f>3.7+1.1</f>
        <v>4.8000000000000007</v>
      </c>
      <c r="F53" s="292">
        <f>+'6. APU INST SN M. AUXILIADORA'!H161</f>
        <v>195310.32100647621</v>
      </c>
      <c r="G53" s="292">
        <f t="shared" ref="G53:G55" si="4">+E53*F53</f>
        <v>937489.54083108599</v>
      </c>
    </row>
    <row r="54" spans="2:9" ht="28.2" customHeight="1" x14ac:dyDescent="0.3">
      <c r="B54" s="290">
        <v>6.4</v>
      </c>
      <c r="C54" s="402" t="s">
        <v>588</v>
      </c>
      <c r="D54" s="290" t="s">
        <v>1</v>
      </c>
      <c r="E54" s="291">
        <v>1</v>
      </c>
      <c r="F54" s="292">
        <f>+'6. APU INST SN M. AUXILIADORA'!H221</f>
        <v>147248.33470533334</v>
      </c>
      <c r="G54" s="292">
        <f t="shared" si="4"/>
        <v>147248.33470533334</v>
      </c>
    </row>
    <row r="55" spans="2:9" ht="62.4" customHeight="1" x14ac:dyDescent="0.3">
      <c r="B55" s="405">
        <v>6.5</v>
      </c>
      <c r="C55" s="402" t="s">
        <v>673</v>
      </c>
      <c r="D55" s="290" t="s">
        <v>1</v>
      </c>
      <c r="E55" s="291">
        <v>1</v>
      </c>
      <c r="F55" s="292">
        <f>+'6. APU INST SN M. AUXILIADORA'!H278</f>
        <v>504363.25204533339</v>
      </c>
      <c r="G55" s="292">
        <f t="shared" si="4"/>
        <v>504363.25204533339</v>
      </c>
    </row>
    <row r="56" spans="2:9" ht="18" customHeight="1" x14ac:dyDescent="0.3">
      <c r="B56" s="290"/>
      <c r="C56" s="537" t="s">
        <v>555</v>
      </c>
      <c r="D56" s="538"/>
      <c r="E56" s="539"/>
      <c r="F56" s="389"/>
      <c r="G56" s="389">
        <f>+SUM(G51:G55)</f>
        <v>3213429.6331579667</v>
      </c>
    </row>
    <row r="57" spans="2:9" ht="26.4" x14ac:dyDescent="0.3">
      <c r="B57" s="400">
        <v>7</v>
      </c>
      <c r="C57" s="401" t="s">
        <v>582</v>
      </c>
      <c r="D57" s="401"/>
      <c r="E57" s="401"/>
      <c r="F57" s="401"/>
      <c r="G57" s="401"/>
    </row>
    <row r="58" spans="2:9" ht="42" customHeight="1" x14ac:dyDescent="0.3">
      <c r="B58" s="290">
        <v>7.1</v>
      </c>
      <c r="C58" s="402" t="s">
        <v>585</v>
      </c>
      <c r="D58" s="290" t="s">
        <v>1</v>
      </c>
      <c r="E58" s="291">
        <v>20</v>
      </c>
      <c r="F58" s="292">
        <f>+'7. APU INST LUIFERGO'!H52</f>
        <v>300486.80121000001</v>
      </c>
      <c r="G58" s="292">
        <f>+E58*F58</f>
        <v>6009736.0241999999</v>
      </c>
      <c r="I58" s="147" t="s">
        <v>497</v>
      </c>
    </row>
    <row r="59" spans="2:9" ht="27" customHeight="1" x14ac:dyDescent="0.3">
      <c r="B59" s="290">
        <v>7.2</v>
      </c>
      <c r="C59" s="402" t="s">
        <v>587</v>
      </c>
      <c r="D59" s="290" t="s">
        <v>298</v>
      </c>
      <c r="E59" s="291">
        <v>108.48</v>
      </c>
      <c r="F59" s="292">
        <f>+'7. APU INST LUIFERGO'!H101</f>
        <v>12113.301069257142</v>
      </c>
      <c r="G59" s="292">
        <f t="shared" ref="G59:G62" si="5">+E59*F59</f>
        <v>1314050.8999930148</v>
      </c>
    </row>
    <row r="60" spans="2:9" ht="18" customHeight="1" x14ac:dyDescent="0.3">
      <c r="B60" s="290">
        <v>7.3</v>
      </c>
      <c r="C60" s="402" t="s">
        <v>586</v>
      </c>
      <c r="D60" s="290" t="s">
        <v>298</v>
      </c>
      <c r="E60" s="291">
        <v>108.48</v>
      </c>
      <c r="F60" s="292">
        <f>+'7. APU INST LUIFERGO'!H159</f>
        <v>70044.538286499999</v>
      </c>
      <c r="G60" s="292">
        <f t="shared" si="5"/>
        <v>7598431.5133195203</v>
      </c>
      <c r="I60" s="147" t="s">
        <v>497</v>
      </c>
    </row>
    <row r="61" spans="2:9" ht="16.2" customHeight="1" x14ac:dyDescent="0.3">
      <c r="B61" s="290">
        <v>7.4</v>
      </c>
      <c r="C61" s="402" t="s">
        <v>574</v>
      </c>
      <c r="D61" s="290" t="s">
        <v>298</v>
      </c>
      <c r="E61" s="291">
        <v>87.525999999999996</v>
      </c>
      <c r="F61" s="292">
        <f>+'7. APU INST LUIFERGO'!H215</f>
        <v>11261.973325840001</v>
      </c>
      <c r="G61" s="292">
        <f t="shared" si="5"/>
        <v>985715.47731747187</v>
      </c>
    </row>
    <row r="62" spans="2:9" ht="21.6" customHeight="1" x14ac:dyDescent="0.3">
      <c r="B62" s="290">
        <v>7.5</v>
      </c>
      <c r="C62" s="402" t="s">
        <v>564</v>
      </c>
      <c r="D62" s="290" t="s">
        <v>1</v>
      </c>
      <c r="E62" s="291">
        <v>12</v>
      </c>
      <c r="F62" s="292">
        <f>+'7. APU INST LUIFERGO'!H264</f>
        <v>153498.70080666669</v>
      </c>
      <c r="G62" s="292">
        <f t="shared" si="5"/>
        <v>1841984.4096800003</v>
      </c>
    </row>
    <row r="63" spans="2:9" x14ac:dyDescent="0.3">
      <c r="B63" s="290"/>
      <c r="C63" s="537" t="s">
        <v>555</v>
      </c>
      <c r="D63" s="538"/>
      <c r="E63" s="539"/>
      <c r="F63" s="389"/>
      <c r="G63" s="389">
        <f>+SUM(G58:G62)</f>
        <v>17749918.324510008</v>
      </c>
    </row>
    <row r="64" spans="2:9" x14ac:dyDescent="0.3">
      <c r="B64" s="290"/>
      <c r="C64" s="391"/>
      <c r="D64" s="392"/>
      <c r="E64" s="393"/>
      <c r="F64" s="390"/>
      <c r="G64" s="284"/>
    </row>
    <row r="65" spans="2:7" x14ac:dyDescent="0.3">
      <c r="B65" s="394"/>
      <c r="C65" s="545" t="s">
        <v>316</v>
      </c>
      <c r="D65" s="546"/>
      <c r="E65" s="546"/>
      <c r="F65" s="547"/>
      <c r="G65" s="269">
        <f>+G19+G28+G32+G44+G49+G56+G63</f>
        <v>138446154</v>
      </c>
    </row>
    <row r="66" spans="2:7" ht="15.6" thickBot="1" x14ac:dyDescent="0.35">
      <c r="B66" s="283"/>
      <c r="C66" s="548" t="s">
        <v>319</v>
      </c>
      <c r="D66" s="549"/>
      <c r="E66" s="549"/>
      <c r="F66" s="550"/>
      <c r="G66" s="476">
        <f>ROUND((G65*0.3),0)</f>
        <v>41533846</v>
      </c>
    </row>
    <row r="67" spans="2:7" ht="16.2" thickBot="1" x14ac:dyDescent="0.35">
      <c r="B67" s="151"/>
      <c r="C67" s="540" t="s">
        <v>317</v>
      </c>
      <c r="D67" s="541"/>
      <c r="E67" s="541"/>
      <c r="F67" s="542"/>
      <c r="G67" s="220">
        <f>G65+G66</f>
        <v>179980000</v>
      </c>
    </row>
    <row r="68" spans="2:7" x14ac:dyDescent="0.3">
      <c r="B68" s="151"/>
    </row>
    <row r="69" spans="2:7" ht="15.6" x14ac:dyDescent="0.3">
      <c r="B69" s="151"/>
      <c r="C69" s="148"/>
      <c r="G69" s="167"/>
    </row>
    <row r="70" spans="2:7" x14ac:dyDescent="0.3">
      <c r="G70" s="213"/>
    </row>
    <row r="71" spans="2:7" x14ac:dyDescent="0.3">
      <c r="G71" s="201"/>
    </row>
    <row r="72" spans="2:7" x14ac:dyDescent="0.3">
      <c r="C72" s="198"/>
      <c r="G72" s="167"/>
    </row>
    <row r="73" spans="2:7" x14ac:dyDescent="0.3">
      <c r="C73" s="199" t="s">
        <v>581</v>
      </c>
    </row>
    <row r="74" spans="2:7" x14ac:dyDescent="0.3">
      <c r="C74" s="200" t="s">
        <v>590</v>
      </c>
    </row>
    <row r="75" spans="2:7" x14ac:dyDescent="0.3">
      <c r="C75" s="261" t="s">
        <v>591</v>
      </c>
    </row>
    <row r="76" spans="2:7" x14ac:dyDescent="0.3">
      <c r="C76" s="261" t="s">
        <v>592</v>
      </c>
    </row>
  </sheetData>
  <mergeCells count="11">
    <mergeCell ref="C63:E63"/>
    <mergeCell ref="C56:E56"/>
    <mergeCell ref="C49:E49"/>
    <mergeCell ref="C67:F67"/>
    <mergeCell ref="B1:F1"/>
    <mergeCell ref="C65:F65"/>
    <mergeCell ref="C66:F66"/>
    <mergeCell ref="C19:E19"/>
    <mergeCell ref="C28:E28"/>
    <mergeCell ref="C32:E32"/>
    <mergeCell ref="C44:E44"/>
  </mergeCells>
  <phoneticPr fontId="66" type="noConversion"/>
  <printOptions horizontalCentered="1"/>
  <pageMargins left="0.82677165354330717" right="0.31496062992125984" top="0.51181102362204722" bottom="0.35433070866141736" header="0.39370078740157483" footer="0.39370078740157483"/>
  <pageSetup scale="70" orientation="portrait" horizontalDpi="300" verticalDpi="300" r:id="rId1"/>
  <headerFooter alignWithMargins="0"/>
  <ignoredErrors>
    <ignoredError sqref="G16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C11AF-7202-4F4F-B5EB-071234140675}">
  <sheetPr>
    <tabColor rgb="FF00B0F0"/>
    <pageSetUpPr fitToPage="1"/>
  </sheetPr>
  <dimension ref="B5:L728"/>
  <sheetViews>
    <sheetView showGridLines="0" tabSelected="1" zoomScale="68" zoomScaleNormal="77" workbookViewId="0">
      <selection activeCell="H736" sqref="H736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x14ac:dyDescent="0.25">
      <c r="B10" s="572"/>
      <c r="C10" s="573"/>
      <c r="D10" s="573"/>
      <c r="E10" s="573"/>
      <c r="F10" s="573"/>
      <c r="G10" s="573"/>
      <c r="H10" s="574"/>
    </row>
    <row r="11" spans="2:11" x14ac:dyDescent="0.25">
      <c r="B11" s="575"/>
      <c r="C11" s="576"/>
      <c r="D11" s="576"/>
      <c r="E11" s="576"/>
      <c r="F11" s="576"/>
      <c r="G11" s="576"/>
      <c r="H11" s="577"/>
      <c r="J11" s="257" t="s">
        <v>497</v>
      </c>
    </row>
    <row r="12" spans="2:11" x14ac:dyDescent="0.25">
      <c r="B12" s="578" t="str">
        <f>+PRESUPUESTO!C5</f>
        <v>DESMONTE DE PUERTA GALVANIZADA DE ACCCESO A UNIDAD SANITARIA, 1.0 MTS X 2.40 MTS, INLCUYE DESMONTE DE MARCO</v>
      </c>
      <c r="C12" s="579"/>
      <c r="D12" s="579"/>
      <c r="E12" s="579"/>
      <c r="F12" s="580"/>
      <c r="G12" s="587" t="s">
        <v>508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+PRESUPUESTO!B5</f>
        <v>1.1000000000000001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10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  <c r="J17" s="257" t="s">
        <v>497</v>
      </c>
    </row>
    <row r="18" spans="2:10" x14ac:dyDescent="0.25">
      <c r="B18" s="562" t="s">
        <v>8</v>
      </c>
      <c r="C18" s="563"/>
      <c r="D18" s="301"/>
      <c r="E18" s="302"/>
      <c r="F18" s="303">
        <v>0.1</v>
      </c>
      <c r="G18" s="287">
        <f>+H38</f>
        <v>139180.60571999999</v>
      </c>
      <c r="H18" s="304">
        <f>+F18*G18</f>
        <v>13918.060572</v>
      </c>
    </row>
    <row r="19" spans="2:10" x14ac:dyDescent="0.25">
      <c r="B19" s="600"/>
      <c r="C19" s="601"/>
      <c r="D19" s="301"/>
      <c r="E19" s="302"/>
      <c r="F19" s="289"/>
      <c r="G19" s="287"/>
      <c r="H19" s="304"/>
    </row>
    <row r="20" spans="2:10" x14ac:dyDescent="0.25">
      <c r="B20" s="562"/>
      <c r="C20" s="563"/>
      <c r="D20" s="301"/>
      <c r="E20" s="302"/>
      <c r="F20" s="289"/>
      <c r="G20" s="287"/>
      <c r="H20" s="304"/>
    </row>
    <row r="21" spans="2:10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13918.060572</v>
      </c>
    </row>
    <row r="22" spans="2:10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10" x14ac:dyDescent="0.25">
      <c r="B23" s="560" t="s">
        <v>20</v>
      </c>
      <c r="C23" s="561"/>
      <c r="D23" s="297" t="s">
        <v>27</v>
      </c>
      <c r="E23" s="297" t="s">
        <v>29</v>
      </c>
      <c r="F23" s="298" t="s">
        <v>598</v>
      </c>
      <c r="G23" s="299" t="s">
        <v>597</v>
      </c>
      <c r="H23" s="310" t="s">
        <v>482</v>
      </c>
    </row>
    <row r="24" spans="2:10" ht="27.6" customHeight="1" x14ac:dyDescent="0.25">
      <c r="B24" s="554"/>
      <c r="C24" s="555"/>
      <c r="D24" s="285"/>
      <c r="E24" s="311"/>
      <c r="F24" s="289"/>
      <c r="G24" s="274"/>
      <c r="H24" s="275"/>
    </row>
    <row r="25" spans="2:10" ht="22.5" customHeight="1" x14ac:dyDescent="0.25">
      <c r="B25" s="596"/>
      <c r="C25" s="597"/>
      <c r="D25" s="285"/>
      <c r="E25" s="272"/>
      <c r="F25" s="289"/>
      <c r="G25" s="274"/>
      <c r="H25" s="275"/>
    </row>
    <row r="26" spans="2:10" ht="18.75" customHeight="1" x14ac:dyDescent="0.25">
      <c r="B26" s="596"/>
      <c r="C26" s="597"/>
      <c r="D26" s="285"/>
      <c r="E26" s="286"/>
      <c r="F26" s="303"/>
      <c r="G26" s="287"/>
      <c r="H26" s="275"/>
    </row>
    <row r="27" spans="2:10" x14ac:dyDescent="0.25">
      <c r="B27" s="305"/>
      <c r="C27" s="266"/>
      <c r="D27" s="266"/>
      <c r="E27" s="266"/>
      <c r="F27" s="308"/>
      <c r="G27" s="306" t="s">
        <v>25</v>
      </c>
      <c r="H27" s="312">
        <f>SUM(H24:H26)</f>
        <v>0</v>
      </c>
    </row>
    <row r="28" spans="2:10" x14ac:dyDescent="0.25">
      <c r="B28" s="214" t="s">
        <v>30</v>
      </c>
      <c r="C28" s="266"/>
      <c r="D28" s="266"/>
      <c r="E28" s="266"/>
      <c r="F28" s="308"/>
      <c r="G28" s="308"/>
      <c r="H28" s="304"/>
    </row>
    <row r="29" spans="2:10" x14ac:dyDescent="0.25">
      <c r="B29" s="560" t="s">
        <v>20</v>
      </c>
      <c r="C29" s="561"/>
      <c r="D29" s="297" t="s">
        <v>21</v>
      </c>
      <c r="E29" s="297" t="s">
        <v>127</v>
      </c>
      <c r="F29" s="298" t="s">
        <v>32</v>
      </c>
      <c r="G29" s="297" t="s">
        <v>24</v>
      </c>
      <c r="H29" s="313" t="s">
        <v>481</v>
      </c>
    </row>
    <row r="30" spans="2:10" x14ac:dyDescent="0.25">
      <c r="B30" s="598"/>
      <c r="C30" s="599"/>
      <c r="D30" s="314"/>
      <c r="E30" s="315"/>
      <c r="F30" s="274"/>
      <c r="G30" s="274">
        <f>+E30*F30</f>
        <v>0</v>
      </c>
      <c r="H30" s="304">
        <f>+G30</f>
        <v>0</v>
      </c>
    </row>
    <row r="31" spans="2:10" x14ac:dyDescent="0.25">
      <c r="B31" s="598"/>
      <c r="C31" s="599"/>
      <c r="D31" s="314"/>
      <c r="E31" s="316"/>
      <c r="F31" s="317"/>
      <c r="G31" s="316"/>
      <c r="H31" s="318"/>
    </row>
    <row r="32" spans="2:10" x14ac:dyDescent="0.25">
      <c r="B32" s="305"/>
      <c r="C32" s="266"/>
      <c r="D32" s="266"/>
      <c r="E32" s="266"/>
      <c r="F32" s="296"/>
      <c r="G32" s="306" t="s">
        <v>25</v>
      </c>
      <c r="H32" s="319">
        <f>+H30</f>
        <v>0</v>
      </c>
    </row>
    <row r="33" spans="2:11" x14ac:dyDescent="0.25">
      <c r="B33" s="214" t="s">
        <v>34</v>
      </c>
      <c r="C33" s="266"/>
      <c r="D33" s="266"/>
      <c r="E33" s="266"/>
      <c r="F33" s="296"/>
      <c r="G33" s="308"/>
      <c r="H33" s="320"/>
    </row>
    <row r="34" spans="2:11" x14ac:dyDescent="0.25">
      <c r="B34" s="321" t="s">
        <v>35</v>
      </c>
      <c r="C34" s="321" t="s">
        <v>29</v>
      </c>
      <c r="D34" s="321" t="s">
        <v>36</v>
      </c>
      <c r="E34" s="321" t="s">
        <v>37</v>
      </c>
      <c r="F34" s="322" t="s">
        <v>38</v>
      </c>
      <c r="G34" s="323" t="s">
        <v>23</v>
      </c>
      <c r="H34" s="324" t="s">
        <v>24</v>
      </c>
    </row>
    <row r="35" spans="2:11" x14ac:dyDescent="0.25">
      <c r="B35" s="288" t="s">
        <v>39</v>
      </c>
      <c r="C35" s="316">
        <v>1</v>
      </c>
      <c r="D35" s="325">
        <v>93381.6</v>
      </c>
      <c r="E35" s="326">
        <v>1.8344</v>
      </c>
      <c r="F35" s="327">
        <f>+D35*C35*E35</f>
        <v>171299.20704000001</v>
      </c>
      <c r="G35" s="316">
        <v>2</v>
      </c>
      <c r="H35" s="274">
        <f>F35/G35</f>
        <v>85649.603520000004</v>
      </c>
    </row>
    <row r="36" spans="2:11" x14ac:dyDescent="0.25">
      <c r="B36" s="288" t="s">
        <v>496</v>
      </c>
      <c r="C36" s="316">
        <v>1</v>
      </c>
      <c r="D36" s="325">
        <v>58363.5</v>
      </c>
      <c r="E36" s="326">
        <v>1.8344</v>
      </c>
      <c r="F36" s="327">
        <f>+D36*C36*E36</f>
        <v>107062.00440000001</v>
      </c>
      <c r="G36" s="316">
        <v>2</v>
      </c>
      <c r="H36" s="274">
        <f>+F36/G36</f>
        <v>53531.002200000003</v>
      </c>
    </row>
    <row r="37" spans="2:11" x14ac:dyDescent="0.25">
      <c r="B37" s="288"/>
      <c r="C37" s="288"/>
      <c r="D37" s="317"/>
      <c r="E37" s="288"/>
      <c r="F37" s="317"/>
      <c r="G37" s="288"/>
      <c r="H37" s="327"/>
    </row>
    <row r="38" spans="2:11" x14ac:dyDescent="0.25">
      <c r="B38" s="305"/>
      <c r="C38" s="266"/>
      <c r="D38" s="266"/>
      <c r="E38" s="266"/>
      <c r="F38" s="296"/>
      <c r="G38" s="306" t="s">
        <v>25</v>
      </c>
      <c r="H38" s="328">
        <f>+SUM(H35:H37)</f>
        <v>139180.60571999999</v>
      </c>
      <c r="K38" s="257" t="s">
        <v>497</v>
      </c>
    </row>
    <row r="39" spans="2:11" x14ac:dyDescent="0.25">
      <c r="B39" s="217"/>
      <c r="C39" s="26"/>
      <c r="D39" s="26"/>
      <c r="E39" s="26"/>
      <c r="F39" s="215"/>
      <c r="G39" s="256"/>
      <c r="H39" s="218"/>
    </row>
    <row r="40" spans="2:11" ht="15.6" x14ac:dyDescent="0.25">
      <c r="B40" s="258"/>
      <c r="C40" s="479" t="s">
        <v>645</v>
      </c>
      <c r="D40" s="477"/>
      <c r="E40" s="477"/>
      <c r="F40" s="477"/>
      <c r="G40" s="469" t="s">
        <v>41</v>
      </c>
      <c r="H40" s="254">
        <f>+H21+H27+H32+H38</f>
        <v>153098.66629199998</v>
      </c>
    </row>
    <row r="41" spans="2:11" ht="15.6" x14ac:dyDescent="0.25">
      <c r="B41" s="258"/>
      <c r="C41" s="479"/>
      <c r="D41" s="477"/>
      <c r="E41" s="477"/>
      <c r="F41" s="477"/>
      <c r="G41" s="255"/>
      <c r="H41" s="219"/>
    </row>
    <row r="42" spans="2:11" ht="15.6" x14ac:dyDescent="0.25">
      <c r="B42" s="258"/>
      <c r="C42" s="479"/>
      <c r="D42" s="477"/>
      <c r="E42" s="477"/>
      <c r="F42" s="477"/>
      <c r="G42" s="255"/>
      <c r="H42" s="219"/>
      <c r="I42" s="257" t="s">
        <v>497</v>
      </c>
    </row>
    <row r="43" spans="2:11" ht="15.6" x14ac:dyDescent="0.25">
      <c r="B43" s="258"/>
      <c r="C43" s="475" t="s">
        <v>643</v>
      </c>
      <c r="D43" s="474"/>
      <c r="E43" s="477"/>
      <c r="F43" s="477"/>
      <c r="G43" s="255"/>
      <c r="H43" s="219"/>
    </row>
    <row r="44" spans="2:11" ht="15" x14ac:dyDescent="0.25">
      <c r="B44" s="262"/>
      <c r="C44" s="200" t="s">
        <v>590</v>
      </c>
      <c r="D44" s="474"/>
      <c r="E44" s="478"/>
      <c r="F44" s="478"/>
      <c r="G44" s="255"/>
      <c r="H44" s="219"/>
    </row>
    <row r="45" spans="2:11" ht="15" x14ac:dyDescent="0.25">
      <c r="B45" s="264"/>
      <c r="C45" s="261" t="s">
        <v>591</v>
      </c>
      <c r="D45" s="474"/>
      <c r="E45" s="478"/>
      <c r="F45" s="478"/>
      <c r="G45" s="255"/>
      <c r="H45" s="219"/>
    </row>
    <row r="46" spans="2:11" ht="15" x14ac:dyDescent="0.25">
      <c r="B46" s="265"/>
      <c r="C46" s="261" t="s">
        <v>644</v>
      </c>
      <c r="D46" s="474"/>
      <c r="E46" s="478"/>
      <c r="F46" s="478"/>
      <c r="G46" s="255"/>
      <c r="H46" s="219"/>
    </row>
    <row r="47" spans="2:11" x14ac:dyDescent="0.25">
      <c r="B47" s="267"/>
      <c r="C47" s="268"/>
      <c r="D47" s="259"/>
      <c r="E47" s="259"/>
      <c r="F47" s="259"/>
      <c r="G47" s="259"/>
      <c r="H47" s="260"/>
    </row>
    <row r="57" spans="2:8" ht="15.6" x14ac:dyDescent="0.25">
      <c r="B57" s="566" t="s">
        <v>320</v>
      </c>
      <c r="C57" s="567"/>
      <c r="D57" s="567"/>
      <c r="E57" s="567"/>
      <c r="F57" s="567"/>
      <c r="G57" s="567"/>
      <c r="H57" s="568"/>
    </row>
    <row r="58" spans="2:8" x14ac:dyDescent="0.25">
      <c r="B58" s="569" t="str">
        <f>+PRESUPUESTO!B1</f>
        <v>MANTENIMIENTO Y ADECUACIÓN DE INSTITUCIONES EDUCATIVAS OFICIALES, DEL MUNICIPIO DE LA APARTADA CORDOBA.</v>
      </c>
      <c r="C58" s="570"/>
      <c r="D58" s="570"/>
      <c r="E58" s="570"/>
      <c r="F58" s="570"/>
      <c r="G58" s="570"/>
      <c r="H58" s="571"/>
    </row>
    <row r="59" spans="2:8" x14ac:dyDescent="0.25">
      <c r="B59" s="572"/>
      <c r="C59" s="573"/>
      <c r="D59" s="573"/>
      <c r="E59" s="573"/>
      <c r="F59" s="573"/>
      <c r="G59" s="573"/>
      <c r="H59" s="574"/>
    </row>
    <row r="60" spans="2:8" x14ac:dyDescent="0.25">
      <c r="B60" s="575"/>
      <c r="C60" s="576"/>
      <c r="D60" s="576"/>
      <c r="E60" s="576"/>
      <c r="F60" s="576"/>
      <c r="G60" s="576"/>
      <c r="H60" s="577"/>
    </row>
    <row r="61" spans="2:8" x14ac:dyDescent="0.25">
      <c r="B61" s="578" t="str">
        <f>+PRESUPUESTO!C6</f>
        <v>DESMONTE DE PUERTA DE BAÑO DE UNIDAD SANITARIA EN MAL ESTADO. 0.68 MTS X 1.80 MTS, INCLUYE DESMONTE DE MARCO</v>
      </c>
      <c r="C61" s="579"/>
      <c r="D61" s="579"/>
      <c r="E61" s="579"/>
      <c r="F61" s="580"/>
      <c r="G61" s="587" t="s">
        <v>583</v>
      </c>
      <c r="H61" s="588"/>
    </row>
    <row r="62" spans="2:8" x14ac:dyDescent="0.25">
      <c r="B62" s="581"/>
      <c r="C62" s="582"/>
      <c r="D62" s="582"/>
      <c r="E62" s="582"/>
      <c r="F62" s="583"/>
      <c r="G62" s="589"/>
      <c r="H62" s="590"/>
    </row>
    <row r="63" spans="2:8" x14ac:dyDescent="0.25">
      <c r="B63" s="584"/>
      <c r="C63" s="585"/>
      <c r="D63" s="585"/>
      <c r="E63" s="585"/>
      <c r="F63" s="586"/>
      <c r="G63" s="591"/>
      <c r="H63" s="592"/>
    </row>
    <row r="64" spans="2:8" x14ac:dyDescent="0.25">
      <c r="B64" s="518" t="s">
        <v>0</v>
      </c>
      <c r="C64" s="515">
        <f>+PRESUPUESTO!B6</f>
        <v>1.2</v>
      </c>
      <c r="D64" s="516"/>
      <c r="E64" s="516"/>
      <c r="F64" s="516"/>
      <c r="G64" s="516"/>
      <c r="H64" s="517"/>
    </row>
    <row r="65" spans="2:8" x14ac:dyDescent="0.25">
      <c r="B65" s="214" t="s">
        <v>19</v>
      </c>
      <c r="C65" s="266"/>
      <c r="D65" s="266"/>
      <c r="E65" s="266"/>
      <c r="F65" s="296"/>
      <c r="G65" s="266"/>
      <c r="H65" s="216"/>
    </row>
    <row r="66" spans="2:8" x14ac:dyDescent="0.25">
      <c r="B66" s="560" t="s">
        <v>20</v>
      </c>
      <c r="C66" s="561"/>
      <c r="D66" s="297" t="s">
        <v>21</v>
      </c>
      <c r="E66" s="297" t="s">
        <v>22</v>
      </c>
      <c r="F66" s="298" t="s">
        <v>23</v>
      </c>
      <c r="G66" s="299" t="s">
        <v>24</v>
      </c>
      <c r="H66" s="300" t="s">
        <v>482</v>
      </c>
    </row>
    <row r="67" spans="2:8" x14ac:dyDescent="0.25">
      <c r="B67" s="562" t="s">
        <v>8</v>
      </c>
      <c r="C67" s="563"/>
      <c r="D67" s="301"/>
      <c r="E67" s="302"/>
      <c r="F67" s="303">
        <v>0.1</v>
      </c>
      <c r="G67" s="287">
        <f>+H87</f>
        <v>111344.484576</v>
      </c>
      <c r="H67" s="304">
        <f>+F67*G67</f>
        <v>11134.448457600001</v>
      </c>
    </row>
    <row r="68" spans="2:8" x14ac:dyDescent="0.25">
      <c r="B68" s="600"/>
      <c r="C68" s="601"/>
      <c r="D68" s="301"/>
      <c r="E68" s="302"/>
      <c r="F68" s="289"/>
      <c r="G68" s="287"/>
      <c r="H68" s="304"/>
    </row>
    <row r="69" spans="2:8" x14ac:dyDescent="0.25">
      <c r="B69" s="562"/>
      <c r="C69" s="563"/>
      <c r="D69" s="301"/>
      <c r="E69" s="302"/>
      <c r="F69" s="289"/>
      <c r="G69" s="287"/>
      <c r="H69" s="304"/>
    </row>
    <row r="70" spans="2:8" x14ac:dyDescent="0.25">
      <c r="B70" s="305"/>
      <c r="C70" s="266"/>
      <c r="D70" s="266"/>
      <c r="E70" s="266"/>
      <c r="F70" s="296"/>
      <c r="G70" s="306" t="s">
        <v>25</v>
      </c>
      <c r="H70" s="307">
        <f>SUM(H67:H69)</f>
        <v>11134.448457600001</v>
      </c>
    </row>
    <row r="71" spans="2:8" x14ac:dyDescent="0.25">
      <c r="B71" s="214" t="s">
        <v>26</v>
      </c>
      <c r="C71" s="266"/>
      <c r="D71" s="266"/>
      <c r="E71" s="266"/>
      <c r="F71" s="308"/>
      <c r="G71" s="308"/>
      <c r="H71" s="309"/>
    </row>
    <row r="72" spans="2:8" x14ac:dyDescent="0.25">
      <c r="B72" s="560" t="s">
        <v>20</v>
      </c>
      <c r="C72" s="561"/>
      <c r="D72" s="297" t="s">
        <v>27</v>
      </c>
      <c r="E72" s="297" t="s">
        <v>29</v>
      </c>
      <c r="F72" s="298" t="s">
        <v>598</v>
      </c>
      <c r="G72" s="299" t="s">
        <v>597</v>
      </c>
      <c r="H72" s="310" t="s">
        <v>482</v>
      </c>
    </row>
    <row r="73" spans="2:8" x14ac:dyDescent="0.25">
      <c r="B73" s="554"/>
      <c r="C73" s="555"/>
      <c r="D73" s="285"/>
      <c r="E73" s="311"/>
      <c r="F73" s="289"/>
      <c r="G73" s="274"/>
      <c r="H73" s="275"/>
    </row>
    <row r="74" spans="2:8" x14ac:dyDescent="0.25">
      <c r="B74" s="596"/>
      <c r="C74" s="597"/>
      <c r="D74" s="285"/>
      <c r="E74" s="272"/>
      <c r="F74" s="289"/>
      <c r="G74" s="274"/>
      <c r="H74" s="275"/>
    </row>
    <row r="75" spans="2:8" x14ac:dyDescent="0.25">
      <c r="B75" s="596"/>
      <c r="C75" s="597"/>
      <c r="D75" s="285"/>
      <c r="E75" s="286"/>
      <c r="F75" s="303"/>
      <c r="G75" s="287"/>
      <c r="H75" s="275"/>
    </row>
    <row r="76" spans="2:8" x14ac:dyDescent="0.25">
      <c r="B76" s="305"/>
      <c r="C76" s="266"/>
      <c r="D76" s="266"/>
      <c r="E76" s="266"/>
      <c r="F76" s="308"/>
      <c r="G76" s="306" t="s">
        <v>25</v>
      </c>
      <c r="H76" s="312">
        <f>SUM(H73:H75)</f>
        <v>0</v>
      </c>
    </row>
    <row r="77" spans="2:8" x14ac:dyDescent="0.25">
      <c r="B77" s="214" t="s">
        <v>30</v>
      </c>
      <c r="C77" s="266"/>
      <c r="D77" s="266"/>
      <c r="E77" s="266"/>
      <c r="F77" s="308"/>
      <c r="G77" s="308"/>
      <c r="H77" s="304"/>
    </row>
    <row r="78" spans="2:8" x14ac:dyDescent="0.25">
      <c r="B78" s="560" t="s">
        <v>20</v>
      </c>
      <c r="C78" s="561"/>
      <c r="D78" s="297" t="s">
        <v>21</v>
      </c>
      <c r="E78" s="297" t="s">
        <v>127</v>
      </c>
      <c r="F78" s="298" t="s">
        <v>32</v>
      </c>
      <c r="G78" s="297" t="s">
        <v>24</v>
      </c>
      <c r="H78" s="313" t="s">
        <v>481</v>
      </c>
    </row>
    <row r="79" spans="2:8" x14ac:dyDescent="0.25">
      <c r="B79" s="598"/>
      <c r="C79" s="599"/>
      <c r="D79" s="314"/>
      <c r="E79" s="315"/>
      <c r="F79" s="274"/>
      <c r="G79" s="274">
        <f>+E79*F79</f>
        <v>0</v>
      </c>
      <c r="H79" s="304">
        <f>+G79</f>
        <v>0</v>
      </c>
    </row>
    <row r="80" spans="2:8" x14ac:dyDescent="0.25">
      <c r="B80" s="598"/>
      <c r="C80" s="599"/>
      <c r="D80" s="314"/>
      <c r="E80" s="316"/>
      <c r="F80" s="317"/>
      <c r="G80" s="316"/>
      <c r="H80" s="318"/>
    </row>
    <row r="81" spans="2:8" x14ac:dyDescent="0.25">
      <c r="B81" s="305"/>
      <c r="C81" s="266"/>
      <c r="D81" s="266"/>
      <c r="E81" s="266"/>
      <c r="F81" s="296"/>
      <c r="G81" s="306" t="s">
        <v>25</v>
      </c>
      <c r="H81" s="319">
        <f>+H79</f>
        <v>0</v>
      </c>
    </row>
    <row r="82" spans="2:8" x14ac:dyDescent="0.25">
      <c r="B82" s="214" t="s">
        <v>34</v>
      </c>
      <c r="C82" s="266"/>
      <c r="D82" s="266"/>
      <c r="E82" s="266"/>
      <c r="F82" s="296"/>
      <c r="G82" s="308"/>
      <c r="H82" s="320"/>
    </row>
    <row r="83" spans="2:8" x14ac:dyDescent="0.25">
      <c r="B83" s="321" t="s">
        <v>35</v>
      </c>
      <c r="C83" s="321" t="s">
        <v>29</v>
      </c>
      <c r="D83" s="321" t="s">
        <v>36</v>
      </c>
      <c r="E83" s="321" t="s">
        <v>37</v>
      </c>
      <c r="F83" s="322" t="s">
        <v>38</v>
      </c>
      <c r="G83" s="323" t="s">
        <v>23</v>
      </c>
      <c r="H83" s="324" t="s">
        <v>24</v>
      </c>
    </row>
    <row r="84" spans="2:8" x14ac:dyDescent="0.25">
      <c r="B84" s="288" t="s">
        <v>39</v>
      </c>
      <c r="C84" s="316">
        <v>1</v>
      </c>
      <c r="D84" s="325">
        <v>93381.6</v>
      </c>
      <c r="E84" s="326">
        <v>1.8344</v>
      </c>
      <c r="F84" s="327">
        <f>+D84*C84*E84</f>
        <v>171299.20704000001</v>
      </c>
      <c r="G84" s="316">
        <v>2.5</v>
      </c>
      <c r="H84" s="274">
        <f>F84/G84</f>
        <v>68519.682816</v>
      </c>
    </row>
    <row r="85" spans="2:8" x14ac:dyDescent="0.25">
      <c r="B85" s="288" t="s">
        <v>496</v>
      </c>
      <c r="C85" s="316">
        <v>1</v>
      </c>
      <c r="D85" s="325">
        <v>58363.5</v>
      </c>
      <c r="E85" s="326">
        <v>1.8344</v>
      </c>
      <c r="F85" s="327">
        <f>+D85*C85*E85</f>
        <v>107062.00440000001</v>
      </c>
      <c r="G85" s="316">
        <v>2.5</v>
      </c>
      <c r="H85" s="274">
        <f>+F85/G85</f>
        <v>42824.801760000002</v>
      </c>
    </row>
    <row r="86" spans="2:8" x14ac:dyDescent="0.25">
      <c r="B86" s="288"/>
      <c r="C86" s="288"/>
      <c r="D86" s="317"/>
      <c r="E86" s="288"/>
      <c r="F86" s="317"/>
      <c r="G86" s="288"/>
      <c r="H86" s="327"/>
    </row>
    <row r="87" spans="2:8" x14ac:dyDescent="0.25">
      <c r="B87" s="305"/>
      <c r="C87" s="266"/>
      <c r="D87" s="266"/>
      <c r="E87" s="266"/>
      <c r="F87" s="296"/>
      <c r="G87" s="306" t="s">
        <v>25</v>
      </c>
      <c r="H87" s="328">
        <f>+SUM(H84:H86)</f>
        <v>111344.484576</v>
      </c>
    </row>
    <row r="88" spans="2:8" x14ac:dyDescent="0.25">
      <c r="B88" s="217"/>
      <c r="C88" s="26"/>
      <c r="D88" s="26"/>
      <c r="E88" s="26"/>
      <c r="F88" s="215"/>
      <c r="G88" s="256"/>
      <c r="H88" s="218"/>
    </row>
    <row r="89" spans="2:8" ht="15.6" x14ac:dyDescent="0.25">
      <c r="B89" s="258"/>
      <c r="C89" s="479" t="s">
        <v>645</v>
      </c>
      <c r="D89" s="477"/>
      <c r="E89" s="477"/>
      <c r="F89" s="477"/>
      <c r="G89" s="472" t="s">
        <v>41</v>
      </c>
      <c r="H89" s="254">
        <f>+H70+H76+H81+H87</f>
        <v>122478.9330336</v>
      </c>
    </row>
    <row r="90" spans="2:8" ht="15.6" x14ac:dyDescent="0.25">
      <c r="B90" s="258"/>
      <c r="C90" s="479"/>
      <c r="D90" s="477"/>
      <c r="E90" s="477"/>
      <c r="F90" s="477"/>
      <c r="G90" s="255"/>
      <c r="H90" s="219"/>
    </row>
    <row r="91" spans="2:8" ht="15.6" x14ac:dyDescent="0.25">
      <c r="B91" s="258"/>
      <c r="C91" s="479"/>
      <c r="D91" s="477"/>
      <c r="E91" s="477"/>
      <c r="F91" s="477"/>
      <c r="G91" s="255"/>
      <c r="H91" s="219"/>
    </row>
    <row r="92" spans="2:8" ht="15.6" x14ac:dyDescent="0.25">
      <c r="B92" s="258"/>
      <c r="C92" s="475" t="s">
        <v>643</v>
      </c>
      <c r="D92" s="474"/>
      <c r="E92" s="477"/>
      <c r="F92" s="477"/>
      <c r="G92" s="255"/>
      <c r="H92" s="219"/>
    </row>
    <row r="93" spans="2:8" ht="15" x14ac:dyDescent="0.25">
      <c r="B93" s="262"/>
      <c r="C93" s="200" t="s">
        <v>590</v>
      </c>
      <c r="D93" s="474"/>
      <c r="E93" s="478"/>
      <c r="F93" s="478"/>
      <c r="G93" s="255"/>
      <c r="H93" s="219"/>
    </row>
    <row r="94" spans="2:8" ht="15" x14ac:dyDescent="0.25">
      <c r="B94" s="264"/>
      <c r="C94" s="261" t="s">
        <v>591</v>
      </c>
      <c r="D94" s="474"/>
      <c r="E94" s="478"/>
      <c r="F94" s="478"/>
      <c r="G94" s="255"/>
      <c r="H94" s="219"/>
    </row>
    <row r="95" spans="2:8" ht="15" x14ac:dyDescent="0.25">
      <c r="B95" s="265"/>
      <c r="C95" s="261" t="s">
        <v>644</v>
      </c>
      <c r="D95" s="474"/>
      <c r="E95" s="478"/>
      <c r="F95" s="478"/>
      <c r="G95" s="255"/>
      <c r="H95" s="219"/>
    </row>
    <row r="96" spans="2:8" x14ac:dyDescent="0.25">
      <c r="B96" s="267"/>
      <c r="C96" s="268"/>
      <c r="D96" s="259"/>
      <c r="E96" s="259"/>
      <c r="F96" s="259"/>
      <c r="G96" s="259"/>
      <c r="H96" s="260"/>
    </row>
    <row r="109" spans="2:8" ht="15.6" x14ac:dyDescent="0.25">
      <c r="B109" s="566" t="s">
        <v>320</v>
      </c>
      <c r="C109" s="567"/>
      <c r="D109" s="567"/>
      <c r="E109" s="567"/>
      <c r="F109" s="567"/>
      <c r="G109" s="567"/>
      <c r="H109" s="568"/>
    </row>
    <row r="110" spans="2:8" x14ac:dyDescent="0.25">
      <c r="B110" s="569" t="str">
        <f>+PRESUPUESTO!B1</f>
        <v>MANTENIMIENTO Y ADECUACIÓN DE INSTITUCIONES EDUCATIVAS OFICIALES, DEL MUNICIPIO DE LA APARTADA CORDOBA.</v>
      </c>
      <c r="C110" s="570"/>
      <c r="D110" s="570"/>
      <c r="E110" s="570"/>
      <c r="F110" s="570"/>
      <c r="G110" s="570"/>
      <c r="H110" s="571"/>
    </row>
    <row r="111" spans="2:8" x14ac:dyDescent="0.25">
      <c r="B111" s="572"/>
      <c r="C111" s="573"/>
      <c r="D111" s="573"/>
      <c r="E111" s="573"/>
      <c r="F111" s="573"/>
      <c r="G111" s="573"/>
      <c r="H111" s="574"/>
    </row>
    <row r="112" spans="2:8" x14ac:dyDescent="0.25">
      <c r="B112" s="575"/>
      <c r="C112" s="576"/>
      <c r="D112" s="576"/>
      <c r="E112" s="576"/>
      <c r="F112" s="576"/>
      <c r="G112" s="576"/>
      <c r="H112" s="577"/>
    </row>
    <row r="113" spans="2:8" x14ac:dyDescent="0.25">
      <c r="B113" s="578" t="str">
        <f>+PRESUPUESTO!C7</f>
        <v xml:space="preserve">DESMONTE DE PUERTAS DE ACCESO EN MAL ESTADO DE CUARTO DE ALMACEN, 0.70 MTS X 2.40 MTS, INLUYE DESMONTE DE MARCOS. </v>
      </c>
      <c r="C113" s="579"/>
      <c r="D113" s="579"/>
      <c r="E113" s="579"/>
      <c r="F113" s="580"/>
      <c r="G113" s="587" t="s">
        <v>583</v>
      </c>
      <c r="H113" s="588"/>
    </row>
    <row r="114" spans="2:8" x14ac:dyDescent="0.25">
      <c r="B114" s="581"/>
      <c r="C114" s="582"/>
      <c r="D114" s="582"/>
      <c r="E114" s="582"/>
      <c r="F114" s="583"/>
      <c r="G114" s="589"/>
      <c r="H114" s="590"/>
    </row>
    <row r="115" spans="2:8" x14ac:dyDescent="0.25">
      <c r="B115" s="584"/>
      <c r="C115" s="585"/>
      <c r="D115" s="585"/>
      <c r="E115" s="585"/>
      <c r="F115" s="586"/>
      <c r="G115" s="591"/>
      <c r="H115" s="592"/>
    </row>
    <row r="116" spans="2:8" x14ac:dyDescent="0.25">
      <c r="B116" s="518" t="s">
        <v>0</v>
      </c>
      <c r="C116" s="515">
        <f>+PRESUPUESTO!B7</f>
        <v>1.3</v>
      </c>
      <c r="D116" s="516"/>
      <c r="E116" s="516"/>
      <c r="F116" s="516"/>
      <c r="G116" s="516"/>
      <c r="H116" s="517"/>
    </row>
    <row r="117" spans="2:8" x14ac:dyDescent="0.25">
      <c r="B117" s="214" t="s">
        <v>19</v>
      </c>
      <c r="C117" s="266"/>
      <c r="D117" s="266"/>
      <c r="E117" s="266"/>
      <c r="F117" s="296"/>
      <c r="G117" s="266"/>
      <c r="H117" s="216"/>
    </row>
    <row r="118" spans="2:8" x14ac:dyDescent="0.25">
      <c r="B118" s="560" t="s">
        <v>20</v>
      </c>
      <c r="C118" s="561"/>
      <c r="D118" s="297" t="s">
        <v>21</v>
      </c>
      <c r="E118" s="297" t="s">
        <v>22</v>
      </c>
      <c r="F118" s="298" t="s">
        <v>23</v>
      </c>
      <c r="G118" s="299" t="s">
        <v>24</v>
      </c>
      <c r="H118" s="300" t="s">
        <v>482</v>
      </c>
    </row>
    <row r="119" spans="2:8" x14ac:dyDescent="0.25">
      <c r="B119" s="562" t="s">
        <v>8</v>
      </c>
      <c r="C119" s="563"/>
      <c r="D119" s="301"/>
      <c r="E119" s="302"/>
      <c r="F119" s="303">
        <v>0.1</v>
      </c>
      <c r="G119" s="287">
        <f>+H139</f>
        <v>139180.60571999999</v>
      </c>
      <c r="H119" s="304">
        <f>+F119*G119</f>
        <v>13918.060572</v>
      </c>
    </row>
    <row r="120" spans="2:8" x14ac:dyDescent="0.25">
      <c r="B120" s="600"/>
      <c r="C120" s="601"/>
      <c r="D120" s="301"/>
      <c r="E120" s="302"/>
      <c r="F120" s="289"/>
      <c r="G120" s="287"/>
      <c r="H120" s="304"/>
    </row>
    <row r="121" spans="2:8" x14ac:dyDescent="0.25">
      <c r="B121" s="562"/>
      <c r="C121" s="563"/>
      <c r="D121" s="301"/>
      <c r="E121" s="302"/>
      <c r="F121" s="289"/>
      <c r="G121" s="287"/>
      <c r="H121" s="304"/>
    </row>
    <row r="122" spans="2:8" x14ac:dyDescent="0.25">
      <c r="B122" s="305"/>
      <c r="C122" s="266"/>
      <c r="D122" s="266"/>
      <c r="E122" s="266"/>
      <c r="F122" s="296"/>
      <c r="G122" s="306" t="s">
        <v>25</v>
      </c>
      <c r="H122" s="307">
        <f>SUM(H119:H121)</f>
        <v>13918.060572</v>
      </c>
    </row>
    <row r="123" spans="2:8" x14ac:dyDescent="0.25">
      <c r="B123" s="214" t="s">
        <v>26</v>
      </c>
      <c r="C123" s="266"/>
      <c r="D123" s="266"/>
      <c r="E123" s="266"/>
      <c r="F123" s="308"/>
      <c r="G123" s="308"/>
      <c r="H123" s="309"/>
    </row>
    <row r="124" spans="2:8" x14ac:dyDescent="0.25">
      <c r="B124" s="560" t="s">
        <v>20</v>
      </c>
      <c r="C124" s="561"/>
      <c r="D124" s="297" t="s">
        <v>27</v>
      </c>
      <c r="E124" s="297" t="s">
        <v>29</v>
      </c>
      <c r="F124" s="298" t="s">
        <v>598</v>
      </c>
      <c r="G124" s="299" t="s">
        <v>597</v>
      </c>
      <c r="H124" s="310" t="s">
        <v>482</v>
      </c>
    </row>
    <row r="125" spans="2:8" x14ac:dyDescent="0.25">
      <c r="B125" s="554"/>
      <c r="C125" s="555"/>
      <c r="D125" s="285"/>
      <c r="E125" s="311"/>
      <c r="F125" s="289"/>
      <c r="G125" s="274"/>
      <c r="H125" s="275"/>
    </row>
    <row r="126" spans="2:8" x14ac:dyDescent="0.25">
      <c r="B126" s="596"/>
      <c r="C126" s="597"/>
      <c r="D126" s="285"/>
      <c r="E126" s="272"/>
      <c r="F126" s="289"/>
      <c r="G126" s="274"/>
      <c r="H126" s="275"/>
    </row>
    <row r="127" spans="2:8" x14ac:dyDescent="0.25">
      <c r="B127" s="596"/>
      <c r="C127" s="597"/>
      <c r="D127" s="285"/>
      <c r="E127" s="286"/>
      <c r="F127" s="303"/>
      <c r="G127" s="287"/>
      <c r="H127" s="275"/>
    </row>
    <row r="128" spans="2:8" x14ac:dyDescent="0.25">
      <c r="B128" s="305"/>
      <c r="C128" s="266"/>
      <c r="D128" s="266"/>
      <c r="E128" s="266"/>
      <c r="F128" s="308"/>
      <c r="G128" s="306" t="s">
        <v>25</v>
      </c>
      <c r="H128" s="312">
        <f>SUM(H125:H127)</f>
        <v>0</v>
      </c>
    </row>
    <row r="129" spans="2:8" x14ac:dyDescent="0.25">
      <c r="B129" s="214" t="s">
        <v>30</v>
      </c>
      <c r="C129" s="266"/>
      <c r="D129" s="266"/>
      <c r="E129" s="266"/>
      <c r="F129" s="308"/>
      <c r="G129" s="308"/>
      <c r="H129" s="304"/>
    </row>
    <row r="130" spans="2:8" x14ac:dyDescent="0.25">
      <c r="B130" s="560" t="s">
        <v>20</v>
      </c>
      <c r="C130" s="561"/>
      <c r="D130" s="297" t="s">
        <v>21</v>
      </c>
      <c r="E130" s="297" t="s">
        <v>127</v>
      </c>
      <c r="F130" s="298" t="s">
        <v>32</v>
      </c>
      <c r="G130" s="297" t="s">
        <v>24</v>
      </c>
      <c r="H130" s="313" t="s">
        <v>481</v>
      </c>
    </row>
    <row r="131" spans="2:8" x14ac:dyDescent="0.25">
      <c r="B131" s="598"/>
      <c r="C131" s="599"/>
      <c r="D131" s="314"/>
      <c r="E131" s="315"/>
      <c r="F131" s="274"/>
      <c r="G131" s="274">
        <f>+E131*F131</f>
        <v>0</v>
      </c>
      <c r="H131" s="304">
        <f>+G131</f>
        <v>0</v>
      </c>
    </row>
    <row r="132" spans="2:8" x14ac:dyDescent="0.25">
      <c r="B132" s="598"/>
      <c r="C132" s="599"/>
      <c r="D132" s="314"/>
      <c r="E132" s="316"/>
      <c r="F132" s="317"/>
      <c r="G132" s="316"/>
      <c r="H132" s="318"/>
    </row>
    <row r="133" spans="2:8" x14ac:dyDescent="0.25">
      <c r="B133" s="305"/>
      <c r="C133" s="266"/>
      <c r="D133" s="266"/>
      <c r="E133" s="266"/>
      <c r="F133" s="296"/>
      <c r="G133" s="306" t="s">
        <v>25</v>
      </c>
      <c r="H133" s="319">
        <f>+H131</f>
        <v>0</v>
      </c>
    </row>
    <row r="134" spans="2:8" x14ac:dyDescent="0.25">
      <c r="B134" s="214" t="s">
        <v>34</v>
      </c>
      <c r="C134" s="266"/>
      <c r="D134" s="266"/>
      <c r="E134" s="266"/>
      <c r="F134" s="296"/>
      <c r="G134" s="308"/>
      <c r="H134" s="320"/>
    </row>
    <row r="135" spans="2:8" x14ac:dyDescent="0.25">
      <c r="B135" s="321" t="s">
        <v>35</v>
      </c>
      <c r="C135" s="321" t="s">
        <v>29</v>
      </c>
      <c r="D135" s="321" t="s">
        <v>36</v>
      </c>
      <c r="E135" s="321" t="s">
        <v>37</v>
      </c>
      <c r="F135" s="322" t="s">
        <v>38</v>
      </c>
      <c r="G135" s="323" t="s">
        <v>23</v>
      </c>
      <c r="H135" s="324" t="s">
        <v>24</v>
      </c>
    </row>
    <row r="136" spans="2:8" x14ac:dyDescent="0.25">
      <c r="B136" s="288" t="s">
        <v>39</v>
      </c>
      <c r="C136" s="316">
        <v>1</v>
      </c>
      <c r="D136" s="325">
        <v>93381.6</v>
      </c>
      <c r="E136" s="326">
        <v>1.8344</v>
      </c>
      <c r="F136" s="327">
        <f>+D136*C136*E136</f>
        <v>171299.20704000001</v>
      </c>
      <c r="G136" s="316">
        <v>2</v>
      </c>
      <c r="H136" s="274">
        <f>F136/G136</f>
        <v>85649.603520000004</v>
      </c>
    </row>
    <row r="137" spans="2:8" x14ac:dyDescent="0.25">
      <c r="B137" s="288" t="s">
        <v>496</v>
      </c>
      <c r="C137" s="316">
        <v>1</v>
      </c>
      <c r="D137" s="325">
        <v>58363.5</v>
      </c>
      <c r="E137" s="326">
        <v>1.8344</v>
      </c>
      <c r="F137" s="327">
        <f>+D137*C137*E137</f>
        <v>107062.00440000001</v>
      </c>
      <c r="G137" s="316">
        <v>2</v>
      </c>
      <c r="H137" s="274">
        <f>+F137/G137</f>
        <v>53531.002200000003</v>
      </c>
    </row>
    <row r="138" spans="2:8" x14ac:dyDescent="0.25">
      <c r="B138" s="288"/>
      <c r="C138" s="288"/>
      <c r="D138" s="317"/>
      <c r="E138" s="288"/>
      <c r="F138" s="317"/>
      <c r="G138" s="288"/>
      <c r="H138" s="327"/>
    </row>
    <row r="139" spans="2:8" x14ac:dyDescent="0.25">
      <c r="B139" s="305"/>
      <c r="C139" s="266"/>
      <c r="D139" s="266"/>
      <c r="E139" s="266"/>
      <c r="F139" s="296"/>
      <c r="G139" s="306" t="s">
        <v>25</v>
      </c>
      <c r="H139" s="328">
        <f>+SUM(H136:H138)</f>
        <v>139180.60571999999</v>
      </c>
    </row>
    <row r="140" spans="2:8" x14ac:dyDescent="0.25">
      <c r="B140" s="217"/>
      <c r="C140" s="26"/>
      <c r="D140" s="26"/>
      <c r="E140" s="26"/>
      <c r="F140" s="215"/>
      <c r="G140" s="256"/>
      <c r="H140" s="218"/>
    </row>
    <row r="141" spans="2:8" ht="15.6" x14ac:dyDescent="0.25">
      <c r="B141" s="258"/>
      <c r="C141" s="479" t="s">
        <v>645</v>
      </c>
      <c r="D141" s="477"/>
      <c r="E141" s="477"/>
      <c r="F141" s="477"/>
      <c r="G141" s="469" t="s">
        <v>41</v>
      </c>
      <c r="H141" s="254">
        <f>+H122+H128+H133+H139</f>
        <v>153098.66629199998</v>
      </c>
    </row>
    <row r="142" spans="2:8" ht="15.6" x14ac:dyDescent="0.25">
      <c r="B142" s="258"/>
      <c r="C142" s="479"/>
      <c r="D142" s="477"/>
      <c r="E142" s="477"/>
      <c r="F142" s="477"/>
      <c r="G142" s="255"/>
      <c r="H142" s="219"/>
    </row>
    <row r="143" spans="2:8" ht="15.6" x14ac:dyDescent="0.25">
      <c r="B143" s="258"/>
      <c r="C143" s="479"/>
      <c r="D143" s="477"/>
      <c r="E143" s="477"/>
      <c r="F143" s="477"/>
      <c r="G143" s="255"/>
      <c r="H143" s="219"/>
    </row>
    <row r="144" spans="2:8" ht="15.6" x14ac:dyDescent="0.25">
      <c r="B144" s="258"/>
      <c r="C144" s="475" t="s">
        <v>643</v>
      </c>
      <c r="D144" s="474"/>
      <c r="E144" s="477"/>
      <c r="F144" s="477"/>
      <c r="G144" s="255"/>
      <c r="H144" s="219"/>
    </row>
    <row r="145" spans="2:8" ht="15" x14ac:dyDescent="0.25">
      <c r="B145" s="262"/>
      <c r="C145" s="200" t="s">
        <v>590</v>
      </c>
      <c r="D145" s="474"/>
      <c r="E145" s="478"/>
      <c r="F145" s="478"/>
      <c r="G145" s="255"/>
      <c r="H145" s="219"/>
    </row>
    <row r="146" spans="2:8" ht="15" x14ac:dyDescent="0.25">
      <c r="B146" s="264"/>
      <c r="C146" s="261" t="s">
        <v>591</v>
      </c>
      <c r="D146" s="474"/>
      <c r="E146" s="478"/>
      <c r="F146" s="478"/>
      <c r="G146" s="255"/>
      <c r="H146" s="219"/>
    </row>
    <row r="147" spans="2:8" ht="15" x14ac:dyDescent="0.25">
      <c r="B147" s="265"/>
      <c r="C147" s="261" t="s">
        <v>644</v>
      </c>
      <c r="D147" s="474"/>
      <c r="E147" s="478"/>
      <c r="F147" s="478"/>
      <c r="G147" s="255"/>
      <c r="H147" s="219"/>
    </row>
    <row r="148" spans="2:8" x14ac:dyDescent="0.25">
      <c r="B148" s="267"/>
      <c r="C148" s="268"/>
      <c r="D148" s="259"/>
      <c r="E148" s="259"/>
      <c r="F148" s="259"/>
      <c r="G148" s="259"/>
      <c r="H148" s="260"/>
    </row>
    <row r="158" spans="2:8" ht="15.6" x14ac:dyDescent="0.25">
      <c r="B158" s="566" t="s">
        <v>320</v>
      </c>
      <c r="C158" s="567"/>
      <c r="D158" s="567"/>
      <c r="E158" s="567"/>
      <c r="F158" s="567"/>
      <c r="G158" s="567"/>
      <c r="H158" s="568"/>
    </row>
    <row r="159" spans="2:8" x14ac:dyDescent="0.25">
      <c r="B159" s="569" t="str">
        <f>+PRESUPUESTO!B1</f>
        <v>MANTENIMIENTO Y ADECUACIÓN DE INSTITUCIONES EDUCATIVAS OFICIALES, DEL MUNICIPIO DE LA APARTADA CORDOBA.</v>
      </c>
      <c r="C159" s="570"/>
      <c r="D159" s="570"/>
      <c r="E159" s="570"/>
      <c r="F159" s="570"/>
      <c r="G159" s="570"/>
      <c r="H159" s="571"/>
    </row>
    <row r="160" spans="2:8" x14ac:dyDescent="0.25">
      <c r="B160" s="572"/>
      <c r="C160" s="573"/>
      <c r="D160" s="573"/>
      <c r="E160" s="573"/>
      <c r="F160" s="573"/>
      <c r="G160" s="573"/>
      <c r="H160" s="574"/>
    </row>
    <row r="161" spans="2:8" x14ac:dyDescent="0.25">
      <c r="B161" s="575"/>
      <c r="C161" s="576"/>
      <c r="D161" s="576"/>
      <c r="E161" s="576"/>
      <c r="F161" s="576"/>
      <c r="G161" s="576"/>
      <c r="H161" s="577"/>
    </row>
    <row r="162" spans="2:8" x14ac:dyDescent="0.25">
      <c r="B162" s="578" t="str">
        <f>+PRESUPUESTO!C8</f>
        <v xml:space="preserve">S/I DE PUERTA GALVANIZADA CALIBRE 20, EN MARCO DE TUBOS DE 1.0 MTS X 2.40 MTS, PARA ACCESO UNIDAD SANITARIA Y CUARTO DE ALMACEN </v>
      </c>
      <c r="C162" s="579"/>
      <c r="D162" s="579"/>
      <c r="E162" s="579"/>
      <c r="F162" s="580"/>
      <c r="G162" s="587" t="s">
        <v>595</v>
      </c>
      <c r="H162" s="588"/>
    </row>
    <row r="163" spans="2:8" x14ac:dyDescent="0.25">
      <c r="B163" s="581"/>
      <c r="C163" s="582"/>
      <c r="D163" s="582"/>
      <c r="E163" s="582"/>
      <c r="F163" s="583"/>
      <c r="G163" s="589"/>
      <c r="H163" s="590"/>
    </row>
    <row r="164" spans="2:8" x14ac:dyDescent="0.25">
      <c r="B164" s="584"/>
      <c r="C164" s="585"/>
      <c r="D164" s="585"/>
      <c r="E164" s="585"/>
      <c r="F164" s="586"/>
      <c r="G164" s="591"/>
      <c r="H164" s="592"/>
    </row>
    <row r="165" spans="2:8" x14ac:dyDescent="0.25">
      <c r="B165" s="518" t="s">
        <v>0</v>
      </c>
      <c r="C165" s="515">
        <f>+PRESUPUESTO!B8</f>
        <v>1.4</v>
      </c>
      <c r="D165" s="516"/>
      <c r="E165" s="516"/>
      <c r="F165" s="516"/>
      <c r="G165" s="516"/>
      <c r="H165" s="517"/>
    </row>
    <row r="166" spans="2:8" x14ac:dyDescent="0.25">
      <c r="B166" s="214" t="s">
        <v>19</v>
      </c>
      <c r="C166" s="266"/>
      <c r="D166" s="266"/>
      <c r="E166" s="266"/>
      <c r="F166" s="296"/>
      <c r="G166" s="266"/>
      <c r="H166" s="216"/>
    </row>
    <row r="167" spans="2:8" x14ac:dyDescent="0.25">
      <c r="B167" s="560" t="s">
        <v>20</v>
      </c>
      <c r="C167" s="561"/>
      <c r="D167" s="297" t="s">
        <v>21</v>
      </c>
      <c r="E167" s="297" t="s">
        <v>22</v>
      </c>
      <c r="F167" s="298" t="s">
        <v>23</v>
      </c>
      <c r="G167" s="299" t="s">
        <v>24</v>
      </c>
      <c r="H167" s="300" t="s">
        <v>482</v>
      </c>
    </row>
    <row r="168" spans="2:8" x14ac:dyDescent="0.25">
      <c r="B168" s="562" t="s">
        <v>8</v>
      </c>
      <c r="C168" s="563"/>
      <c r="D168" s="301"/>
      <c r="E168" s="302"/>
      <c r="F168" s="303">
        <v>0.1</v>
      </c>
      <c r="G168" s="287">
        <f>+H189</f>
        <v>77084.64316800001</v>
      </c>
      <c r="H168" s="304">
        <f>+F168*G168</f>
        <v>7708.4643168000011</v>
      </c>
    </row>
    <row r="169" spans="2:8" x14ac:dyDescent="0.25">
      <c r="B169" s="600"/>
      <c r="C169" s="601"/>
      <c r="D169" s="301"/>
      <c r="E169" s="302"/>
      <c r="F169" s="289"/>
      <c r="G169" s="287"/>
      <c r="H169" s="304"/>
    </row>
    <row r="170" spans="2:8" x14ac:dyDescent="0.25">
      <c r="B170" s="562"/>
      <c r="C170" s="563"/>
      <c r="D170" s="301"/>
      <c r="E170" s="302"/>
      <c r="F170" s="289"/>
      <c r="G170" s="287"/>
      <c r="H170" s="304"/>
    </row>
    <row r="171" spans="2:8" x14ac:dyDescent="0.25">
      <c r="B171" s="305"/>
      <c r="C171" s="266"/>
      <c r="D171" s="266"/>
      <c r="E171" s="266"/>
      <c r="F171" s="296"/>
      <c r="G171" s="306" t="s">
        <v>25</v>
      </c>
      <c r="H171" s="307">
        <f>SUM(H168:H170)</f>
        <v>7708.4643168000011</v>
      </c>
    </row>
    <row r="172" spans="2:8" x14ac:dyDescent="0.25">
      <c r="B172" s="214" t="s">
        <v>26</v>
      </c>
      <c r="C172" s="266"/>
      <c r="D172" s="266"/>
      <c r="E172" s="266"/>
      <c r="F172" s="308"/>
      <c r="G172" s="308"/>
      <c r="H172" s="309"/>
    </row>
    <row r="173" spans="2:8" x14ac:dyDescent="0.25">
      <c r="B173" s="560" t="s">
        <v>20</v>
      </c>
      <c r="C173" s="561"/>
      <c r="D173" s="297" t="s">
        <v>27</v>
      </c>
      <c r="E173" s="297" t="s">
        <v>29</v>
      </c>
      <c r="F173" s="298" t="s">
        <v>598</v>
      </c>
      <c r="G173" s="299" t="s">
        <v>597</v>
      </c>
      <c r="H173" s="310" t="s">
        <v>482</v>
      </c>
    </row>
    <row r="174" spans="2:8" ht="24.75" customHeight="1" x14ac:dyDescent="0.25">
      <c r="B174" s="626" t="s">
        <v>596</v>
      </c>
      <c r="C174" s="627"/>
      <c r="D174" s="285" t="s">
        <v>72</v>
      </c>
      <c r="E174" s="413">
        <v>1</v>
      </c>
      <c r="F174" s="416">
        <v>1350000</v>
      </c>
      <c r="G174" s="417">
        <f>+E174*F174</f>
        <v>1350000</v>
      </c>
      <c r="H174" s="275">
        <f>+G174</f>
        <v>1350000</v>
      </c>
    </row>
    <row r="175" spans="2:8" x14ac:dyDescent="0.25">
      <c r="B175" s="624"/>
      <c r="C175" s="625"/>
      <c r="D175" s="285"/>
      <c r="E175" s="414"/>
      <c r="F175" s="289"/>
      <c r="G175" s="274"/>
      <c r="H175" s="275"/>
    </row>
    <row r="176" spans="2:8" x14ac:dyDescent="0.25">
      <c r="B176" s="624"/>
      <c r="C176" s="625"/>
      <c r="D176" s="285"/>
      <c r="E176" s="414"/>
      <c r="F176" s="289"/>
      <c r="G176" s="274"/>
      <c r="H176" s="275"/>
    </row>
    <row r="177" spans="2:8" x14ac:dyDescent="0.25">
      <c r="B177" s="596"/>
      <c r="C177" s="597"/>
      <c r="D177" s="285"/>
      <c r="E177" s="415"/>
      <c r="F177" s="303"/>
      <c r="G177" s="287"/>
      <c r="H177" s="275"/>
    </row>
    <row r="178" spans="2:8" x14ac:dyDescent="0.25">
      <c r="B178" s="305"/>
      <c r="C178" s="266"/>
      <c r="D178" s="266"/>
      <c r="E178" s="266"/>
      <c r="F178" s="308"/>
      <c r="G178" s="306" t="s">
        <v>25</v>
      </c>
      <c r="H178" s="312">
        <f>SUM(H174:H177)</f>
        <v>1350000</v>
      </c>
    </row>
    <row r="179" spans="2:8" x14ac:dyDescent="0.25">
      <c r="B179" s="214" t="s">
        <v>30</v>
      </c>
      <c r="C179" s="266"/>
      <c r="D179" s="266"/>
      <c r="E179" s="266"/>
      <c r="F179" s="308"/>
      <c r="G179" s="308"/>
      <c r="H179" s="304"/>
    </row>
    <row r="180" spans="2:8" x14ac:dyDescent="0.25">
      <c r="B180" s="560" t="s">
        <v>20</v>
      </c>
      <c r="C180" s="561"/>
      <c r="D180" s="297" t="s">
        <v>21</v>
      </c>
      <c r="E180" s="297" t="s">
        <v>127</v>
      </c>
      <c r="F180" s="298" t="s">
        <v>32</v>
      </c>
      <c r="G180" s="297" t="s">
        <v>24</v>
      </c>
      <c r="H180" s="313" t="s">
        <v>481</v>
      </c>
    </row>
    <row r="181" spans="2:8" x14ac:dyDescent="0.25">
      <c r="B181" s="598" t="s">
        <v>599</v>
      </c>
      <c r="C181" s="599"/>
      <c r="D181" s="314" t="s">
        <v>600</v>
      </c>
      <c r="E181" s="315">
        <v>3</v>
      </c>
      <c r="F181" s="274">
        <v>7070</v>
      </c>
      <c r="G181" s="274">
        <f>+E181*F181</f>
        <v>21210</v>
      </c>
      <c r="H181" s="304">
        <f>+G181</f>
        <v>21210</v>
      </c>
    </row>
    <row r="182" spans="2:8" x14ac:dyDescent="0.25">
      <c r="B182" s="598"/>
      <c r="C182" s="599"/>
      <c r="D182" s="314"/>
      <c r="E182" s="316"/>
      <c r="F182" s="317"/>
      <c r="G182" s="316"/>
      <c r="H182" s="318"/>
    </row>
    <row r="183" spans="2:8" x14ac:dyDescent="0.25">
      <c r="B183" s="305"/>
      <c r="C183" s="266"/>
      <c r="D183" s="266"/>
      <c r="E183" s="266"/>
      <c r="F183" s="296"/>
      <c r="G183" s="306" t="s">
        <v>25</v>
      </c>
      <c r="H183" s="319">
        <f>+H181</f>
        <v>21210</v>
      </c>
    </row>
    <row r="184" spans="2:8" x14ac:dyDescent="0.25">
      <c r="B184" s="214" t="s">
        <v>34</v>
      </c>
      <c r="C184" s="266"/>
      <c r="D184" s="266"/>
      <c r="E184" s="266"/>
      <c r="F184" s="296"/>
      <c r="G184" s="308"/>
      <c r="H184" s="320"/>
    </row>
    <row r="185" spans="2:8" x14ac:dyDescent="0.25">
      <c r="B185" s="321" t="s">
        <v>35</v>
      </c>
      <c r="C185" s="321" t="s">
        <v>29</v>
      </c>
      <c r="D185" s="321" t="s">
        <v>36</v>
      </c>
      <c r="E185" s="321" t="s">
        <v>37</v>
      </c>
      <c r="F185" s="322" t="s">
        <v>38</v>
      </c>
      <c r="G185" s="323" t="s">
        <v>23</v>
      </c>
      <c r="H185" s="324" t="s">
        <v>24</v>
      </c>
    </row>
    <row r="186" spans="2:8" x14ac:dyDescent="0.25">
      <c r="B186" s="288" t="s">
        <v>39</v>
      </c>
      <c r="C186" s="316">
        <v>1</v>
      </c>
      <c r="D186" s="325">
        <v>93381.6</v>
      </c>
      <c r="E186" s="326">
        <v>1.8344</v>
      </c>
      <c r="F186" s="327">
        <f>+D186*C186*E186</f>
        <v>171299.20704000001</v>
      </c>
      <c r="G186" s="316">
        <v>5</v>
      </c>
      <c r="H186" s="274">
        <f>F186/G186</f>
        <v>34259.841408</v>
      </c>
    </row>
    <row r="187" spans="2:8" x14ac:dyDescent="0.25">
      <c r="B187" s="288" t="s">
        <v>496</v>
      </c>
      <c r="C187" s="316">
        <v>2</v>
      </c>
      <c r="D187" s="325">
        <v>58363.5</v>
      </c>
      <c r="E187" s="326">
        <v>1.8344</v>
      </c>
      <c r="F187" s="327">
        <f>+D187*C187*E187</f>
        <v>214124.00880000001</v>
      </c>
      <c r="G187" s="316">
        <v>5</v>
      </c>
      <c r="H187" s="274">
        <f>+F187/G187</f>
        <v>42824.801760000002</v>
      </c>
    </row>
    <row r="188" spans="2:8" x14ac:dyDescent="0.25">
      <c r="B188" s="288"/>
      <c r="C188" s="288"/>
      <c r="D188" s="317"/>
      <c r="E188" s="288"/>
      <c r="F188" s="317"/>
      <c r="G188" s="288"/>
      <c r="H188" s="327"/>
    </row>
    <row r="189" spans="2:8" x14ac:dyDescent="0.25">
      <c r="B189" s="305"/>
      <c r="C189" s="266"/>
      <c r="D189" s="266"/>
      <c r="E189" s="266"/>
      <c r="F189" s="296"/>
      <c r="G189" s="306" t="s">
        <v>25</v>
      </c>
      <c r="H189" s="328">
        <f>+SUM(H186:H188)</f>
        <v>77084.64316800001</v>
      </c>
    </row>
    <row r="190" spans="2:8" x14ac:dyDescent="0.25">
      <c r="B190" s="217"/>
      <c r="C190" s="26"/>
      <c r="D190" s="26"/>
      <c r="E190" s="26"/>
      <c r="F190" s="215"/>
      <c r="G190" s="256"/>
      <c r="H190" s="218"/>
    </row>
    <row r="191" spans="2:8" ht="15.6" x14ac:dyDescent="0.25">
      <c r="B191" s="258"/>
      <c r="C191" s="479" t="s">
        <v>645</v>
      </c>
      <c r="D191" s="477"/>
      <c r="E191" s="477"/>
      <c r="F191" s="477"/>
      <c r="G191" s="469" t="s">
        <v>41</v>
      </c>
      <c r="H191" s="254">
        <f>+H171+H178+H183+H189</f>
        <v>1456003.1074848</v>
      </c>
    </row>
    <row r="192" spans="2:8" ht="15.6" x14ac:dyDescent="0.25">
      <c r="B192" s="258"/>
      <c r="C192" s="479"/>
      <c r="D192" s="477"/>
      <c r="E192" s="477"/>
      <c r="F192" s="477"/>
      <c r="G192" s="255"/>
      <c r="H192" s="219"/>
    </row>
    <row r="193" spans="2:8" ht="15.6" x14ac:dyDescent="0.25">
      <c r="B193" s="258"/>
      <c r="C193" s="479"/>
      <c r="D193" s="477"/>
      <c r="E193" s="477"/>
      <c r="F193" s="477"/>
      <c r="G193" s="255"/>
      <c r="H193" s="219"/>
    </row>
    <row r="194" spans="2:8" ht="15.6" x14ac:dyDescent="0.25">
      <c r="B194" s="258"/>
      <c r="C194" s="475" t="s">
        <v>643</v>
      </c>
      <c r="D194" s="474"/>
      <c r="E194" s="477"/>
      <c r="F194" s="477"/>
      <c r="G194" s="255"/>
      <c r="H194" s="219"/>
    </row>
    <row r="195" spans="2:8" ht="15" x14ac:dyDescent="0.25">
      <c r="B195" s="262"/>
      <c r="C195" s="200" t="s">
        <v>590</v>
      </c>
      <c r="D195" s="474"/>
      <c r="E195" s="478"/>
      <c r="F195" s="478"/>
      <c r="G195" s="255"/>
      <c r="H195" s="219"/>
    </row>
    <row r="196" spans="2:8" ht="15" x14ac:dyDescent="0.25">
      <c r="B196" s="264"/>
      <c r="C196" s="261" t="s">
        <v>591</v>
      </c>
      <c r="D196" s="474"/>
      <c r="E196" s="478"/>
      <c r="F196" s="478"/>
      <c r="G196" s="255"/>
      <c r="H196" s="219"/>
    </row>
    <row r="197" spans="2:8" ht="15" x14ac:dyDescent="0.25">
      <c r="B197" s="265"/>
      <c r="C197" s="261" t="s">
        <v>644</v>
      </c>
      <c r="D197" s="474"/>
      <c r="E197" s="478"/>
      <c r="F197" s="478"/>
      <c r="G197" s="255"/>
      <c r="H197" s="219"/>
    </row>
    <row r="198" spans="2:8" x14ac:dyDescent="0.25">
      <c r="B198" s="267"/>
      <c r="C198" s="268"/>
      <c r="D198" s="259"/>
      <c r="E198" s="259"/>
      <c r="F198" s="259"/>
      <c r="G198" s="259"/>
      <c r="H198" s="260"/>
    </row>
    <row r="211" spans="2:8" ht="15.6" x14ac:dyDescent="0.25">
      <c r="B211" s="566" t="s">
        <v>320</v>
      </c>
      <c r="C211" s="567"/>
      <c r="D211" s="567"/>
      <c r="E211" s="567"/>
      <c r="F211" s="567"/>
      <c r="G211" s="567"/>
      <c r="H211" s="568"/>
    </row>
    <row r="212" spans="2:8" ht="14.25" customHeight="1" x14ac:dyDescent="0.25">
      <c r="B212" s="569" t="str">
        <f>+PRESUPUESTO!B1</f>
        <v>MANTENIMIENTO Y ADECUACIÓN DE INSTITUCIONES EDUCATIVAS OFICIALES, DEL MUNICIPIO DE LA APARTADA CORDOBA.</v>
      </c>
      <c r="C212" s="570"/>
      <c r="D212" s="570"/>
      <c r="E212" s="570"/>
      <c r="F212" s="570"/>
      <c r="G212" s="570"/>
      <c r="H212" s="571"/>
    </row>
    <row r="213" spans="2:8" ht="14.25" customHeight="1" x14ac:dyDescent="0.25">
      <c r="B213" s="572"/>
      <c r="C213" s="573"/>
      <c r="D213" s="573"/>
      <c r="E213" s="573"/>
      <c r="F213" s="573"/>
      <c r="G213" s="573"/>
      <c r="H213" s="574"/>
    </row>
    <row r="214" spans="2:8" ht="14.25" customHeight="1" x14ac:dyDescent="0.25">
      <c r="B214" s="575"/>
      <c r="C214" s="576"/>
      <c r="D214" s="576"/>
      <c r="E214" s="576"/>
      <c r="F214" s="576"/>
      <c r="G214" s="576"/>
      <c r="H214" s="577"/>
    </row>
    <row r="215" spans="2:8" x14ac:dyDescent="0.25">
      <c r="B215" s="578" t="str">
        <f>+PRESUPUESTO!C9</f>
        <v xml:space="preserve">S/I DE PUERTA GALVANIZADA CALIBRE 20, EN MARCO DE TUBOS DE 0.70 MTS X 1.80 MTS  </v>
      </c>
      <c r="C215" s="579"/>
      <c r="D215" s="579"/>
      <c r="E215" s="579"/>
      <c r="F215" s="580"/>
      <c r="G215" s="587" t="s">
        <v>595</v>
      </c>
      <c r="H215" s="588"/>
    </row>
    <row r="216" spans="2:8" x14ac:dyDescent="0.25">
      <c r="B216" s="581"/>
      <c r="C216" s="582"/>
      <c r="D216" s="582"/>
      <c r="E216" s="582"/>
      <c r="F216" s="583"/>
      <c r="G216" s="589"/>
      <c r="H216" s="590"/>
    </row>
    <row r="217" spans="2:8" x14ac:dyDescent="0.25">
      <c r="B217" s="584"/>
      <c r="C217" s="585"/>
      <c r="D217" s="585"/>
      <c r="E217" s="585"/>
      <c r="F217" s="586"/>
      <c r="G217" s="591"/>
      <c r="H217" s="592"/>
    </row>
    <row r="218" spans="2:8" x14ac:dyDescent="0.25">
      <c r="B218" s="518" t="s">
        <v>0</v>
      </c>
      <c r="C218" s="515">
        <f>+PRESUPUESTO!B9</f>
        <v>1.5</v>
      </c>
      <c r="D218" s="516"/>
      <c r="E218" s="516"/>
      <c r="F218" s="516"/>
      <c r="G218" s="516"/>
      <c r="H218" s="517"/>
    </row>
    <row r="219" spans="2:8" x14ac:dyDescent="0.25">
      <c r="B219" s="214" t="s">
        <v>19</v>
      </c>
      <c r="C219" s="266"/>
      <c r="D219" s="266"/>
      <c r="E219" s="266"/>
      <c r="F219" s="296"/>
      <c r="G219" s="266"/>
      <c r="H219" s="216"/>
    </row>
    <row r="220" spans="2:8" x14ac:dyDescent="0.25">
      <c r="B220" s="560" t="s">
        <v>20</v>
      </c>
      <c r="C220" s="561"/>
      <c r="D220" s="297" t="s">
        <v>21</v>
      </c>
      <c r="E220" s="297" t="s">
        <v>22</v>
      </c>
      <c r="F220" s="298" t="s">
        <v>23</v>
      </c>
      <c r="G220" s="299" t="s">
        <v>24</v>
      </c>
      <c r="H220" s="300" t="s">
        <v>482</v>
      </c>
    </row>
    <row r="221" spans="2:8" x14ac:dyDescent="0.25">
      <c r="B221" s="562" t="s">
        <v>8</v>
      </c>
      <c r="C221" s="563"/>
      <c r="D221" s="301"/>
      <c r="E221" s="302"/>
      <c r="F221" s="303">
        <v>0.1</v>
      </c>
      <c r="G221" s="287">
        <f>+H242</f>
        <v>64237.202640000003</v>
      </c>
      <c r="H221" s="304">
        <f>+G221*F221</f>
        <v>6423.7202640000005</v>
      </c>
    </row>
    <row r="222" spans="2:8" x14ac:dyDescent="0.25">
      <c r="B222" s="600"/>
      <c r="C222" s="601"/>
      <c r="D222" s="301"/>
      <c r="E222" s="302"/>
      <c r="F222" s="289"/>
      <c r="G222" s="287"/>
      <c r="H222" s="304"/>
    </row>
    <row r="223" spans="2:8" x14ac:dyDescent="0.25">
      <c r="B223" s="562"/>
      <c r="C223" s="563"/>
      <c r="D223" s="301"/>
      <c r="E223" s="302"/>
      <c r="F223" s="289"/>
      <c r="G223" s="287"/>
      <c r="H223" s="304"/>
    </row>
    <row r="224" spans="2:8" x14ac:dyDescent="0.25">
      <c r="B224" s="305"/>
      <c r="C224" s="266"/>
      <c r="D224" s="266"/>
      <c r="E224" s="266"/>
      <c r="F224" s="296"/>
      <c r="G224" s="306" t="s">
        <v>25</v>
      </c>
      <c r="H224" s="307">
        <f>SUM(H221:H223)</f>
        <v>6423.7202640000005</v>
      </c>
    </row>
    <row r="225" spans="2:8" x14ac:dyDescent="0.25">
      <c r="B225" s="214" t="s">
        <v>26</v>
      </c>
      <c r="C225" s="266"/>
      <c r="D225" s="266"/>
      <c r="E225" s="266"/>
      <c r="F225" s="308"/>
      <c r="G225" s="308"/>
      <c r="H225" s="309"/>
    </row>
    <row r="226" spans="2:8" x14ac:dyDescent="0.25">
      <c r="B226" s="560" t="s">
        <v>20</v>
      </c>
      <c r="C226" s="561"/>
      <c r="D226" s="297" t="s">
        <v>27</v>
      </c>
      <c r="E226" s="297" t="s">
        <v>29</v>
      </c>
      <c r="F226" s="298" t="s">
        <v>598</v>
      </c>
      <c r="G226" s="299" t="s">
        <v>597</v>
      </c>
      <c r="H226" s="310" t="s">
        <v>482</v>
      </c>
    </row>
    <row r="227" spans="2:8" ht="35.25" customHeight="1" x14ac:dyDescent="0.25">
      <c r="B227" s="626" t="s">
        <v>601</v>
      </c>
      <c r="C227" s="627"/>
      <c r="D227" s="285" t="s">
        <v>72</v>
      </c>
      <c r="E227" s="413">
        <v>1</v>
      </c>
      <c r="F227" s="416">
        <v>850000</v>
      </c>
      <c r="G227" s="416">
        <f>+E227*F227</f>
        <v>850000</v>
      </c>
      <c r="H227" s="418">
        <f>+G227</f>
        <v>850000</v>
      </c>
    </row>
    <row r="228" spans="2:8" x14ac:dyDescent="0.25">
      <c r="B228" s="624"/>
      <c r="C228" s="625"/>
      <c r="D228" s="285"/>
      <c r="E228" s="414"/>
      <c r="F228" s="289"/>
      <c r="G228" s="274"/>
      <c r="H228" s="275"/>
    </row>
    <row r="229" spans="2:8" x14ac:dyDescent="0.25">
      <c r="B229" s="624"/>
      <c r="C229" s="625"/>
      <c r="D229" s="285"/>
      <c r="E229" s="414"/>
      <c r="F229" s="289"/>
      <c r="G229" s="274"/>
      <c r="H229" s="275"/>
    </row>
    <row r="230" spans="2:8" x14ac:dyDescent="0.25">
      <c r="B230" s="596"/>
      <c r="C230" s="597"/>
      <c r="D230" s="285"/>
      <c r="E230" s="415"/>
      <c r="F230" s="303"/>
      <c r="G230" s="287"/>
      <c r="H230" s="275"/>
    </row>
    <row r="231" spans="2:8" x14ac:dyDescent="0.25">
      <c r="B231" s="305"/>
      <c r="C231" s="266"/>
      <c r="D231" s="266"/>
      <c r="E231" s="266"/>
      <c r="F231" s="308"/>
      <c r="G231" s="306" t="s">
        <v>25</v>
      </c>
      <c r="H231" s="312">
        <f>SUM(H227:H230)</f>
        <v>850000</v>
      </c>
    </row>
    <row r="232" spans="2:8" x14ac:dyDescent="0.25">
      <c r="B232" s="214" t="s">
        <v>30</v>
      </c>
      <c r="C232" s="266"/>
      <c r="D232" s="266"/>
      <c r="E232" s="266"/>
      <c r="F232" s="308"/>
      <c r="G232" s="308"/>
      <c r="H232" s="304"/>
    </row>
    <row r="233" spans="2:8" x14ac:dyDescent="0.25">
      <c r="B233" s="560" t="s">
        <v>20</v>
      </c>
      <c r="C233" s="561"/>
      <c r="D233" s="297" t="s">
        <v>21</v>
      </c>
      <c r="E233" s="297" t="s">
        <v>127</v>
      </c>
      <c r="F233" s="298" t="s">
        <v>32</v>
      </c>
      <c r="G233" s="297" t="s">
        <v>24</v>
      </c>
      <c r="H233" s="313" t="s">
        <v>481</v>
      </c>
    </row>
    <row r="234" spans="2:8" x14ac:dyDescent="0.25">
      <c r="B234" s="598" t="s">
        <v>599</v>
      </c>
      <c r="C234" s="599"/>
      <c r="D234" s="314" t="s">
        <v>600</v>
      </c>
      <c r="E234" s="315">
        <v>3</v>
      </c>
      <c r="F234" s="274">
        <v>7070</v>
      </c>
      <c r="G234" s="274">
        <f>+E234*F234</f>
        <v>21210</v>
      </c>
      <c r="H234" s="304">
        <f>+G234</f>
        <v>21210</v>
      </c>
    </row>
    <row r="235" spans="2:8" x14ac:dyDescent="0.25">
      <c r="B235" s="598"/>
      <c r="C235" s="599"/>
      <c r="D235" s="314"/>
      <c r="E235" s="316"/>
      <c r="F235" s="317"/>
      <c r="G235" s="316"/>
      <c r="H235" s="318"/>
    </row>
    <row r="236" spans="2:8" x14ac:dyDescent="0.25">
      <c r="B236" s="305"/>
      <c r="C236" s="266"/>
      <c r="D236" s="266"/>
      <c r="E236" s="266"/>
      <c r="F236" s="296"/>
      <c r="G236" s="306" t="s">
        <v>25</v>
      </c>
      <c r="H236" s="319">
        <f>+H234</f>
        <v>21210</v>
      </c>
    </row>
    <row r="237" spans="2:8" x14ac:dyDescent="0.25">
      <c r="B237" s="214" t="s">
        <v>34</v>
      </c>
      <c r="C237" s="266"/>
      <c r="D237" s="266"/>
      <c r="E237" s="266"/>
      <c r="F237" s="296"/>
      <c r="G237" s="308"/>
      <c r="H237" s="320"/>
    </row>
    <row r="238" spans="2:8" x14ac:dyDescent="0.25">
      <c r="B238" s="321" t="s">
        <v>35</v>
      </c>
      <c r="C238" s="321" t="s">
        <v>29</v>
      </c>
      <c r="D238" s="321" t="s">
        <v>36</v>
      </c>
      <c r="E238" s="321" t="s">
        <v>37</v>
      </c>
      <c r="F238" s="322" t="s">
        <v>38</v>
      </c>
      <c r="G238" s="323" t="s">
        <v>23</v>
      </c>
      <c r="H238" s="324" t="s">
        <v>24</v>
      </c>
    </row>
    <row r="239" spans="2:8" x14ac:dyDescent="0.25">
      <c r="B239" s="288" t="s">
        <v>39</v>
      </c>
      <c r="C239" s="316">
        <v>1</v>
      </c>
      <c r="D239" s="325">
        <v>93381.6</v>
      </c>
      <c r="E239" s="326">
        <v>1.8344</v>
      </c>
      <c r="F239" s="327">
        <f>+D239*C239*E239</f>
        <v>171299.20704000001</v>
      </c>
      <c r="G239" s="316">
        <v>6</v>
      </c>
      <c r="H239" s="274">
        <f>F239/G239</f>
        <v>28549.867840000003</v>
      </c>
    </row>
    <row r="240" spans="2:8" x14ac:dyDescent="0.25">
      <c r="B240" s="288" t="s">
        <v>496</v>
      </c>
      <c r="C240" s="316">
        <v>2</v>
      </c>
      <c r="D240" s="325">
        <v>58363.5</v>
      </c>
      <c r="E240" s="326">
        <v>1.8344</v>
      </c>
      <c r="F240" s="327">
        <f>+D240*C240*E240</f>
        <v>214124.00880000001</v>
      </c>
      <c r="G240" s="316">
        <v>6</v>
      </c>
      <c r="H240" s="274">
        <f>+F240/G240</f>
        <v>35687.334800000004</v>
      </c>
    </row>
    <row r="241" spans="2:8" x14ac:dyDescent="0.25">
      <c r="B241" s="288"/>
      <c r="C241" s="288"/>
      <c r="D241" s="317"/>
      <c r="E241" s="288"/>
      <c r="F241" s="317"/>
      <c r="G241" s="288"/>
      <c r="H241" s="327"/>
    </row>
    <row r="242" spans="2:8" x14ac:dyDescent="0.25">
      <c r="B242" s="305"/>
      <c r="C242" s="266"/>
      <c r="D242" s="266"/>
      <c r="E242" s="266"/>
      <c r="F242" s="296"/>
      <c r="G242" s="306" t="s">
        <v>25</v>
      </c>
      <c r="H242" s="328">
        <f>+SUM(H239:H241)</f>
        <v>64237.202640000003</v>
      </c>
    </row>
    <row r="243" spans="2:8" x14ac:dyDescent="0.25">
      <c r="B243" s="217"/>
      <c r="C243" s="26"/>
      <c r="D243" s="26"/>
      <c r="E243" s="26"/>
      <c r="F243" s="215"/>
      <c r="G243" s="256"/>
      <c r="H243" s="218"/>
    </row>
    <row r="244" spans="2:8" ht="15.6" x14ac:dyDescent="0.25">
      <c r="B244" s="258"/>
      <c r="C244" s="479" t="s">
        <v>645</v>
      </c>
      <c r="D244" s="477"/>
      <c r="E244" s="477"/>
      <c r="F244" s="477"/>
      <c r="G244" s="469" t="s">
        <v>41</v>
      </c>
      <c r="H244" s="254">
        <f>+H224+H231+H236+H242</f>
        <v>941870.92290400004</v>
      </c>
    </row>
    <row r="245" spans="2:8" ht="15.6" x14ac:dyDescent="0.25">
      <c r="B245" s="258"/>
      <c r="C245" s="479"/>
      <c r="D245" s="477"/>
      <c r="E245" s="477"/>
      <c r="F245" s="477"/>
      <c r="G245" s="255"/>
      <c r="H245" s="219"/>
    </row>
    <row r="246" spans="2:8" ht="15.6" x14ac:dyDescent="0.25">
      <c r="B246" s="258"/>
      <c r="C246" s="479"/>
      <c r="D246" s="477"/>
      <c r="E246" s="477"/>
      <c r="F246" s="477"/>
      <c r="G246" s="255"/>
      <c r="H246" s="219"/>
    </row>
    <row r="247" spans="2:8" ht="15.6" x14ac:dyDescent="0.25">
      <c r="B247" s="258"/>
      <c r="C247" s="475" t="s">
        <v>643</v>
      </c>
      <c r="D247" s="474"/>
      <c r="E247" s="477"/>
      <c r="F247" s="477"/>
      <c r="G247" s="255"/>
      <c r="H247" s="219"/>
    </row>
    <row r="248" spans="2:8" ht="15" x14ac:dyDescent="0.25">
      <c r="B248" s="262"/>
      <c r="C248" s="200" t="s">
        <v>590</v>
      </c>
      <c r="D248" s="474"/>
      <c r="E248" s="478"/>
      <c r="F248" s="478"/>
      <c r="G248" s="255"/>
      <c r="H248" s="219"/>
    </row>
    <row r="249" spans="2:8" ht="15" x14ac:dyDescent="0.25">
      <c r="B249" s="264"/>
      <c r="C249" s="261" t="s">
        <v>591</v>
      </c>
      <c r="D249" s="474"/>
      <c r="E249" s="478"/>
      <c r="F249" s="478"/>
      <c r="G249" s="255"/>
      <c r="H249" s="219"/>
    </row>
    <row r="250" spans="2:8" ht="15" x14ac:dyDescent="0.25">
      <c r="B250" s="265"/>
      <c r="C250" s="261" t="s">
        <v>644</v>
      </c>
      <c r="D250" s="474"/>
      <c r="E250" s="478"/>
      <c r="F250" s="478"/>
      <c r="G250" s="255"/>
      <c r="H250" s="219"/>
    </row>
    <row r="251" spans="2:8" x14ac:dyDescent="0.25">
      <c r="B251" s="267"/>
      <c r="C251" s="268"/>
      <c r="D251" s="259"/>
      <c r="E251" s="259"/>
      <c r="F251" s="259"/>
      <c r="G251" s="259"/>
      <c r="H251" s="260"/>
    </row>
    <row r="261" spans="2:8" ht="15.6" x14ac:dyDescent="0.25">
      <c r="B261" s="566" t="s">
        <v>320</v>
      </c>
      <c r="C261" s="567"/>
      <c r="D261" s="567"/>
      <c r="E261" s="567"/>
      <c r="F261" s="567"/>
      <c r="G261" s="567"/>
      <c r="H261" s="568"/>
    </row>
    <row r="262" spans="2:8" x14ac:dyDescent="0.25">
      <c r="B262" s="569" t="str">
        <f>+PRESUPUESTO!B1</f>
        <v>MANTENIMIENTO Y ADECUACIÓN DE INSTITUCIONES EDUCATIVAS OFICIALES, DEL MUNICIPIO DE LA APARTADA CORDOBA.</v>
      </c>
      <c r="C262" s="570"/>
      <c r="D262" s="570"/>
      <c r="E262" s="570"/>
      <c r="F262" s="570"/>
      <c r="G262" s="570"/>
      <c r="H262" s="571"/>
    </row>
    <row r="263" spans="2:8" x14ac:dyDescent="0.25">
      <c r="B263" s="572"/>
      <c r="C263" s="573"/>
      <c r="D263" s="573"/>
      <c r="E263" s="573"/>
      <c r="F263" s="573"/>
      <c r="G263" s="573"/>
      <c r="H263" s="574"/>
    </row>
    <row r="264" spans="2:8" x14ac:dyDescent="0.25">
      <c r="B264" s="575"/>
      <c r="C264" s="576"/>
      <c r="D264" s="576"/>
      <c r="E264" s="576"/>
      <c r="F264" s="576"/>
      <c r="G264" s="576"/>
      <c r="H264" s="577"/>
    </row>
    <row r="265" spans="2:8" x14ac:dyDescent="0.25">
      <c r="B265" s="578" t="str">
        <f>+PRESUPUESTO!C10</f>
        <v xml:space="preserve">SELLADO DE PUERTAS GALAVANIZADAS DE 0.70 MTS X 2.10 MTS, CON MANPOSTERIA EN BLOQUE 0.10 X 0.20 X 0.40. </v>
      </c>
      <c r="C265" s="579"/>
      <c r="D265" s="579"/>
      <c r="E265" s="579"/>
      <c r="F265" s="580"/>
      <c r="G265" s="587" t="s">
        <v>606</v>
      </c>
      <c r="H265" s="588"/>
    </row>
    <row r="266" spans="2:8" x14ac:dyDescent="0.25">
      <c r="B266" s="581"/>
      <c r="C266" s="582"/>
      <c r="D266" s="582"/>
      <c r="E266" s="582"/>
      <c r="F266" s="583"/>
      <c r="G266" s="589"/>
      <c r="H266" s="590"/>
    </row>
    <row r="267" spans="2:8" x14ac:dyDescent="0.25">
      <c r="B267" s="584"/>
      <c r="C267" s="585"/>
      <c r="D267" s="585"/>
      <c r="E267" s="585"/>
      <c r="F267" s="586"/>
      <c r="G267" s="591"/>
      <c r="H267" s="592"/>
    </row>
    <row r="268" spans="2:8" x14ac:dyDescent="0.25">
      <c r="B268" s="518" t="s">
        <v>0</v>
      </c>
      <c r="C268" s="515">
        <f>+PRESUPUESTO!B10</f>
        <v>1.6</v>
      </c>
      <c r="D268" s="516"/>
      <c r="E268" s="516"/>
      <c r="F268" s="516"/>
      <c r="G268" s="516"/>
      <c r="H268" s="517"/>
    </row>
    <row r="269" spans="2:8" x14ac:dyDescent="0.25">
      <c r="B269" s="214" t="s">
        <v>19</v>
      </c>
      <c r="C269" s="266"/>
      <c r="D269" s="266"/>
      <c r="E269" s="266"/>
      <c r="F269" s="296"/>
      <c r="G269" s="266"/>
      <c r="H269" s="216"/>
    </row>
    <row r="270" spans="2:8" x14ac:dyDescent="0.25">
      <c r="B270" s="560" t="s">
        <v>20</v>
      </c>
      <c r="C270" s="561"/>
      <c r="D270" s="297" t="s">
        <v>21</v>
      </c>
      <c r="E270" s="297" t="s">
        <v>22</v>
      </c>
      <c r="F270" s="298" t="s">
        <v>23</v>
      </c>
      <c r="G270" s="299" t="s">
        <v>24</v>
      </c>
      <c r="H270" s="300" t="s">
        <v>482</v>
      </c>
    </row>
    <row r="271" spans="2:8" x14ac:dyDescent="0.25">
      <c r="B271" s="562" t="s">
        <v>8</v>
      </c>
      <c r="C271" s="563"/>
      <c r="D271" s="301"/>
      <c r="E271" s="302"/>
      <c r="F271" s="303">
        <v>0.1</v>
      </c>
      <c r="G271" s="287">
        <f>+H296</f>
        <v>23196.767620000002</v>
      </c>
      <c r="H271" s="304">
        <f>+F271*G271</f>
        <v>2319.6767620000005</v>
      </c>
    </row>
    <row r="272" spans="2:8" x14ac:dyDescent="0.25">
      <c r="B272" s="600"/>
      <c r="C272" s="601"/>
      <c r="D272" s="301"/>
      <c r="E272" s="302"/>
      <c r="F272" s="289"/>
      <c r="G272" s="287"/>
      <c r="H272" s="304"/>
    </row>
    <row r="273" spans="2:8" x14ac:dyDescent="0.25">
      <c r="B273" s="562"/>
      <c r="C273" s="563"/>
      <c r="D273" s="301"/>
      <c r="E273" s="302"/>
      <c r="F273" s="289"/>
      <c r="G273" s="287"/>
      <c r="H273" s="304"/>
    </row>
    <row r="274" spans="2:8" x14ac:dyDescent="0.25">
      <c r="B274" s="305"/>
      <c r="C274" s="266"/>
      <c r="D274" s="266"/>
      <c r="E274" s="266"/>
      <c r="F274" s="296"/>
      <c r="G274" s="306" t="s">
        <v>25</v>
      </c>
      <c r="H274" s="307">
        <f>SUM(H271:H273)</f>
        <v>2319.6767620000005</v>
      </c>
    </row>
    <row r="275" spans="2:8" x14ac:dyDescent="0.25">
      <c r="B275" s="214" t="s">
        <v>26</v>
      </c>
      <c r="C275" s="266"/>
      <c r="D275" s="266"/>
      <c r="E275" s="266"/>
      <c r="F275" s="308"/>
      <c r="G275" s="308"/>
      <c r="H275" s="309"/>
    </row>
    <row r="276" spans="2:8" x14ac:dyDescent="0.25">
      <c r="B276" s="560" t="s">
        <v>20</v>
      </c>
      <c r="C276" s="561"/>
      <c r="D276" s="297" t="s">
        <v>27</v>
      </c>
      <c r="E276" s="297" t="s">
        <v>29</v>
      </c>
      <c r="F276" s="298" t="s">
        <v>598</v>
      </c>
      <c r="G276" s="299" t="s">
        <v>597</v>
      </c>
      <c r="H276" s="310" t="s">
        <v>482</v>
      </c>
    </row>
    <row r="277" spans="2:8" x14ac:dyDescent="0.25">
      <c r="B277" s="622" t="s">
        <v>602</v>
      </c>
      <c r="C277" s="623"/>
      <c r="D277" s="419" t="s">
        <v>72</v>
      </c>
      <c r="E277" s="420">
        <v>2500</v>
      </c>
      <c r="F277" s="421">
        <v>12.5</v>
      </c>
      <c r="G277" s="422">
        <f>+F277*E277</f>
        <v>31250</v>
      </c>
      <c r="H277" s="423">
        <f>+G277</f>
        <v>31250</v>
      </c>
    </row>
    <row r="278" spans="2:8" x14ac:dyDescent="0.25">
      <c r="B278" s="621" t="s">
        <v>603</v>
      </c>
      <c r="C278" s="621"/>
      <c r="D278" s="419" t="s">
        <v>4</v>
      </c>
      <c r="E278" s="420">
        <v>62000</v>
      </c>
      <c r="F278" s="424">
        <v>0.02</v>
      </c>
      <c r="G278" s="422">
        <f>+F278*E278</f>
        <v>1240</v>
      </c>
      <c r="H278" s="423">
        <f>+G278</f>
        <v>1240</v>
      </c>
    </row>
    <row r="279" spans="2:8" x14ac:dyDescent="0.25">
      <c r="B279" s="621" t="s">
        <v>523</v>
      </c>
      <c r="C279" s="621"/>
      <c r="D279" s="419" t="s">
        <v>72</v>
      </c>
      <c r="E279" s="425">
        <v>32000</v>
      </c>
      <c r="F279" s="424">
        <v>1.4999999999999999E-2</v>
      </c>
      <c r="G279" s="422">
        <f>+F279*E279</f>
        <v>480</v>
      </c>
      <c r="H279" s="423">
        <f>+G279</f>
        <v>480</v>
      </c>
    </row>
    <row r="280" spans="2:8" x14ac:dyDescent="0.25">
      <c r="B280" s="621" t="s">
        <v>604</v>
      </c>
      <c r="C280" s="621"/>
      <c r="D280" s="426" t="s">
        <v>499</v>
      </c>
      <c r="E280" s="427">
        <v>150</v>
      </c>
      <c r="F280" s="428">
        <v>4</v>
      </c>
      <c r="G280" s="422">
        <f>+F280*E280</f>
        <v>600</v>
      </c>
      <c r="H280" s="423">
        <f>+G280</f>
        <v>600</v>
      </c>
    </row>
    <row r="281" spans="2:8" x14ac:dyDescent="0.25">
      <c r="B281" s="621"/>
      <c r="C281" s="621"/>
      <c r="D281" s="426" t="str">
        <f>+IF(B281=0,"",(VLOOKUP(B281,[7]MATERIALES!$B$6:$D$149,3,FALSE)))</f>
        <v/>
      </c>
      <c r="E281" s="429"/>
      <c r="F281" s="430"/>
      <c r="G281" s="431">
        <f>E281*F281</f>
        <v>0</v>
      </c>
      <c r="H281" s="432">
        <f>G281</f>
        <v>0</v>
      </c>
    </row>
    <row r="282" spans="2:8" x14ac:dyDescent="0.25">
      <c r="B282" s="621" t="s">
        <v>605</v>
      </c>
      <c r="C282" s="621"/>
      <c r="D282" s="285" t="s">
        <v>501</v>
      </c>
      <c r="E282" s="286">
        <f>+SUM(G277:G280)</f>
        <v>33570</v>
      </c>
      <c r="F282" s="303">
        <v>0.05</v>
      </c>
      <c r="G282" s="287">
        <f>+E282*F282</f>
        <v>1678.5</v>
      </c>
      <c r="H282" s="288">
        <f>G282</f>
        <v>1678.5</v>
      </c>
    </row>
    <row r="283" spans="2:8" x14ac:dyDescent="0.25">
      <c r="B283" s="598"/>
      <c r="C283" s="599"/>
      <c r="D283" s="314"/>
      <c r="E283" s="315"/>
      <c r="F283" s="274"/>
      <c r="G283" s="274"/>
      <c r="H283" s="304"/>
    </row>
    <row r="284" spans="2:8" x14ac:dyDescent="0.25">
      <c r="B284" s="598"/>
      <c r="C284" s="599"/>
      <c r="D284" s="314"/>
      <c r="E284" s="316"/>
      <c r="F284" s="317"/>
      <c r="G284" s="316"/>
      <c r="H284" s="318"/>
    </row>
    <row r="285" spans="2:8" x14ac:dyDescent="0.25">
      <c r="B285" s="305"/>
      <c r="C285" s="266"/>
      <c r="D285" s="266"/>
      <c r="E285" s="266"/>
      <c r="F285" s="296"/>
      <c r="G285" s="306" t="s">
        <v>25</v>
      </c>
      <c r="H285" s="319">
        <f>+SUM(H277:H283)</f>
        <v>35248.5</v>
      </c>
    </row>
    <row r="286" spans="2:8" x14ac:dyDescent="0.25">
      <c r="B286" s="214" t="s">
        <v>30</v>
      </c>
      <c r="C286" s="266"/>
      <c r="D286" s="266"/>
      <c r="E286" s="266"/>
      <c r="F286" s="308"/>
      <c r="G286" s="308"/>
      <c r="H286" s="304"/>
    </row>
    <row r="287" spans="2:8" x14ac:dyDescent="0.25">
      <c r="B287" s="560" t="s">
        <v>20</v>
      </c>
      <c r="C287" s="561"/>
      <c r="D287" s="297" t="s">
        <v>21</v>
      </c>
      <c r="E287" s="297" t="s">
        <v>127</v>
      </c>
      <c r="F287" s="298" t="s">
        <v>32</v>
      </c>
      <c r="G287" s="297" t="s">
        <v>24</v>
      </c>
      <c r="H287" s="313" t="s">
        <v>481</v>
      </c>
    </row>
    <row r="288" spans="2:8" x14ac:dyDescent="0.25">
      <c r="B288" s="598" t="s">
        <v>599</v>
      </c>
      <c r="C288" s="599"/>
      <c r="D288" s="314"/>
      <c r="E288" s="315"/>
      <c r="F288" s="274"/>
      <c r="G288" s="274"/>
      <c r="H288" s="304">
        <f>+G288</f>
        <v>0</v>
      </c>
    </row>
    <row r="289" spans="2:8" x14ac:dyDescent="0.25">
      <c r="B289" s="598"/>
      <c r="C289" s="599"/>
      <c r="D289" s="314"/>
      <c r="E289" s="316"/>
      <c r="F289" s="317"/>
      <c r="G289" s="316"/>
      <c r="H289" s="318"/>
    </row>
    <row r="290" spans="2:8" x14ac:dyDescent="0.25">
      <c r="B290" s="305"/>
      <c r="C290" s="266"/>
      <c r="D290" s="266"/>
      <c r="E290" s="266"/>
      <c r="F290" s="296"/>
      <c r="G290" s="306" t="s">
        <v>25</v>
      </c>
      <c r="H290" s="319">
        <f>+H288</f>
        <v>0</v>
      </c>
    </row>
    <row r="291" spans="2:8" x14ac:dyDescent="0.25">
      <c r="B291" s="214" t="s">
        <v>34</v>
      </c>
      <c r="C291" s="266"/>
      <c r="D291" s="266"/>
      <c r="E291" s="266"/>
      <c r="F291" s="296"/>
      <c r="G291" s="308"/>
      <c r="H291" s="320"/>
    </row>
    <row r="292" spans="2:8" x14ac:dyDescent="0.25">
      <c r="B292" s="321" t="s">
        <v>35</v>
      </c>
      <c r="C292" s="321" t="s">
        <v>29</v>
      </c>
      <c r="D292" s="321" t="s">
        <v>36</v>
      </c>
      <c r="E292" s="321" t="s">
        <v>37</v>
      </c>
      <c r="F292" s="322" t="s">
        <v>38</v>
      </c>
      <c r="G292" s="323" t="s">
        <v>23</v>
      </c>
      <c r="H292" s="324" t="s">
        <v>24</v>
      </c>
    </row>
    <row r="293" spans="2:8" x14ac:dyDescent="0.25">
      <c r="B293" s="288" t="s">
        <v>39</v>
      </c>
      <c r="C293" s="316">
        <v>1</v>
      </c>
      <c r="D293" s="325">
        <v>93381.6</v>
      </c>
      <c r="E293" s="326">
        <v>1.8344</v>
      </c>
      <c r="F293" s="327">
        <f>+D293*C293*E293</f>
        <v>171299.20704000001</v>
      </c>
      <c r="G293" s="316">
        <v>12</v>
      </c>
      <c r="H293" s="274">
        <f>F293/G293</f>
        <v>14274.933920000001</v>
      </c>
    </row>
    <row r="294" spans="2:8" x14ac:dyDescent="0.25">
      <c r="B294" s="288" t="s">
        <v>496</v>
      </c>
      <c r="C294" s="316">
        <v>1</v>
      </c>
      <c r="D294" s="325">
        <v>58363.5</v>
      </c>
      <c r="E294" s="326">
        <v>1.8344</v>
      </c>
      <c r="F294" s="327">
        <f>+D294*C294*E294</f>
        <v>107062.00440000001</v>
      </c>
      <c r="G294" s="316">
        <v>12</v>
      </c>
      <c r="H294" s="274">
        <f>+F294/G294</f>
        <v>8921.833700000001</v>
      </c>
    </row>
    <row r="295" spans="2:8" x14ac:dyDescent="0.25">
      <c r="B295" s="288"/>
      <c r="C295" s="288"/>
      <c r="D295" s="317"/>
      <c r="E295" s="288"/>
      <c r="F295" s="317"/>
      <c r="G295" s="288"/>
      <c r="H295" s="327"/>
    </row>
    <row r="296" spans="2:8" x14ac:dyDescent="0.25">
      <c r="B296" s="305"/>
      <c r="C296" s="266"/>
      <c r="D296" s="266"/>
      <c r="E296" s="266"/>
      <c r="F296" s="296"/>
      <c r="G296" s="306" t="s">
        <v>25</v>
      </c>
      <c r="H296" s="328">
        <f>+SUM(H293:H295)</f>
        <v>23196.767620000002</v>
      </c>
    </row>
    <row r="297" spans="2:8" x14ac:dyDescent="0.25">
      <c r="B297" s="217"/>
      <c r="C297" s="26"/>
      <c r="D297" s="26"/>
      <c r="E297" s="26"/>
      <c r="F297" s="215"/>
      <c r="G297" s="256"/>
      <c r="H297" s="218"/>
    </row>
    <row r="298" spans="2:8" ht="15.6" x14ac:dyDescent="0.25">
      <c r="B298" s="258"/>
      <c r="C298" s="479" t="s">
        <v>645</v>
      </c>
      <c r="D298" s="477"/>
      <c r="E298" s="477"/>
      <c r="F298" s="477"/>
      <c r="G298" s="469" t="s">
        <v>41</v>
      </c>
      <c r="H298" s="254">
        <f>+H274+H285+H296+H290</f>
        <v>60764.944382000001</v>
      </c>
    </row>
    <row r="299" spans="2:8" ht="15.6" x14ac:dyDescent="0.25">
      <c r="B299" s="258"/>
      <c r="C299" s="479"/>
      <c r="D299" s="477"/>
      <c r="E299" s="477"/>
      <c r="F299" s="477"/>
      <c r="G299" s="255"/>
      <c r="H299" s="219"/>
    </row>
    <row r="300" spans="2:8" ht="15.6" x14ac:dyDescent="0.25">
      <c r="B300" s="258"/>
      <c r="C300" s="479"/>
      <c r="D300" s="477"/>
      <c r="E300" s="477"/>
      <c r="F300" s="477"/>
      <c r="G300" s="255"/>
      <c r="H300" s="219"/>
    </row>
    <row r="301" spans="2:8" ht="15.6" x14ac:dyDescent="0.25">
      <c r="B301" s="258"/>
      <c r="C301" s="475" t="s">
        <v>643</v>
      </c>
      <c r="D301" s="474"/>
      <c r="E301" s="477"/>
      <c r="F301" s="477"/>
      <c r="G301" s="255"/>
      <c r="H301" s="219"/>
    </row>
    <row r="302" spans="2:8" ht="15" x14ac:dyDescent="0.25">
      <c r="B302" s="262"/>
      <c r="C302" s="200" t="s">
        <v>590</v>
      </c>
      <c r="D302" s="474"/>
      <c r="E302" s="478"/>
      <c r="F302" s="478"/>
      <c r="G302" s="255"/>
      <c r="H302" s="219"/>
    </row>
    <row r="303" spans="2:8" ht="15" x14ac:dyDescent="0.25">
      <c r="B303" s="264"/>
      <c r="C303" s="261" t="s">
        <v>591</v>
      </c>
      <c r="D303" s="474"/>
      <c r="E303" s="478"/>
      <c r="F303" s="478"/>
      <c r="G303" s="255"/>
      <c r="H303" s="219"/>
    </row>
    <row r="304" spans="2:8" ht="15" x14ac:dyDescent="0.25">
      <c r="B304" s="265"/>
      <c r="C304" s="261" t="s">
        <v>644</v>
      </c>
      <c r="D304" s="474"/>
      <c r="E304" s="478"/>
      <c r="F304" s="478"/>
      <c r="G304" s="255"/>
      <c r="H304" s="219"/>
    </row>
    <row r="305" spans="2:8" x14ac:dyDescent="0.25">
      <c r="B305" s="267"/>
      <c r="C305" s="268"/>
      <c r="D305" s="259"/>
      <c r="E305" s="259"/>
      <c r="F305" s="259"/>
      <c r="G305" s="259"/>
      <c r="H305" s="260"/>
    </row>
    <row r="316" spans="2:8" ht="15.6" x14ac:dyDescent="0.25">
      <c r="B316" s="566" t="s">
        <v>320</v>
      </c>
      <c r="C316" s="567"/>
      <c r="D316" s="567"/>
      <c r="E316" s="567"/>
      <c r="F316" s="567"/>
      <c r="G316" s="567"/>
      <c r="H316" s="568"/>
    </row>
    <row r="317" spans="2:8" x14ac:dyDescent="0.25">
      <c r="B317" s="569" t="str">
        <f>+PRESUPUESTO!B1</f>
        <v>MANTENIMIENTO Y ADECUACIÓN DE INSTITUCIONES EDUCATIVAS OFICIALES, DEL MUNICIPIO DE LA APARTADA CORDOBA.</v>
      </c>
      <c r="C317" s="570"/>
      <c r="D317" s="570"/>
      <c r="E317" s="570"/>
      <c r="F317" s="570"/>
      <c r="G317" s="570"/>
      <c r="H317" s="571"/>
    </row>
    <row r="318" spans="2:8" x14ac:dyDescent="0.25">
      <c r="B318" s="572"/>
      <c r="C318" s="573"/>
      <c r="D318" s="573"/>
      <c r="E318" s="573"/>
      <c r="F318" s="573"/>
      <c r="G318" s="573"/>
      <c r="H318" s="574"/>
    </row>
    <row r="319" spans="2:8" x14ac:dyDescent="0.25">
      <c r="B319" s="575"/>
      <c r="C319" s="576"/>
      <c r="D319" s="576"/>
      <c r="E319" s="576"/>
      <c r="F319" s="576"/>
      <c r="G319" s="576"/>
      <c r="H319" s="577"/>
    </row>
    <row r="320" spans="2:8" x14ac:dyDescent="0.25">
      <c r="B320" s="578" t="str">
        <f>+PRESUPUESTO!C11</f>
        <v>DESMONTE DE SANITARIOS EN MAL ESTADO.</v>
      </c>
      <c r="C320" s="579"/>
      <c r="D320" s="579"/>
      <c r="E320" s="579"/>
      <c r="F320" s="580"/>
      <c r="G320" s="587" t="s">
        <v>595</v>
      </c>
      <c r="H320" s="588"/>
    </row>
    <row r="321" spans="2:8" x14ac:dyDescent="0.25">
      <c r="B321" s="581"/>
      <c r="C321" s="582"/>
      <c r="D321" s="582"/>
      <c r="E321" s="582"/>
      <c r="F321" s="583"/>
      <c r="G321" s="589"/>
      <c r="H321" s="590"/>
    </row>
    <row r="322" spans="2:8" x14ac:dyDescent="0.25">
      <c r="B322" s="584"/>
      <c r="C322" s="585"/>
      <c r="D322" s="585"/>
      <c r="E322" s="585"/>
      <c r="F322" s="586"/>
      <c r="G322" s="591"/>
      <c r="H322" s="592"/>
    </row>
    <row r="323" spans="2:8" x14ac:dyDescent="0.25">
      <c r="B323" s="518" t="s">
        <v>0</v>
      </c>
      <c r="C323" s="515">
        <f>+PRESUPUESTO!B11</f>
        <v>1.7</v>
      </c>
      <c r="D323" s="516"/>
      <c r="E323" s="516"/>
      <c r="F323" s="516"/>
      <c r="G323" s="516"/>
      <c r="H323" s="517"/>
    </row>
    <row r="324" spans="2:8" x14ac:dyDescent="0.25">
      <c r="B324" s="214" t="s">
        <v>19</v>
      </c>
      <c r="C324" s="266"/>
      <c r="D324" s="266"/>
      <c r="E324" s="266"/>
      <c r="F324" s="296"/>
      <c r="G324" s="266"/>
      <c r="H324" s="216"/>
    </row>
    <row r="325" spans="2:8" x14ac:dyDescent="0.25">
      <c r="B325" s="560" t="s">
        <v>20</v>
      </c>
      <c r="C325" s="561"/>
      <c r="D325" s="297" t="s">
        <v>21</v>
      </c>
      <c r="E325" s="297" t="s">
        <v>22</v>
      </c>
      <c r="F325" s="298" t="s">
        <v>23</v>
      </c>
      <c r="G325" s="299" t="s">
        <v>24</v>
      </c>
      <c r="H325" s="300" t="s">
        <v>482</v>
      </c>
    </row>
    <row r="326" spans="2:8" x14ac:dyDescent="0.25">
      <c r="B326" s="562" t="s">
        <v>8</v>
      </c>
      <c r="C326" s="563"/>
      <c r="D326" s="301"/>
      <c r="E326" s="302"/>
      <c r="F326" s="303">
        <v>0.1</v>
      </c>
      <c r="G326" s="287">
        <f>+H346</f>
        <v>96355.803960000005</v>
      </c>
      <c r="H326" s="304">
        <f>+F326*G326</f>
        <v>9635.5803960000012</v>
      </c>
    </row>
    <row r="327" spans="2:8" x14ac:dyDescent="0.25">
      <c r="B327" s="600"/>
      <c r="C327" s="601"/>
      <c r="D327" s="301"/>
      <c r="E327" s="302"/>
      <c r="F327" s="289"/>
      <c r="G327" s="287"/>
      <c r="H327" s="304"/>
    </row>
    <row r="328" spans="2:8" x14ac:dyDescent="0.25">
      <c r="B328" s="562"/>
      <c r="C328" s="563"/>
      <c r="D328" s="301"/>
      <c r="E328" s="302"/>
      <c r="F328" s="289"/>
      <c r="G328" s="287"/>
      <c r="H328" s="304"/>
    </row>
    <row r="329" spans="2:8" x14ac:dyDescent="0.25">
      <c r="B329" s="305"/>
      <c r="C329" s="266"/>
      <c r="D329" s="266"/>
      <c r="E329" s="266"/>
      <c r="F329" s="296"/>
      <c r="G329" s="306" t="s">
        <v>25</v>
      </c>
      <c r="H329" s="307">
        <f>SUM(H326:H328)</f>
        <v>9635.5803960000012</v>
      </c>
    </row>
    <row r="330" spans="2:8" x14ac:dyDescent="0.25">
      <c r="B330" s="214" t="s">
        <v>26</v>
      </c>
      <c r="C330" s="266"/>
      <c r="D330" s="266"/>
      <c r="E330" s="266"/>
      <c r="F330" s="308"/>
      <c r="G330" s="308"/>
      <c r="H330" s="309"/>
    </row>
    <row r="331" spans="2:8" x14ac:dyDescent="0.25">
      <c r="B331" s="560" t="s">
        <v>20</v>
      </c>
      <c r="C331" s="561"/>
      <c r="D331" s="297" t="s">
        <v>27</v>
      </c>
      <c r="E331" s="297" t="s">
        <v>29</v>
      </c>
      <c r="F331" s="298" t="s">
        <v>598</v>
      </c>
      <c r="G331" s="299" t="s">
        <v>597</v>
      </c>
      <c r="H331" s="310" t="s">
        <v>482</v>
      </c>
    </row>
    <row r="332" spans="2:8" x14ac:dyDescent="0.25">
      <c r="B332" s="554"/>
      <c r="C332" s="555"/>
      <c r="D332" s="285"/>
      <c r="E332" s="311"/>
      <c r="F332" s="289"/>
      <c r="G332" s="274"/>
      <c r="H332" s="275"/>
    </row>
    <row r="333" spans="2:8" x14ac:dyDescent="0.25">
      <c r="B333" s="596"/>
      <c r="C333" s="597"/>
      <c r="D333" s="285"/>
      <c r="E333" s="272"/>
      <c r="F333" s="289"/>
      <c r="G333" s="274"/>
      <c r="H333" s="275"/>
    </row>
    <row r="334" spans="2:8" x14ac:dyDescent="0.25">
      <c r="B334" s="596"/>
      <c r="C334" s="597"/>
      <c r="D334" s="285"/>
      <c r="E334" s="286"/>
      <c r="F334" s="303"/>
      <c r="G334" s="287"/>
      <c r="H334" s="275"/>
    </row>
    <row r="335" spans="2:8" x14ac:dyDescent="0.25">
      <c r="B335" s="305"/>
      <c r="C335" s="266"/>
      <c r="D335" s="266"/>
      <c r="E335" s="266"/>
      <c r="F335" s="308"/>
      <c r="G335" s="306" t="s">
        <v>25</v>
      </c>
      <c r="H335" s="312">
        <f>SUM(H332:H334)</f>
        <v>0</v>
      </c>
    </row>
    <row r="336" spans="2:8" x14ac:dyDescent="0.25">
      <c r="B336" s="214" t="s">
        <v>30</v>
      </c>
      <c r="C336" s="266"/>
      <c r="D336" s="266"/>
      <c r="E336" s="266"/>
      <c r="F336" s="308"/>
      <c r="G336" s="308"/>
      <c r="H336" s="304"/>
    </row>
    <row r="337" spans="2:8" x14ac:dyDescent="0.25">
      <c r="B337" s="560" t="s">
        <v>20</v>
      </c>
      <c r="C337" s="561"/>
      <c r="D337" s="297" t="s">
        <v>21</v>
      </c>
      <c r="E337" s="297" t="s">
        <v>127</v>
      </c>
      <c r="F337" s="298" t="s">
        <v>32</v>
      </c>
      <c r="G337" s="297" t="s">
        <v>24</v>
      </c>
      <c r="H337" s="313" t="s">
        <v>481</v>
      </c>
    </row>
    <row r="338" spans="2:8" x14ac:dyDescent="0.25">
      <c r="B338" s="598"/>
      <c r="C338" s="599"/>
      <c r="D338" s="314"/>
      <c r="E338" s="315"/>
      <c r="F338" s="274"/>
      <c r="G338" s="274">
        <f>+E338*F338</f>
        <v>0</v>
      </c>
      <c r="H338" s="304">
        <f>+G338</f>
        <v>0</v>
      </c>
    </row>
    <row r="339" spans="2:8" x14ac:dyDescent="0.25">
      <c r="B339" s="598"/>
      <c r="C339" s="599"/>
      <c r="D339" s="314"/>
      <c r="E339" s="316"/>
      <c r="F339" s="317"/>
      <c r="G339" s="316"/>
      <c r="H339" s="318"/>
    </row>
    <row r="340" spans="2:8" x14ac:dyDescent="0.25">
      <c r="B340" s="305"/>
      <c r="C340" s="266"/>
      <c r="D340" s="266"/>
      <c r="E340" s="266"/>
      <c r="F340" s="296"/>
      <c r="G340" s="306" t="s">
        <v>25</v>
      </c>
      <c r="H340" s="319">
        <f>+H338</f>
        <v>0</v>
      </c>
    </row>
    <row r="341" spans="2:8" x14ac:dyDescent="0.25">
      <c r="B341" s="214" t="s">
        <v>34</v>
      </c>
      <c r="C341" s="266"/>
      <c r="D341" s="266"/>
      <c r="E341" s="266"/>
      <c r="F341" s="296"/>
      <c r="G341" s="308"/>
      <c r="H341" s="320"/>
    </row>
    <row r="342" spans="2:8" x14ac:dyDescent="0.25">
      <c r="B342" s="321" t="s">
        <v>35</v>
      </c>
      <c r="C342" s="321" t="s">
        <v>29</v>
      </c>
      <c r="D342" s="321" t="s">
        <v>36</v>
      </c>
      <c r="E342" s="321" t="s">
        <v>37</v>
      </c>
      <c r="F342" s="322" t="s">
        <v>38</v>
      </c>
      <c r="G342" s="323" t="s">
        <v>23</v>
      </c>
      <c r="H342" s="324" t="s">
        <v>24</v>
      </c>
    </row>
    <row r="343" spans="2:8" x14ac:dyDescent="0.25">
      <c r="B343" s="288" t="s">
        <v>39</v>
      </c>
      <c r="C343" s="316">
        <v>1</v>
      </c>
      <c r="D343" s="325">
        <v>93381.6</v>
      </c>
      <c r="E343" s="326">
        <v>1.8344</v>
      </c>
      <c r="F343" s="327">
        <f>+D343*C343*E343</f>
        <v>171299.20704000001</v>
      </c>
      <c r="G343" s="316">
        <v>4</v>
      </c>
      <c r="H343" s="274">
        <f>F343/G343</f>
        <v>42824.801760000002</v>
      </c>
    </row>
    <row r="344" spans="2:8" x14ac:dyDescent="0.25">
      <c r="B344" s="288" t="s">
        <v>496</v>
      </c>
      <c r="C344" s="316">
        <v>2</v>
      </c>
      <c r="D344" s="325">
        <v>58363.5</v>
      </c>
      <c r="E344" s="326">
        <v>1.8344</v>
      </c>
      <c r="F344" s="327">
        <f>+D344*C344*E344</f>
        <v>214124.00880000001</v>
      </c>
      <c r="G344" s="316">
        <v>4</v>
      </c>
      <c r="H344" s="274">
        <f>+F344/G344</f>
        <v>53531.002200000003</v>
      </c>
    </row>
    <row r="345" spans="2:8" x14ac:dyDescent="0.25">
      <c r="B345" s="288"/>
      <c r="C345" s="288"/>
      <c r="D345" s="317"/>
      <c r="E345" s="288"/>
      <c r="F345" s="317"/>
      <c r="G345" s="288"/>
      <c r="H345" s="327"/>
    </row>
    <row r="346" spans="2:8" x14ac:dyDescent="0.25">
      <c r="B346" s="305"/>
      <c r="C346" s="266"/>
      <c r="D346" s="266"/>
      <c r="E346" s="266"/>
      <c r="F346" s="296"/>
      <c r="G346" s="306" t="s">
        <v>25</v>
      </c>
      <c r="H346" s="328">
        <f>+SUM(H343:H345)</f>
        <v>96355.803960000005</v>
      </c>
    </row>
    <row r="347" spans="2:8" x14ac:dyDescent="0.25">
      <c r="B347" s="217"/>
      <c r="C347" s="26"/>
      <c r="D347" s="26"/>
      <c r="E347" s="26"/>
      <c r="F347" s="215"/>
      <c r="G347" s="256"/>
      <c r="H347" s="218"/>
    </row>
    <row r="348" spans="2:8" ht="15.6" x14ac:dyDescent="0.25">
      <c r="B348" s="258"/>
      <c r="C348" s="479" t="s">
        <v>645</v>
      </c>
      <c r="D348" s="477"/>
      <c r="E348" s="477"/>
      <c r="F348" s="477"/>
      <c r="G348" s="469" t="s">
        <v>41</v>
      </c>
      <c r="H348" s="254">
        <f>+H329+H335+H340+H346</f>
        <v>105991.38435600001</v>
      </c>
    </row>
    <row r="349" spans="2:8" ht="15.6" x14ac:dyDescent="0.25">
      <c r="B349" s="258"/>
      <c r="C349" s="479"/>
      <c r="D349" s="477"/>
      <c r="E349" s="477"/>
      <c r="F349" s="477"/>
      <c r="G349" s="255"/>
      <c r="H349" s="219"/>
    </row>
    <row r="350" spans="2:8" ht="15.6" x14ac:dyDescent="0.25">
      <c r="B350" s="258"/>
      <c r="C350" s="479"/>
      <c r="D350" s="477"/>
      <c r="E350" s="477"/>
      <c r="F350" s="477"/>
      <c r="G350" s="255"/>
      <c r="H350" s="219"/>
    </row>
    <row r="351" spans="2:8" ht="15.6" x14ac:dyDescent="0.25">
      <c r="B351" s="258"/>
      <c r="C351" s="475" t="s">
        <v>643</v>
      </c>
      <c r="D351" s="474"/>
      <c r="E351" s="477"/>
      <c r="F351" s="477"/>
      <c r="G351" s="255"/>
      <c r="H351" s="219"/>
    </row>
    <row r="352" spans="2:8" ht="15" x14ac:dyDescent="0.25">
      <c r="B352" s="262"/>
      <c r="C352" s="200" t="s">
        <v>590</v>
      </c>
      <c r="D352" s="474"/>
      <c r="E352" s="478"/>
      <c r="F352" s="478"/>
      <c r="G352" s="255"/>
      <c r="H352" s="219"/>
    </row>
    <row r="353" spans="2:8" ht="15" x14ac:dyDescent="0.25">
      <c r="B353" s="264"/>
      <c r="C353" s="261" t="s">
        <v>591</v>
      </c>
      <c r="D353" s="474"/>
      <c r="E353" s="478"/>
      <c r="F353" s="478"/>
      <c r="G353" s="255"/>
      <c r="H353" s="219"/>
    </row>
    <row r="354" spans="2:8" ht="15" x14ac:dyDescent="0.25">
      <c r="B354" s="265"/>
      <c r="C354" s="261" t="s">
        <v>644</v>
      </c>
      <c r="D354" s="474"/>
      <c r="E354" s="478"/>
      <c r="F354" s="478"/>
      <c r="G354" s="255"/>
      <c r="H354" s="219"/>
    </row>
    <row r="355" spans="2:8" x14ac:dyDescent="0.25">
      <c r="B355" s="267"/>
      <c r="C355" s="268"/>
      <c r="D355" s="259"/>
      <c r="E355" s="259"/>
      <c r="F355" s="259"/>
      <c r="G355" s="259"/>
      <c r="H355" s="260"/>
    </row>
    <row r="366" spans="2:8" ht="14.25" customHeight="1" x14ac:dyDescent="0.25">
      <c r="B366" s="609" t="s">
        <v>320</v>
      </c>
      <c r="C366" s="609"/>
      <c r="D366" s="609"/>
      <c r="E366" s="609"/>
      <c r="F366" s="609"/>
      <c r="G366" s="609"/>
      <c r="H366" s="609"/>
    </row>
    <row r="367" spans="2:8" ht="14.25" customHeight="1" x14ac:dyDescent="0.25">
      <c r="B367" s="569" t="str">
        <f>+PRESUPUESTO!B1</f>
        <v>MANTENIMIENTO Y ADECUACIÓN DE INSTITUCIONES EDUCATIVAS OFICIALES, DEL MUNICIPIO DE LA APARTADA CORDOBA.</v>
      </c>
      <c r="C367" s="570"/>
      <c r="D367" s="570"/>
      <c r="E367" s="570"/>
      <c r="F367" s="570"/>
      <c r="G367" s="570"/>
      <c r="H367" s="571"/>
    </row>
    <row r="368" spans="2:8" x14ac:dyDescent="0.25">
      <c r="B368" s="572"/>
      <c r="C368" s="573"/>
      <c r="D368" s="573"/>
      <c r="E368" s="573"/>
      <c r="F368" s="573"/>
      <c r="G368" s="573"/>
      <c r="H368" s="574"/>
    </row>
    <row r="369" spans="2:8" x14ac:dyDescent="0.25">
      <c r="B369" s="575"/>
      <c r="C369" s="576"/>
      <c r="D369" s="576"/>
      <c r="E369" s="576"/>
      <c r="F369" s="576"/>
      <c r="G369" s="576"/>
      <c r="H369" s="577"/>
    </row>
    <row r="370" spans="2:8" x14ac:dyDescent="0.25">
      <c r="B370" s="578" t="str">
        <f>+PRESUPUESTO!C12</f>
        <v>S/I DE SANITARIOS CERÁMICO BLANCO, INCLUYE TODOS SUS ACCESORIOS, HASTA SU CORRECTO FUNCIONAMINETO.</v>
      </c>
      <c r="C370" s="579"/>
      <c r="D370" s="579"/>
      <c r="E370" s="579"/>
      <c r="F370" s="580"/>
      <c r="G370" s="615" t="s">
        <v>595</v>
      </c>
      <c r="H370" s="616"/>
    </row>
    <row r="371" spans="2:8" x14ac:dyDescent="0.25">
      <c r="B371" s="581"/>
      <c r="C371" s="582"/>
      <c r="D371" s="582"/>
      <c r="E371" s="582"/>
      <c r="F371" s="583"/>
      <c r="G371" s="617"/>
      <c r="H371" s="618"/>
    </row>
    <row r="372" spans="2:8" x14ac:dyDescent="0.25">
      <c r="B372" s="584"/>
      <c r="C372" s="585"/>
      <c r="D372" s="585"/>
      <c r="E372" s="585"/>
      <c r="F372" s="586"/>
      <c r="G372" s="619"/>
      <c r="H372" s="620"/>
    </row>
    <row r="373" spans="2:8" x14ac:dyDescent="0.25">
      <c r="B373" s="518" t="s">
        <v>0</v>
      </c>
      <c r="C373" s="515">
        <f>+PRESUPUESTO!B12</f>
        <v>1.8</v>
      </c>
      <c r="D373" s="516"/>
      <c r="E373" s="516"/>
      <c r="F373" s="516"/>
      <c r="G373" s="516"/>
      <c r="H373" s="517"/>
    </row>
    <row r="374" spans="2:8" x14ac:dyDescent="0.25">
      <c r="B374" s="214" t="s">
        <v>19</v>
      </c>
      <c r="C374" s="26"/>
      <c r="D374" s="26"/>
      <c r="E374" s="26"/>
      <c r="F374" s="215"/>
      <c r="G374" s="26"/>
      <c r="H374" s="216"/>
    </row>
    <row r="375" spans="2:8" x14ac:dyDescent="0.25">
      <c r="B375" s="602" t="s">
        <v>20</v>
      </c>
      <c r="C375" s="602"/>
      <c r="D375" s="297" t="s">
        <v>21</v>
      </c>
      <c r="E375" s="297" t="s">
        <v>22</v>
      </c>
      <c r="F375" s="298" t="s">
        <v>23</v>
      </c>
      <c r="G375" s="299" t="s">
        <v>24</v>
      </c>
      <c r="H375" s="300" t="s">
        <v>482</v>
      </c>
    </row>
    <row r="376" spans="2:8" x14ac:dyDescent="0.25">
      <c r="B376" s="605" t="s">
        <v>8</v>
      </c>
      <c r="C376" s="605"/>
      <c r="D376" s="301"/>
      <c r="E376" s="302"/>
      <c r="F376" s="303">
        <v>0.1</v>
      </c>
      <c r="G376" s="287">
        <f>+H399</f>
        <v>96834.001466666668</v>
      </c>
      <c r="H376" s="304">
        <f>+F376*G376</f>
        <v>9683.4001466666668</v>
      </c>
    </row>
    <row r="377" spans="2:8" x14ac:dyDescent="0.25">
      <c r="B377" s="604"/>
      <c r="C377" s="595"/>
      <c r="D377" s="301"/>
      <c r="E377" s="302"/>
      <c r="F377" s="289"/>
      <c r="G377" s="287"/>
      <c r="H377" s="304"/>
    </row>
    <row r="378" spans="2:8" x14ac:dyDescent="0.25">
      <c r="B378" s="605"/>
      <c r="C378" s="605"/>
      <c r="D378" s="301"/>
      <c r="E378" s="302"/>
      <c r="F378" s="289"/>
      <c r="G378" s="287"/>
      <c r="H378" s="304"/>
    </row>
    <row r="379" spans="2:8" x14ac:dyDescent="0.25">
      <c r="B379" s="305"/>
      <c r="C379" s="266"/>
      <c r="D379" s="266"/>
      <c r="E379" s="266"/>
      <c r="F379" s="296"/>
      <c r="G379" s="306" t="s">
        <v>25</v>
      </c>
      <c r="H379" s="307">
        <f>SUM(H376:H378)</f>
        <v>9683.4001466666668</v>
      </c>
    </row>
    <row r="380" spans="2:8" x14ac:dyDescent="0.25">
      <c r="B380" s="214" t="s">
        <v>26</v>
      </c>
      <c r="C380" s="26"/>
      <c r="D380" s="26"/>
      <c r="E380" s="26"/>
      <c r="F380" s="435"/>
      <c r="G380" s="435"/>
      <c r="H380" s="436"/>
    </row>
    <row r="381" spans="2:8" x14ac:dyDescent="0.25">
      <c r="B381" s="602" t="s">
        <v>20</v>
      </c>
      <c r="C381" s="602"/>
      <c r="D381" s="297" t="s">
        <v>27</v>
      </c>
      <c r="E381" s="297" t="s">
        <v>28</v>
      </c>
      <c r="F381" s="298" t="s">
        <v>29</v>
      </c>
      <c r="G381" s="299" t="s">
        <v>24</v>
      </c>
      <c r="H381" s="310" t="s">
        <v>482</v>
      </c>
    </row>
    <row r="382" spans="2:8" x14ac:dyDescent="0.25">
      <c r="B382" s="606" t="s">
        <v>612</v>
      </c>
      <c r="C382" s="606"/>
      <c r="D382" s="271" t="s">
        <v>1</v>
      </c>
      <c r="E382" s="272">
        <v>379000</v>
      </c>
      <c r="F382" s="273">
        <v>1</v>
      </c>
      <c r="G382" s="274">
        <f>E382*F382</f>
        <v>379000</v>
      </c>
      <c r="H382" s="275">
        <f>G382</f>
        <v>379000</v>
      </c>
    </row>
    <row r="383" spans="2:8" x14ac:dyDescent="0.25">
      <c r="B383" s="610" t="s">
        <v>608</v>
      </c>
      <c r="C383" s="611"/>
      <c r="D383" s="271" t="s">
        <v>1</v>
      </c>
      <c r="E383" s="272">
        <v>55000</v>
      </c>
      <c r="F383" s="273">
        <v>1</v>
      </c>
      <c r="G383" s="274">
        <f>E383*F383</f>
        <v>55000</v>
      </c>
      <c r="H383" s="275">
        <f>G383</f>
        <v>55000</v>
      </c>
    </row>
    <row r="384" spans="2:8" x14ac:dyDescent="0.25">
      <c r="B384" s="610" t="s">
        <v>609</v>
      </c>
      <c r="C384" s="611"/>
      <c r="D384" s="271" t="s">
        <v>1</v>
      </c>
      <c r="E384" s="272">
        <v>15000</v>
      </c>
      <c r="F384" s="273">
        <v>1</v>
      </c>
      <c r="G384" s="274">
        <f>E384*F384</f>
        <v>15000</v>
      </c>
      <c r="H384" s="275">
        <f>G384</f>
        <v>15000</v>
      </c>
    </row>
    <row r="385" spans="2:8" x14ac:dyDescent="0.25">
      <c r="B385" s="610" t="s">
        <v>610</v>
      </c>
      <c r="C385" s="611"/>
      <c r="D385" s="271" t="s">
        <v>1</v>
      </c>
      <c r="E385" s="272">
        <v>18000</v>
      </c>
      <c r="F385" s="273">
        <v>0.25</v>
      </c>
      <c r="G385" s="274">
        <f>E385*F385</f>
        <v>4500</v>
      </c>
      <c r="H385" s="275">
        <f>G385</f>
        <v>4500</v>
      </c>
    </row>
    <row r="386" spans="2:8" x14ac:dyDescent="0.25">
      <c r="B386" s="613" t="s">
        <v>611</v>
      </c>
      <c r="C386" s="613"/>
      <c r="D386" s="271" t="s">
        <v>1</v>
      </c>
      <c r="E386" s="272">
        <v>22000</v>
      </c>
      <c r="F386" s="273">
        <v>1</v>
      </c>
      <c r="G386" s="274">
        <f>E386*F386</f>
        <v>22000</v>
      </c>
      <c r="H386" s="275">
        <f>G386</f>
        <v>22000</v>
      </c>
    </row>
    <row r="387" spans="2:8" x14ac:dyDescent="0.25">
      <c r="B387" s="612"/>
      <c r="C387" s="612"/>
      <c r="D387" s="285"/>
      <c r="E387" s="286"/>
      <c r="F387" s="289"/>
      <c r="G387" s="287"/>
      <c r="H387" s="288"/>
    </row>
    <row r="388" spans="2:8" x14ac:dyDescent="0.25">
      <c r="B388" s="217"/>
      <c r="C388" s="26"/>
      <c r="D388" s="26"/>
      <c r="E388" s="26"/>
      <c r="F388" s="435"/>
      <c r="G388" s="306" t="s">
        <v>25</v>
      </c>
      <c r="H388" s="312">
        <f>SUM(H382:H387)</f>
        <v>475500</v>
      </c>
    </row>
    <row r="389" spans="2:8" x14ac:dyDescent="0.25">
      <c r="B389" s="214" t="s">
        <v>30</v>
      </c>
      <c r="C389" s="26"/>
      <c r="D389" s="26"/>
      <c r="E389" s="26"/>
      <c r="F389" s="435"/>
      <c r="G389" s="435"/>
      <c r="H389" s="433"/>
    </row>
    <row r="390" spans="2:8" x14ac:dyDescent="0.25">
      <c r="B390" s="602" t="s">
        <v>20</v>
      </c>
      <c r="C390" s="602"/>
      <c r="D390" s="297" t="s">
        <v>21</v>
      </c>
      <c r="E390" s="297" t="s">
        <v>127</v>
      </c>
      <c r="F390" s="298" t="s">
        <v>32</v>
      </c>
      <c r="G390" s="297" t="s">
        <v>24</v>
      </c>
      <c r="H390" s="313" t="s">
        <v>481</v>
      </c>
    </row>
    <row r="391" spans="2:8" x14ac:dyDescent="0.25">
      <c r="B391" s="614" t="s">
        <v>614</v>
      </c>
      <c r="C391" s="614"/>
      <c r="D391" s="439" t="s">
        <v>600</v>
      </c>
      <c r="E391" s="440">
        <v>3</v>
      </c>
      <c r="F391" s="437">
        <v>5200</v>
      </c>
      <c r="G391" s="437">
        <f>+F391*E391</f>
        <v>15600</v>
      </c>
      <c r="H391" s="433">
        <f>+G391</f>
        <v>15600</v>
      </c>
    </row>
    <row r="392" spans="2:8" x14ac:dyDescent="0.25">
      <c r="B392" s="614"/>
      <c r="C392" s="614"/>
      <c r="D392" s="439"/>
      <c r="E392" s="441"/>
      <c r="F392" s="442"/>
      <c r="G392" s="441"/>
      <c r="H392" s="412"/>
    </row>
    <row r="393" spans="2:8" x14ac:dyDescent="0.25">
      <c r="B393" s="217"/>
      <c r="C393" s="26"/>
      <c r="D393" s="26"/>
      <c r="E393" s="26"/>
      <c r="F393" s="215"/>
      <c r="G393" s="434" t="s">
        <v>25</v>
      </c>
      <c r="H393" s="443">
        <f>SUM(H391:H392)</f>
        <v>15600</v>
      </c>
    </row>
    <row r="394" spans="2:8" x14ac:dyDescent="0.25">
      <c r="B394" s="214" t="s">
        <v>34</v>
      </c>
      <c r="C394" s="26"/>
      <c r="D394" s="26"/>
      <c r="E394" s="26"/>
      <c r="F394" s="215"/>
      <c r="G394" s="435"/>
      <c r="H394" s="218"/>
    </row>
    <row r="395" spans="2:8" x14ac:dyDescent="0.25">
      <c r="B395" s="444" t="s">
        <v>35</v>
      </c>
      <c r="C395" s="444" t="s">
        <v>29</v>
      </c>
      <c r="D395" s="444" t="s">
        <v>36</v>
      </c>
      <c r="E395" s="444" t="s">
        <v>37</v>
      </c>
      <c r="F395" s="445" t="s">
        <v>38</v>
      </c>
      <c r="G395" s="446" t="s">
        <v>23</v>
      </c>
      <c r="H395" s="447" t="s">
        <v>24</v>
      </c>
    </row>
    <row r="396" spans="2:8" x14ac:dyDescent="0.25">
      <c r="B396" s="288" t="s">
        <v>613</v>
      </c>
      <c r="C396" s="316">
        <v>1</v>
      </c>
      <c r="D396" s="325">
        <v>100000</v>
      </c>
      <c r="E396" s="326">
        <v>1.8344</v>
      </c>
      <c r="F396" s="327">
        <f>+D396*C396*E396</f>
        <v>183440</v>
      </c>
      <c r="G396" s="316">
        <v>3</v>
      </c>
      <c r="H396" s="274">
        <f>F396/G396</f>
        <v>61146.666666666664</v>
      </c>
    </row>
    <row r="397" spans="2:8" x14ac:dyDescent="0.25">
      <c r="B397" s="288" t="s">
        <v>496</v>
      </c>
      <c r="C397" s="316">
        <v>1</v>
      </c>
      <c r="D397" s="325">
        <f>+D294</f>
        <v>58363.5</v>
      </c>
      <c r="E397" s="326">
        <v>1.8344</v>
      </c>
      <c r="F397" s="327">
        <f>+D397*C397*E397</f>
        <v>107062.00440000001</v>
      </c>
      <c r="G397" s="316">
        <v>3</v>
      </c>
      <c r="H397" s="274">
        <f>+F397/G397</f>
        <v>35687.334800000004</v>
      </c>
    </row>
    <row r="398" spans="2:8" x14ac:dyDescent="0.25">
      <c r="B398" s="438"/>
      <c r="C398" s="438"/>
      <c r="D398" s="442"/>
      <c r="E398" s="438"/>
      <c r="F398" s="442"/>
      <c r="G398" s="438"/>
      <c r="H398" s="448"/>
    </row>
    <row r="399" spans="2:8" x14ac:dyDescent="0.25">
      <c r="B399" s="217"/>
      <c r="C399" s="26"/>
      <c r="D399" s="26"/>
      <c r="E399" s="26"/>
      <c r="F399" s="215"/>
      <c r="G399" s="306" t="s">
        <v>25</v>
      </c>
      <c r="H399" s="328">
        <f>+SUM(H396:H398)</f>
        <v>96834.001466666668</v>
      </c>
    </row>
    <row r="400" spans="2:8" x14ac:dyDescent="0.25">
      <c r="B400" s="217"/>
      <c r="C400" s="26"/>
      <c r="D400" s="26"/>
      <c r="E400" s="26"/>
      <c r="F400" s="215"/>
      <c r="G400" s="256"/>
      <c r="H400" s="218"/>
    </row>
    <row r="401" spans="2:8" ht="15.6" x14ac:dyDescent="0.25">
      <c r="B401" s="258"/>
      <c r="C401" s="479" t="s">
        <v>645</v>
      </c>
      <c r="D401" s="477"/>
      <c r="E401" s="477"/>
      <c r="F401" s="477"/>
      <c r="G401" s="469" t="s">
        <v>41</v>
      </c>
      <c r="H401" s="254">
        <f>+H379+H388+H393+H399</f>
        <v>597617.40161333338</v>
      </c>
    </row>
    <row r="402" spans="2:8" ht="15.6" x14ac:dyDescent="0.25">
      <c r="B402" s="258"/>
      <c r="C402" s="479"/>
      <c r="D402" s="477"/>
      <c r="E402" s="477"/>
      <c r="F402" s="477"/>
      <c r="G402" s="255"/>
      <c r="H402" s="219"/>
    </row>
    <row r="403" spans="2:8" ht="15.6" x14ac:dyDescent="0.25">
      <c r="B403" s="258"/>
      <c r="C403" s="479"/>
      <c r="D403" s="477"/>
      <c r="E403" s="477"/>
      <c r="F403" s="477"/>
      <c r="G403" s="255"/>
      <c r="H403" s="219"/>
    </row>
    <row r="404" spans="2:8" ht="15.6" x14ac:dyDescent="0.25">
      <c r="B404" s="258"/>
      <c r="C404" s="475" t="s">
        <v>643</v>
      </c>
      <c r="D404" s="474"/>
      <c r="E404" s="477"/>
      <c r="F404" s="477"/>
      <c r="G404" s="255"/>
      <c r="H404" s="219"/>
    </row>
    <row r="405" spans="2:8" ht="15" x14ac:dyDescent="0.25">
      <c r="B405" s="262"/>
      <c r="C405" s="200" t="s">
        <v>590</v>
      </c>
      <c r="D405" s="474"/>
      <c r="E405" s="478"/>
      <c r="F405" s="478"/>
      <c r="G405" s="255"/>
      <c r="H405" s="260"/>
    </row>
    <row r="406" spans="2:8" ht="15" x14ac:dyDescent="0.25">
      <c r="B406" s="264"/>
      <c r="C406" s="261" t="s">
        <v>591</v>
      </c>
      <c r="D406" s="474"/>
      <c r="E406" s="478"/>
      <c r="F406" s="478"/>
      <c r="G406" s="255"/>
      <c r="H406" s="471"/>
    </row>
    <row r="407" spans="2:8" ht="15" x14ac:dyDescent="0.25">
      <c r="B407" s="265"/>
      <c r="C407" s="261" t="s">
        <v>644</v>
      </c>
      <c r="D407" s="474"/>
      <c r="E407" s="478"/>
      <c r="F407" s="478"/>
      <c r="G407" s="255"/>
      <c r="H407" s="465"/>
    </row>
    <row r="408" spans="2:8" x14ac:dyDescent="0.25">
      <c r="B408" s="267"/>
      <c r="C408" s="268"/>
      <c r="D408" s="259"/>
      <c r="E408" s="259"/>
      <c r="F408" s="259"/>
      <c r="G408" s="259"/>
      <c r="H408" s="468"/>
    </row>
    <row r="417" spans="2:8" ht="14.25" customHeight="1" x14ac:dyDescent="0.25">
      <c r="B417" s="609" t="s">
        <v>320</v>
      </c>
      <c r="C417" s="609"/>
      <c r="D417" s="609"/>
      <c r="E417" s="609"/>
      <c r="F417" s="609"/>
      <c r="G417" s="609"/>
      <c r="H417" s="609"/>
    </row>
    <row r="418" spans="2:8" ht="14.25" customHeight="1" x14ac:dyDescent="0.25">
      <c r="B418" s="569" t="str">
        <f>+PRESUPUESTO!B1</f>
        <v>MANTENIMIENTO Y ADECUACIÓN DE INSTITUCIONES EDUCATIVAS OFICIALES, DEL MUNICIPIO DE LA APARTADA CORDOBA.</v>
      </c>
      <c r="C418" s="570"/>
      <c r="D418" s="570"/>
      <c r="E418" s="570"/>
      <c r="F418" s="570"/>
      <c r="G418" s="570"/>
      <c r="H418" s="571"/>
    </row>
    <row r="419" spans="2:8" x14ac:dyDescent="0.25">
      <c r="B419" s="572"/>
      <c r="C419" s="573"/>
      <c r="D419" s="573"/>
      <c r="E419" s="573"/>
      <c r="F419" s="573"/>
      <c r="G419" s="573"/>
      <c r="H419" s="574"/>
    </row>
    <row r="420" spans="2:8" x14ac:dyDescent="0.25">
      <c r="B420" s="575"/>
      <c r="C420" s="576"/>
      <c r="D420" s="576"/>
      <c r="E420" s="576"/>
      <c r="F420" s="576"/>
      <c r="G420" s="576"/>
      <c r="H420" s="577"/>
    </row>
    <row r="421" spans="2:8" x14ac:dyDescent="0.25">
      <c r="B421" s="578" t="str">
        <f>+PRESUPUESTO!C13</f>
        <v xml:space="preserve">S/I DE GRIFERIA PARA LAVAMANOS CERÁMICO BLANCO, INCLUYE TODOS SUS ACCESORIOS, HASTA SU CORRECTO FUNCIONAMIENTO. </v>
      </c>
      <c r="C421" s="579"/>
      <c r="D421" s="579"/>
      <c r="E421" s="579"/>
      <c r="F421" s="580"/>
      <c r="G421" s="587" t="s">
        <v>595</v>
      </c>
      <c r="H421" s="588"/>
    </row>
    <row r="422" spans="2:8" x14ac:dyDescent="0.25">
      <c r="B422" s="581"/>
      <c r="C422" s="582"/>
      <c r="D422" s="582"/>
      <c r="E422" s="582"/>
      <c r="F422" s="583"/>
      <c r="G422" s="589"/>
      <c r="H422" s="590"/>
    </row>
    <row r="423" spans="2:8" x14ac:dyDescent="0.25">
      <c r="B423" s="584"/>
      <c r="C423" s="585"/>
      <c r="D423" s="585"/>
      <c r="E423" s="585"/>
      <c r="F423" s="586"/>
      <c r="G423" s="591"/>
      <c r="H423" s="592"/>
    </row>
    <row r="424" spans="2:8" x14ac:dyDescent="0.25">
      <c r="B424" s="518" t="s">
        <v>0</v>
      </c>
      <c r="C424" s="515">
        <f>+PRESUPUESTO!B13</f>
        <v>1.9</v>
      </c>
      <c r="D424" s="516"/>
      <c r="E424" s="516"/>
      <c r="F424" s="516"/>
      <c r="G424" s="516"/>
      <c r="H424" s="517"/>
    </row>
    <row r="425" spans="2:8" x14ac:dyDescent="0.25">
      <c r="B425" s="214" t="s">
        <v>19</v>
      </c>
      <c r="C425" s="266"/>
      <c r="D425" s="266"/>
      <c r="E425" s="266"/>
      <c r="F425" s="296"/>
      <c r="G425" s="266"/>
      <c r="H425" s="216"/>
    </row>
    <row r="426" spans="2:8" x14ac:dyDescent="0.25">
      <c r="B426" s="602" t="s">
        <v>20</v>
      </c>
      <c r="C426" s="602"/>
      <c r="D426" s="297" t="s">
        <v>21</v>
      </c>
      <c r="E426" s="297" t="s">
        <v>22</v>
      </c>
      <c r="F426" s="298" t="s">
        <v>23</v>
      </c>
      <c r="G426" s="299" t="s">
        <v>24</v>
      </c>
      <c r="H426" s="300" t="s">
        <v>482</v>
      </c>
    </row>
    <row r="427" spans="2:8" x14ac:dyDescent="0.25">
      <c r="B427" s="605" t="s">
        <v>8</v>
      </c>
      <c r="C427" s="605"/>
      <c r="D427" s="301"/>
      <c r="E427" s="302"/>
      <c r="F427" s="303">
        <v>0.1</v>
      </c>
      <c r="G427" s="287">
        <f>+H449</f>
        <v>72625.501099999994</v>
      </c>
      <c r="H427" s="304">
        <f>+F427*G427</f>
        <v>7262.5501100000001</v>
      </c>
    </row>
    <row r="428" spans="2:8" x14ac:dyDescent="0.25">
      <c r="B428" s="604"/>
      <c r="C428" s="595"/>
      <c r="D428" s="301"/>
      <c r="E428" s="302"/>
      <c r="F428" s="289"/>
      <c r="G428" s="287"/>
      <c r="H428" s="304"/>
    </row>
    <row r="429" spans="2:8" x14ac:dyDescent="0.25">
      <c r="B429" s="605"/>
      <c r="C429" s="605"/>
      <c r="D429" s="301"/>
      <c r="E429" s="302"/>
      <c r="F429" s="289"/>
      <c r="G429" s="287"/>
      <c r="H429" s="304"/>
    </row>
    <row r="430" spans="2:8" x14ac:dyDescent="0.25">
      <c r="B430" s="305"/>
      <c r="C430" s="266"/>
      <c r="D430" s="266"/>
      <c r="E430" s="266"/>
      <c r="F430" s="296"/>
      <c r="G430" s="306" t="s">
        <v>25</v>
      </c>
      <c r="H430" s="307">
        <f>SUM(H427:H429)</f>
        <v>7262.5501100000001</v>
      </c>
    </row>
    <row r="431" spans="2:8" x14ac:dyDescent="0.25">
      <c r="B431" s="214" t="s">
        <v>26</v>
      </c>
      <c r="C431" s="266"/>
      <c r="D431" s="266"/>
      <c r="E431" s="266"/>
      <c r="F431" s="308"/>
      <c r="G431" s="308"/>
      <c r="H431" s="309"/>
    </row>
    <row r="432" spans="2:8" x14ac:dyDescent="0.25">
      <c r="B432" s="602" t="s">
        <v>20</v>
      </c>
      <c r="C432" s="602"/>
      <c r="D432" s="297" t="s">
        <v>27</v>
      </c>
      <c r="E432" s="297" t="s">
        <v>28</v>
      </c>
      <c r="F432" s="298" t="s">
        <v>29</v>
      </c>
      <c r="G432" s="299" t="s">
        <v>24</v>
      </c>
      <c r="H432" s="310" t="s">
        <v>482</v>
      </c>
    </row>
    <row r="433" spans="2:8" x14ac:dyDescent="0.25">
      <c r="B433" s="606" t="s">
        <v>615</v>
      </c>
      <c r="C433" s="606"/>
      <c r="D433" s="271" t="s">
        <v>72</v>
      </c>
      <c r="E433" s="272">
        <v>89900</v>
      </c>
      <c r="F433" s="273">
        <v>1</v>
      </c>
      <c r="G433" s="274">
        <f>E433*F433</f>
        <v>89900</v>
      </c>
      <c r="H433" s="275">
        <f>G433</f>
        <v>89900</v>
      </c>
    </row>
    <row r="434" spans="2:8" x14ac:dyDescent="0.25">
      <c r="B434" s="408" t="s">
        <v>616</v>
      </c>
      <c r="C434" s="409"/>
      <c r="D434" s="271" t="s">
        <v>72</v>
      </c>
      <c r="E434" s="272">
        <v>12000</v>
      </c>
      <c r="F434" s="273">
        <v>2</v>
      </c>
      <c r="G434" s="274">
        <f>E434*F434</f>
        <v>24000</v>
      </c>
      <c r="H434" s="275">
        <f>G434</f>
        <v>24000</v>
      </c>
    </row>
    <row r="435" spans="2:8" x14ac:dyDescent="0.25">
      <c r="B435" s="607" t="s">
        <v>617</v>
      </c>
      <c r="C435" s="608"/>
      <c r="D435" s="271" t="s">
        <v>72</v>
      </c>
      <c r="E435" s="272">
        <v>17800</v>
      </c>
      <c r="F435" s="273">
        <v>2</v>
      </c>
      <c r="G435" s="274">
        <f>E435*F435</f>
        <v>35600</v>
      </c>
      <c r="H435" s="275">
        <f>G435</f>
        <v>35600</v>
      </c>
    </row>
    <row r="436" spans="2:8" x14ac:dyDescent="0.25">
      <c r="B436" s="595" t="s">
        <v>618</v>
      </c>
      <c r="C436" s="595"/>
      <c r="D436" s="271" t="s">
        <v>72</v>
      </c>
      <c r="E436" s="272">
        <v>2000</v>
      </c>
      <c r="F436" s="273">
        <v>0.2</v>
      </c>
      <c r="G436" s="274">
        <f>E436*F436</f>
        <v>400</v>
      </c>
      <c r="H436" s="275">
        <f>G436</f>
        <v>400</v>
      </c>
    </row>
    <row r="437" spans="2:8" x14ac:dyDescent="0.25">
      <c r="B437" s="595" t="s">
        <v>502</v>
      </c>
      <c r="C437" s="595"/>
      <c r="D437" s="285" t="s">
        <v>72</v>
      </c>
      <c r="E437" s="286">
        <v>18000</v>
      </c>
      <c r="F437" s="289">
        <v>0.25</v>
      </c>
      <c r="G437" s="287">
        <f>E437*F437</f>
        <v>4500</v>
      </c>
      <c r="H437" s="288">
        <f>G437</f>
        <v>4500</v>
      </c>
    </row>
    <row r="438" spans="2:8" x14ac:dyDescent="0.25">
      <c r="B438" s="305"/>
      <c r="C438" s="266"/>
      <c r="D438" s="266"/>
      <c r="E438" s="266"/>
      <c r="F438" s="308"/>
      <c r="G438" s="306" t="s">
        <v>25</v>
      </c>
      <c r="H438" s="312">
        <f>SUM(H433:H437)</f>
        <v>154400</v>
      </c>
    </row>
    <row r="439" spans="2:8" x14ac:dyDescent="0.25">
      <c r="B439" s="214" t="s">
        <v>30</v>
      </c>
      <c r="C439" s="266"/>
      <c r="D439" s="266"/>
      <c r="E439" s="266"/>
      <c r="F439" s="308"/>
      <c r="G439" s="308"/>
      <c r="H439" s="304"/>
    </row>
    <row r="440" spans="2:8" x14ac:dyDescent="0.25">
      <c r="B440" s="602" t="s">
        <v>20</v>
      </c>
      <c r="C440" s="602"/>
      <c r="D440" s="297" t="s">
        <v>21</v>
      </c>
      <c r="E440" s="297" t="s">
        <v>127</v>
      </c>
      <c r="F440" s="298" t="s">
        <v>32</v>
      </c>
      <c r="G440" s="297" t="s">
        <v>24</v>
      </c>
      <c r="H440" s="313" t="s">
        <v>481</v>
      </c>
    </row>
    <row r="441" spans="2:8" x14ac:dyDescent="0.25">
      <c r="B441" s="603"/>
      <c r="C441" s="603"/>
      <c r="D441" s="314"/>
      <c r="E441" s="315"/>
      <c r="F441" s="274"/>
      <c r="G441" s="274"/>
      <c r="H441" s="304"/>
    </row>
    <row r="442" spans="2:8" x14ac:dyDescent="0.25">
      <c r="B442" s="603"/>
      <c r="C442" s="603"/>
      <c r="D442" s="314"/>
      <c r="E442" s="316"/>
      <c r="F442" s="317"/>
      <c r="G442" s="316"/>
      <c r="H442" s="318"/>
    </row>
    <row r="443" spans="2:8" x14ac:dyDescent="0.25">
      <c r="B443" s="305"/>
      <c r="C443" s="266"/>
      <c r="D443" s="266"/>
      <c r="E443" s="266"/>
      <c r="F443" s="296"/>
      <c r="G443" s="306" t="s">
        <v>25</v>
      </c>
      <c r="H443" s="319">
        <f>SUM(H441:H442)</f>
        <v>0</v>
      </c>
    </row>
    <row r="444" spans="2:8" x14ac:dyDescent="0.25">
      <c r="B444" s="214" t="s">
        <v>34</v>
      </c>
      <c r="C444" s="266"/>
      <c r="D444" s="266"/>
      <c r="E444" s="266"/>
      <c r="F444" s="296"/>
      <c r="G444" s="308"/>
      <c r="H444" s="320"/>
    </row>
    <row r="445" spans="2:8" x14ac:dyDescent="0.25">
      <c r="B445" s="321" t="s">
        <v>35</v>
      </c>
      <c r="C445" s="321" t="s">
        <v>29</v>
      </c>
      <c r="D445" s="321" t="s">
        <v>36</v>
      </c>
      <c r="E445" s="321" t="s">
        <v>37</v>
      </c>
      <c r="F445" s="322" t="s">
        <v>38</v>
      </c>
      <c r="G445" s="323" t="s">
        <v>23</v>
      </c>
      <c r="H445" s="324" t="s">
        <v>24</v>
      </c>
    </row>
    <row r="446" spans="2:8" x14ac:dyDescent="0.25">
      <c r="B446" s="288" t="s">
        <v>619</v>
      </c>
      <c r="C446" s="316">
        <v>1</v>
      </c>
      <c r="D446" s="325">
        <v>100000</v>
      </c>
      <c r="E446" s="326">
        <v>1.8344</v>
      </c>
      <c r="F446" s="327">
        <f>+D446*C446*E446</f>
        <v>183440</v>
      </c>
      <c r="G446" s="316">
        <v>4</v>
      </c>
      <c r="H446" s="274">
        <f>F446/G446</f>
        <v>45860</v>
      </c>
    </row>
    <row r="447" spans="2:8" x14ac:dyDescent="0.25">
      <c r="B447" s="288" t="s">
        <v>496</v>
      </c>
      <c r="C447" s="316">
        <v>1</v>
      </c>
      <c r="D447" s="325">
        <f>+D344</f>
        <v>58363.5</v>
      </c>
      <c r="E447" s="326">
        <v>1.8344</v>
      </c>
      <c r="F447" s="327">
        <f>+D447*C447*E447</f>
        <v>107062.00440000001</v>
      </c>
      <c r="G447" s="316">
        <v>4</v>
      </c>
      <c r="H447" s="274">
        <f>+F447/G447</f>
        <v>26765.501100000001</v>
      </c>
    </row>
    <row r="448" spans="2:8" x14ac:dyDescent="0.25">
      <c r="B448" s="288"/>
      <c r="C448" s="288"/>
      <c r="D448" s="317"/>
      <c r="E448" s="288"/>
      <c r="F448" s="317"/>
      <c r="G448" s="288"/>
      <c r="H448" s="327"/>
    </row>
    <row r="449" spans="2:10" x14ac:dyDescent="0.25">
      <c r="B449" s="305"/>
      <c r="C449" s="266"/>
      <c r="D449" s="266"/>
      <c r="E449" s="266"/>
      <c r="F449" s="296"/>
      <c r="G449" s="306" t="s">
        <v>25</v>
      </c>
      <c r="H449" s="328">
        <f>+SUM(H446:H448)</f>
        <v>72625.501099999994</v>
      </c>
    </row>
    <row r="450" spans="2:10" x14ac:dyDescent="0.25">
      <c r="B450" s="305"/>
      <c r="C450" s="266"/>
      <c r="D450" s="266"/>
      <c r="E450" s="266"/>
      <c r="F450" s="296"/>
      <c r="G450" s="449"/>
      <c r="H450" s="320"/>
    </row>
    <row r="451" spans="2:10" ht="15.6" x14ac:dyDescent="0.25">
      <c r="B451" s="258"/>
      <c r="C451" s="479" t="s">
        <v>645</v>
      </c>
      <c r="D451" s="477"/>
      <c r="E451" s="477"/>
      <c r="F451" s="477"/>
      <c r="G451" s="469" t="s">
        <v>41</v>
      </c>
      <c r="H451" s="254">
        <f>+H430+H438+H443+H449</f>
        <v>234288.05121000001</v>
      </c>
    </row>
    <row r="452" spans="2:10" ht="15.6" x14ac:dyDescent="0.25">
      <c r="B452" s="258"/>
      <c r="C452" s="479"/>
      <c r="D452" s="477"/>
      <c r="E452" s="477"/>
      <c r="F452" s="477"/>
      <c r="G452" s="255"/>
      <c r="H452" s="219"/>
    </row>
    <row r="453" spans="2:10" ht="15.6" x14ac:dyDescent="0.25">
      <c r="B453" s="258"/>
      <c r="C453" s="479"/>
      <c r="D453" s="477"/>
      <c r="E453" s="477"/>
      <c r="F453" s="477"/>
      <c r="G453" s="255"/>
      <c r="H453" s="219"/>
      <c r="J453" s="257" t="s">
        <v>497</v>
      </c>
    </row>
    <row r="454" spans="2:10" ht="15.6" x14ac:dyDescent="0.25">
      <c r="B454" s="258"/>
      <c r="C454" s="475" t="s">
        <v>643</v>
      </c>
      <c r="D454" s="474"/>
      <c r="E454" s="477"/>
      <c r="F454" s="477"/>
      <c r="G454" s="255"/>
      <c r="H454" s="219"/>
    </row>
    <row r="455" spans="2:10" ht="15" x14ac:dyDescent="0.25">
      <c r="B455" s="262"/>
      <c r="C455" s="200" t="s">
        <v>590</v>
      </c>
      <c r="D455" s="474"/>
      <c r="E455" s="478"/>
      <c r="F455" s="478"/>
      <c r="G455" s="255"/>
      <c r="H455" s="219"/>
    </row>
    <row r="456" spans="2:10" ht="15" x14ac:dyDescent="0.25">
      <c r="B456" s="264"/>
      <c r="C456" s="261" t="s">
        <v>591</v>
      </c>
      <c r="D456" s="474"/>
      <c r="E456" s="478"/>
      <c r="F456" s="478"/>
      <c r="G456" s="255"/>
      <c r="H456" s="260"/>
    </row>
    <row r="457" spans="2:10" ht="15" x14ac:dyDescent="0.25">
      <c r="B457" s="265"/>
      <c r="C457" s="261" t="s">
        <v>644</v>
      </c>
      <c r="D457" s="474"/>
      <c r="E457" s="478"/>
      <c r="F457" s="478"/>
      <c r="G457" s="255"/>
      <c r="H457" s="471"/>
    </row>
    <row r="458" spans="2:10" x14ac:dyDescent="0.25">
      <c r="B458" s="267"/>
      <c r="C458" s="268"/>
      <c r="D458" s="259"/>
      <c r="E458" s="259"/>
      <c r="F458" s="259"/>
      <c r="G458" s="259"/>
      <c r="H458" s="468"/>
    </row>
    <row r="470" spans="2:8" ht="14.25" customHeight="1" x14ac:dyDescent="0.25">
      <c r="B470" s="609" t="s">
        <v>320</v>
      </c>
      <c r="C470" s="609"/>
      <c r="D470" s="609"/>
      <c r="E470" s="609"/>
      <c r="F470" s="609"/>
      <c r="G470" s="609"/>
      <c r="H470" s="609"/>
    </row>
    <row r="471" spans="2:8" ht="14.25" customHeight="1" x14ac:dyDescent="0.25">
      <c r="B471" s="569" t="str">
        <f>+PRESUPUESTO!B1</f>
        <v>MANTENIMIENTO Y ADECUACIÓN DE INSTITUCIONES EDUCATIVAS OFICIALES, DEL MUNICIPIO DE LA APARTADA CORDOBA.</v>
      </c>
      <c r="C471" s="570"/>
      <c r="D471" s="570"/>
      <c r="E471" s="570"/>
      <c r="F471" s="570"/>
      <c r="G471" s="570"/>
      <c r="H471" s="571"/>
    </row>
    <row r="472" spans="2:8" x14ac:dyDescent="0.25">
      <c r="B472" s="572"/>
      <c r="C472" s="573"/>
      <c r="D472" s="573"/>
      <c r="E472" s="573"/>
      <c r="F472" s="573"/>
      <c r="G472" s="573"/>
      <c r="H472" s="574"/>
    </row>
    <row r="473" spans="2:8" x14ac:dyDescent="0.25">
      <c r="B473" s="575"/>
      <c r="C473" s="576"/>
      <c r="D473" s="576"/>
      <c r="E473" s="576"/>
      <c r="F473" s="576"/>
      <c r="G473" s="576"/>
      <c r="H473" s="577"/>
    </row>
    <row r="474" spans="2:8" x14ac:dyDescent="0.25">
      <c r="B474" s="578" t="str">
        <f>+PRESUPUESTO!C14</f>
        <v>S/I DE ORINALES CERÁMICO BLANCO, INLCUYE TODOS SUS ACCESORIOS, HASTA SU CORRECTO FUNCIONAMIENTO.</v>
      </c>
      <c r="C474" s="579"/>
      <c r="D474" s="579"/>
      <c r="E474" s="579"/>
      <c r="F474" s="580"/>
      <c r="G474" s="587" t="s">
        <v>595</v>
      </c>
      <c r="H474" s="588"/>
    </row>
    <row r="475" spans="2:8" x14ac:dyDescent="0.25">
      <c r="B475" s="581"/>
      <c r="C475" s="582"/>
      <c r="D475" s="582"/>
      <c r="E475" s="582"/>
      <c r="F475" s="583"/>
      <c r="G475" s="589"/>
      <c r="H475" s="590"/>
    </row>
    <row r="476" spans="2:8" x14ac:dyDescent="0.25">
      <c r="B476" s="584"/>
      <c r="C476" s="585"/>
      <c r="D476" s="585"/>
      <c r="E476" s="585"/>
      <c r="F476" s="586"/>
      <c r="G476" s="591"/>
      <c r="H476" s="592"/>
    </row>
    <row r="477" spans="2:8" x14ac:dyDescent="0.25">
      <c r="B477" s="518" t="s">
        <v>0</v>
      </c>
      <c r="C477" s="515" t="str">
        <f>+PRESUPUESTO!B14</f>
        <v>1.10</v>
      </c>
      <c r="D477" s="516"/>
      <c r="E477" s="516"/>
      <c r="F477" s="516"/>
      <c r="G477" s="516"/>
      <c r="H477" s="517"/>
    </row>
    <row r="478" spans="2:8" x14ac:dyDescent="0.25">
      <c r="B478" s="214" t="s">
        <v>19</v>
      </c>
      <c r="C478" s="266"/>
      <c r="D478" s="266"/>
      <c r="E478" s="266"/>
      <c r="F478" s="296"/>
      <c r="G478" s="266"/>
      <c r="H478" s="216"/>
    </row>
    <row r="479" spans="2:8" x14ac:dyDescent="0.25">
      <c r="B479" s="602" t="s">
        <v>20</v>
      </c>
      <c r="C479" s="602"/>
      <c r="D479" s="297" t="s">
        <v>21</v>
      </c>
      <c r="E479" s="297" t="s">
        <v>22</v>
      </c>
      <c r="F479" s="298" t="s">
        <v>23</v>
      </c>
      <c r="G479" s="299" t="s">
        <v>24</v>
      </c>
      <c r="H479" s="300" t="s">
        <v>482</v>
      </c>
    </row>
    <row r="480" spans="2:8" x14ac:dyDescent="0.25">
      <c r="B480" s="605" t="s">
        <v>8</v>
      </c>
      <c r="C480" s="605"/>
      <c r="D480" s="301"/>
      <c r="E480" s="302"/>
      <c r="F480" s="303">
        <v>0.1</v>
      </c>
      <c r="G480" s="287">
        <f>+H502</f>
        <v>96834.001466666668</v>
      </c>
      <c r="H480" s="304">
        <f>+F480*G480</f>
        <v>9683.4001466666668</v>
      </c>
    </row>
    <row r="481" spans="2:10" x14ac:dyDescent="0.25">
      <c r="B481" s="604"/>
      <c r="C481" s="595"/>
      <c r="D481" s="301"/>
      <c r="E481" s="302"/>
      <c r="F481" s="289"/>
      <c r="G481" s="287"/>
      <c r="H481" s="304"/>
    </row>
    <row r="482" spans="2:10" x14ac:dyDescent="0.25">
      <c r="B482" s="605"/>
      <c r="C482" s="605"/>
      <c r="D482" s="301"/>
      <c r="E482" s="302"/>
      <c r="F482" s="289"/>
      <c r="G482" s="287"/>
      <c r="H482" s="304"/>
    </row>
    <row r="483" spans="2:10" x14ac:dyDescent="0.25">
      <c r="B483" s="305"/>
      <c r="C483" s="266"/>
      <c r="D483" s="266"/>
      <c r="E483" s="266"/>
      <c r="F483" s="296"/>
      <c r="G483" s="306" t="s">
        <v>25</v>
      </c>
      <c r="H483" s="307">
        <f>SUM(H480:H482)</f>
        <v>9683.4001466666668</v>
      </c>
    </row>
    <row r="484" spans="2:10" x14ac:dyDescent="0.25">
      <c r="B484" s="214" t="s">
        <v>26</v>
      </c>
      <c r="C484" s="266"/>
      <c r="D484" s="266"/>
      <c r="E484" s="266"/>
      <c r="F484" s="308"/>
      <c r="G484" s="308"/>
      <c r="H484" s="309"/>
    </row>
    <row r="485" spans="2:10" x14ac:dyDescent="0.25">
      <c r="B485" s="602" t="s">
        <v>20</v>
      </c>
      <c r="C485" s="602"/>
      <c r="D485" s="297" t="s">
        <v>27</v>
      </c>
      <c r="E485" s="297" t="s">
        <v>28</v>
      </c>
      <c r="F485" s="298" t="s">
        <v>29</v>
      </c>
      <c r="G485" s="299" t="s">
        <v>24</v>
      </c>
      <c r="H485" s="310" t="s">
        <v>482</v>
      </c>
    </row>
    <row r="486" spans="2:10" ht="37.5" customHeight="1" x14ac:dyDescent="0.25">
      <c r="B486" s="628" t="s">
        <v>620</v>
      </c>
      <c r="C486" s="628"/>
      <c r="D486" s="285" t="s">
        <v>72</v>
      </c>
      <c r="E486" s="311">
        <f>333900*116%</f>
        <v>387324</v>
      </c>
      <c r="F486" s="289">
        <v>1</v>
      </c>
      <c r="G486" s="287">
        <f>+E486*F486</f>
        <v>387324</v>
      </c>
      <c r="H486" s="450">
        <f>+G486</f>
        <v>387324</v>
      </c>
    </row>
    <row r="487" spans="2:10" x14ac:dyDescent="0.25">
      <c r="B487" s="606" t="s">
        <v>621</v>
      </c>
      <c r="C487" s="606"/>
      <c r="D487" s="271" t="s">
        <v>72</v>
      </c>
      <c r="E487" s="272">
        <v>3000</v>
      </c>
      <c r="F487" s="273">
        <v>1</v>
      </c>
      <c r="G487" s="287">
        <f t="shared" ref="G487:G490" si="0">+E487*F487</f>
        <v>3000</v>
      </c>
      <c r="H487" s="450">
        <f t="shared" ref="H487:H490" si="1">+G487</f>
        <v>3000</v>
      </c>
    </row>
    <row r="488" spans="2:10" x14ac:dyDescent="0.25">
      <c r="B488" s="606" t="s">
        <v>622</v>
      </c>
      <c r="C488" s="606"/>
      <c r="D488" s="271" t="s">
        <v>44</v>
      </c>
      <c r="E488" s="272">
        <v>3700</v>
      </c>
      <c r="F488" s="273">
        <v>1</v>
      </c>
      <c r="G488" s="287">
        <f t="shared" si="0"/>
        <v>3700</v>
      </c>
      <c r="H488" s="450">
        <f t="shared" si="1"/>
        <v>3700</v>
      </c>
    </row>
    <row r="489" spans="2:10" x14ac:dyDescent="0.25">
      <c r="B489" s="606" t="s">
        <v>623</v>
      </c>
      <c r="C489" s="606"/>
      <c r="D489" s="271" t="s">
        <v>4</v>
      </c>
      <c r="E489" s="272">
        <v>90000</v>
      </c>
      <c r="F489" s="273">
        <v>0.05</v>
      </c>
      <c r="G489" s="287">
        <f t="shared" si="0"/>
        <v>4500</v>
      </c>
      <c r="H489" s="450">
        <f t="shared" si="1"/>
        <v>4500</v>
      </c>
      <c r="J489" s="257" t="s">
        <v>497</v>
      </c>
    </row>
    <row r="490" spans="2:10" x14ac:dyDescent="0.25">
      <c r="B490" s="606" t="s">
        <v>624</v>
      </c>
      <c r="C490" s="606"/>
      <c r="D490" s="285" t="s">
        <v>499</v>
      </c>
      <c r="E490" s="286">
        <v>100</v>
      </c>
      <c r="F490" s="289">
        <v>12</v>
      </c>
      <c r="G490" s="287">
        <f t="shared" si="0"/>
        <v>1200</v>
      </c>
      <c r="H490" s="288">
        <f t="shared" si="1"/>
        <v>1200</v>
      </c>
    </row>
    <row r="491" spans="2:10" x14ac:dyDescent="0.25">
      <c r="B491" s="305"/>
      <c r="C491" s="266"/>
      <c r="D491" s="266"/>
      <c r="E491" s="266"/>
      <c r="F491" s="308"/>
      <c r="G491" s="306" t="s">
        <v>25</v>
      </c>
      <c r="H491" s="312">
        <f>SUM(H486:H490)</f>
        <v>399724</v>
      </c>
    </row>
    <row r="492" spans="2:10" x14ac:dyDescent="0.25">
      <c r="B492" s="214" t="s">
        <v>30</v>
      </c>
      <c r="C492" s="266"/>
      <c r="D492" s="266"/>
      <c r="E492" s="266"/>
      <c r="F492" s="308"/>
      <c r="G492" s="308"/>
      <c r="H492" s="304"/>
    </row>
    <row r="493" spans="2:10" x14ac:dyDescent="0.25">
      <c r="B493" s="602" t="s">
        <v>20</v>
      </c>
      <c r="C493" s="602"/>
      <c r="D493" s="297" t="s">
        <v>21</v>
      </c>
      <c r="E493" s="297" t="s">
        <v>127</v>
      </c>
      <c r="F493" s="298" t="s">
        <v>32</v>
      </c>
      <c r="G493" s="297" t="s">
        <v>24</v>
      </c>
      <c r="H493" s="313" t="s">
        <v>481</v>
      </c>
    </row>
    <row r="494" spans="2:10" x14ac:dyDescent="0.25">
      <c r="B494" s="603" t="s">
        <v>625</v>
      </c>
      <c r="C494" s="603"/>
      <c r="D494" s="314" t="s">
        <v>600</v>
      </c>
      <c r="E494" s="315">
        <v>3</v>
      </c>
      <c r="F494" s="274">
        <v>5200</v>
      </c>
      <c r="G494" s="274">
        <f>+E494*F494</f>
        <v>15600</v>
      </c>
      <c r="H494" s="304">
        <f>+G494</f>
        <v>15600</v>
      </c>
    </row>
    <row r="495" spans="2:10" x14ac:dyDescent="0.25">
      <c r="B495" s="603"/>
      <c r="C495" s="603"/>
      <c r="D495" s="314"/>
      <c r="E495" s="316"/>
      <c r="F495" s="317"/>
      <c r="G495" s="316"/>
      <c r="H495" s="318"/>
    </row>
    <row r="496" spans="2:10" x14ac:dyDescent="0.25">
      <c r="B496" s="305"/>
      <c r="C496" s="266"/>
      <c r="D496" s="266"/>
      <c r="E496" s="266"/>
      <c r="F496" s="296"/>
      <c r="G496" s="306" t="s">
        <v>25</v>
      </c>
      <c r="H496" s="319">
        <f>SUM(H494:H495)</f>
        <v>15600</v>
      </c>
    </row>
    <row r="497" spans="2:8" x14ac:dyDescent="0.25">
      <c r="B497" s="214" t="s">
        <v>34</v>
      </c>
      <c r="C497" s="266"/>
      <c r="D497" s="266"/>
      <c r="E497" s="266"/>
      <c r="F497" s="296"/>
      <c r="G497" s="308"/>
      <c r="H497" s="320"/>
    </row>
    <row r="498" spans="2:8" x14ac:dyDescent="0.25">
      <c r="B498" s="321" t="s">
        <v>35</v>
      </c>
      <c r="C498" s="321" t="s">
        <v>29</v>
      </c>
      <c r="D498" s="321" t="s">
        <v>36</v>
      </c>
      <c r="E498" s="321" t="s">
        <v>37</v>
      </c>
      <c r="F498" s="322" t="s">
        <v>38</v>
      </c>
      <c r="G498" s="323" t="s">
        <v>23</v>
      </c>
      <c r="H498" s="324" t="s">
        <v>24</v>
      </c>
    </row>
    <row r="499" spans="2:8" x14ac:dyDescent="0.25">
      <c r="B499" s="288" t="s">
        <v>619</v>
      </c>
      <c r="C499" s="316">
        <v>1</v>
      </c>
      <c r="D499" s="325">
        <v>100000</v>
      </c>
      <c r="E499" s="326">
        <v>1.8344</v>
      </c>
      <c r="F499" s="327">
        <f>+D499*C499*E499</f>
        <v>183440</v>
      </c>
      <c r="G499" s="316">
        <v>3</v>
      </c>
      <c r="H499" s="274">
        <f>F499/G499</f>
        <v>61146.666666666664</v>
      </c>
    </row>
    <row r="500" spans="2:8" x14ac:dyDescent="0.25">
      <c r="B500" s="288" t="s">
        <v>496</v>
      </c>
      <c r="C500" s="316">
        <v>1</v>
      </c>
      <c r="D500" s="325">
        <f>+D397</f>
        <v>58363.5</v>
      </c>
      <c r="E500" s="326">
        <v>1.8344</v>
      </c>
      <c r="F500" s="327">
        <f>+D500*C500*E500</f>
        <v>107062.00440000001</v>
      </c>
      <c r="G500" s="316">
        <v>3</v>
      </c>
      <c r="H500" s="274">
        <f>+F500/G500</f>
        <v>35687.334800000004</v>
      </c>
    </row>
    <row r="501" spans="2:8" x14ac:dyDescent="0.25">
      <c r="B501" s="288"/>
      <c r="C501" s="288"/>
      <c r="D501" s="317"/>
      <c r="E501" s="288"/>
      <c r="F501" s="317"/>
      <c r="G501" s="288"/>
      <c r="H501" s="327"/>
    </row>
    <row r="502" spans="2:8" x14ac:dyDescent="0.25">
      <c r="B502" s="305"/>
      <c r="C502" s="266"/>
      <c r="D502" s="266"/>
      <c r="E502" s="266"/>
      <c r="F502" s="296"/>
      <c r="G502" s="306" t="s">
        <v>25</v>
      </c>
      <c r="H502" s="328">
        <f>+SUM(H499:H501)</f>
        <v>96834.001466666668</v>
      </c>
    </row>
    <row r="503" spans="2:8" x14ac:dyDescent="0.25">
      <c r="B503" s="305"/>
      <c r="C503" s="266"/>
      <c r="D503" s="266"/>
      <c r="E503" s="266"/>
      <c r="F503" s="296"/>
      <c r="G503" s="449"/>
      <c r="H503" s="320"/>
    </row>
    <row r="504" spans="2:8" ht="15.6" x14ac:dyDescent="0.25">
      <c r="B504" s="258"/>
      <c r="C504" s="479" t="s">
        <v>645</v>
      </c>
      <c r="D504" s="477"/>
      <c r="E504" s="477"/>
      <c r="F504" s="477"/>
      <c r="G504" s="469" t="s">
        <v>41</v>
      </c>
      <c r="H504" s="254">
        <f>+H483+H491+H496+H502</f>
        <v>521841.40161333338</v>
      </c>
    </row>
    <row r="505" spans="2:8" ht="15.6" x14ac:dyDescent="0.25">
      <c r="B505" s="258"/>
      <c r="C505" s="479"/>
      <c r="D505" s="477"/>
      <c r="E505" s="477"/>
      <c r="F505" s="477"/>
      <c r="G505" s="255"/>
      <c r="H505" s="219"/>
    </row>
    <row r="506" spans="2:8" ht="15.6" x14ac:dyDescent="0.25">
      <c r="B506" s="258"/>
      <c r="C506" s="479"/>
      <c r="D506" s="477"/>
      <c r="E506" s="477"/>
      <c r="F506" s="477"/>
      <c r="G506" s="255"/>
      <c r="H506" s="219"/>
    </row>
    <row r="507" spans="2:8" ht="15.6" x14ac:dyDescent="0.25">
      <c r="B507" s="258"/>
      <c r="C507" s="475" t="s">
        <v>643</v>
      </c>
      <c r="D507" s="474"/>
      <c r="E507" s="477"/>
      <c r="F507" s="477"/>
      <c r="G507" s="255"/>
      <c r="H507" s="219"/>
    </row>
    <row r="508" spans="2:8" ht="15" x14ac:dyDescent="0.25">
      <c r="B508" s="262"/>
      <c r="C508" s="200" t="s">
        <v>590</v>
      </c>
      <c r="D508" s="474"/>
      <c r="E508" s="478"/>
      <c r="F508" s="478"/>
      <c r="G508" s="255"/>
      <c r="H508" s="219"/>
    </row>
    <row r="509" spans="2:8" ht="15" x14ac:dyDescent="0.25">
      <c r="B509" s="264"/>
      <c r="C509" s="261" t="s">
        <v>591</v>
      </c>
      <c r="D509" s="474"/>
      <c r="E509" s="478"/>
      <c r="F509" s="478"/>
      <c r="G509" s="255"/>
      <c r="H509" s="260"/>
    </row>
    <row r="510" spans="2:8" ht="15" x14ac:dyDescent="0.25">
      <c r="B510" s="265"/>
      <c r="C510" s="261" t="s">
        <v>644</v>
      </c>
      <c r="D510" s="474"/>
      <c r="E510" s="478"/>
      <c r="F510" s="478"/>
      <c r="G510" s="255"/>
      <c r="H510" s="471"/>
    </row>
    <row r="511" spans="2:8" x14ac:dyDescent="0.25">
      <c r="B511" s="267"/>
      <c r="C511" s="268"/>
      <c r="D511" s="259"/>
      <c r="E511" s="259"/>
      <c r="F511" s="259"/>
      <c r="G511" s="259"/>
      <c r="H511" s="468"/>
    </row>
    <row r="523" spans="2:8" ht="15.6" x14ac:dyDescent="0.25">
      <c r="B523" s="566" t="s">
        <v>320</v>
      </c>
      <c r="C523" s="567"/>
      <c r="D523" s="567"/>
      <c r="E523" s="567"/>
      <c r="F523" s="567"/>
      <c r="G523" s="567"/>
      <c r="H523" s="568"/>
    </row>
    <row r="524" spans="2:8" x14ac:dyDescent="0.25">
      <c r="B524" s="569" t="str">
        <f>+PRESUPUESTO!B1</f>
        <v>MANTENIMIENTO Y ADECUACIÓN DE INSTITUCIONES EDUCATIVAS OFICIALES, DEL MUNICIPIO DE LA APARTADA CORDOBA.</v>
      </c>
      <c r="C524" s="570"/>
      <c r="D524" s="570"/>
      <c r="E524" s="570"/>
      <c r="F524" s="570"/>
      <c r="G524" s="570"/>
      <c r="H524" s="571"/>
    </row>
    <row r="525" spans="2:8" x14ac:dyDescent="0.25">
      <c r="B525" s="572"/>
      <c r="C525" s="573"/>
      <c r="D525" s="573"/>
      <c r="E525" s="573"/>
      <c r="F525" s="573"/>
      <c r="G525" s="573"/>
      <c r="H525" s="574"/>
    </row>
    <row r="526" spans="2:8" x14ac:dyDescent="0.25">
      <c r="B526" s="575"/>
      <c r="C526" s="576"/>
      <c r="D526" s="576"/>
      <c r="E526" s="576"/>
      <c r="F526" s="576"/>
      <c r="G526" s="576"/>
      <c r="H526" s="577"/>
    </row>
    <row r="527" spans="2:8" x14ac:dyDescent="0.25">
      <c r="B527" s="578" t="str">
        <f>+PRESUPUESTO!C15</f>
        <v>S/I DE LAMPARAS LED DE LAMPARAS LEED DE 0,60 X 0,60 LUZ BLANCA.</v>
      </c>
      <c r="C527" s="579"/>
      <c r="D527" s="579"/>
      <c r="E527" s="579"/>
      <c r="F527" s="580"/>
      <c r="G527" s="587" t="s">
        <v>627</v>
      </c>
      <c r="H527" s="588"/>
    </row>
    <row r="528" spans="2:8" x14ac:dyDescent="0.25">
      <c r="B528" s="581"/>
      <c r="C528" s="582"/>
      <c r="D528" s="582"/>
      <c r="E528" s="582"/>
      <c r="F528" s="583"/>
      <c r="G528" s="589"/>
      <c r="H528" s="590"/>
    </row>
    <row r="529" spans="2:8" x14ac:dyDescent="0.25">
      <c r="B529" s="584"/>
      <c r="C529" s="585"/>
      <c r="D529" s="585"/>
      <c r="E529" s="585"/>
      <c r="F529" s="586"/>
      <c r="G529" s="591"/>
      <c r="H529" s="592"/>
    </row>
    <row r="530" spans="2:8" x14ac:dyDescent="0.25">
      <c r="B530" s="518" t="s">
        <v>0</v>
      </c>
      <c r="C530" s="515" t="str">
        <f>+PRESUPUESTO!B15</f>
        <v>1.11</v>
      </c>
      <c r="D530" s="516"/>
      <c r="E530" s="516"/>
      <c r="F530" s="516"/>
      <c r="G530" s="516"/>
      <c r="H530" s="517"/>
    </row>
    <row r="531" spans="2:8" x14ac:dyDescent="0.25">
      <c r="B531" s="214" t="s">
        <v>19</v>
      </c>
      <c r="C531" s="266"/>
      <c r="D531" s="266"/>
      <c r="E531" s="266"/>
      <c r="F531" s="296"/>
      <c r="G531" s="266"/>
      <c r="H531" s="216"/>
    </row>
    <row r="532" spans="2:8" x14ac:dyDescent="0.25">
      <c r="B532" s="602" t="s">
        <v>20</v>
      </c>
      <c r="C532" s="602"/>
      <c r="D532" s="297" t="s">
        <v>21</v>
      </c>
      <c r="E532" s="297" t="s">
        <v>22</v>
      </c>
      <c r="F532" s="298" t="s">
        <v>23</v>
      </c>
      <c r="G532" s="299" t="s">
        <v>24</v>
      </c>
      <c r="H532" s="300" t="s">
        <v>482</v>
      </c>
    </row>
    <row r="533" spans="2:8" x14ac:dyDescent="0.25">
      <c r="B533" s="605" t="s">
        <v>8</v>
      </c>
      <c r="C533" s="605"/>
      <c r="D533" s="301"/>
      <c r="E533" s="302"/>
      <c r="F533" s="303">
        <v>0.1</v>
      </c>
      <c r="G533" s="287">
        <f>+H553</f>
        <v>48417.000733333334</v>
      </c>
      <c r="H533" s="304">
        <f>+F533*G533</f>
        <v>4841.7000733333334</v>
      </c>
    </row>
    <row r="534" spans="2:8" x14ac:dyDescent="0.25">
      <c r="B534" s="604" t="s">
        <v>459</v>
      </c>
      <c r="C534" s="595"/>
      <c r="D534" s="301"/>
      <c r="E534" s="302">
        <v>2875</v>
      </c>
      <c r="F534" s="289">
        <v>0.5</v>
      </c>
      <c r="G534" s="287">
        <f>+E534/F534</f>
        <v>5750</v>
      </c>
      <c r="H534" s="304">
        <f t="shared" ref="H534" si="2">G534</f>
        <v>5750</v>
      </c>
    </row>
    <row r="535" spans="2:8" x14ac:dyDescent="0.25">
      <c r="B535" s="605"/>
      <c r="C535" s="605"/>
      <c r="D535" s="301"/>
      <c r="E535" s="302"/>
      <c r="F535" s="289"/>
      <c r="G535" s="287"/>
      <c r="H535" s="304"/>
    </row>
    <row r="536" spans="2:8" x14ac:dyDescent="0.25">
      <c r="B536" s="305"/>
      <c r="C536" s="266"/>
      <c r="D536" s="266"/>
      <c r="E536" s="266"/>
      <c r="F536" s="296"/>
      <c r="G536" s="306" t="s">
        <v>25</v>
      </c>
      <c r="H536" s="307">
        <f>SUM(H533:H535)</f>
        <v>10591.700073333333</v>
      </c>
    </row>
    <row r="537" spans="2:8" x14ac:dyDescent="0.25">
      <c r="B537" s="214" t="s">
        <v>26</v>
      </c>
      <c r="C537" s="266"/>
      <c r="D537" s="266"/>
      <c r="E537" s="266"/>
      <c r="F537" s="308"/>
      <c r="G537" s="308"/>
      <c r="H537" s="309"/>
    </row>
    <row r="538" spans="2:8" x14ac:dyDescent="0.25">
      <c r="B538" s="602" t="s">
        <v>20</v>
      </c>
      <c r="C538" s="602"/>
      <c r="D538" s="297" t="s">
        <v>27</v>
      </c>
      <c r="E538" s="297" t="s">
        <v>28</v>
      </c>
      <c r="F538" s="298" t="s">
        <v>29</v>
      </c>
      <c r="G538" s="299" t="s">
        <v>24</v>
      </c>
      <c r="H538" s="310" t="s">
        <v>482</v>
      </c>
    </row>
    <row r="539" spans="2:8" ht="20.25" customHeight="1" x14ac:dyDescent="0.25">
      <c r="B539" s="606" t="s">
        <v>491</v>
      </c>
      <c r="C539" s="606"/>
      <c r="D539" s="271" t="str">
        <f>+IF(B539=0,"",(VLOOKUP(B539,[8]MATERIALES!$B$6:$D$149,3,FALSE)))</f>
        <v>und</v>
      </c>
      <c r="E539" s="272">
        <v>92000</v>
      </c>
      <c r="F539" s="273">
        <v>1</v>
      </c>
      <c r="G539" s="274">
        <f t="shared" ref="G539:G540" si="3">E539*F539</f>
        <v>92000</v>
      </c>
      <c r="H539" s="275">
        <f>G539</f>
        <v>92000</v>
      </c>
    </row>
    <row r="540" spans="2:8" x14ac:dyDescent="0.25">
      <c r="B540" s="595" t="s">
        <v>477</v>
      </c>
      <c r="C540" s="595"/>
      <c r="D540" s="271" t="str">
        <f>+IF(B540=0,"",(VLOOKUP(B540,[8]MATERIALES!$B$6:$D$149,3,FALSE)))</f>
        <v>und</v>
      </c>
      <c r="E540" s="272">
        <v>24900</v>
      </c>
      <c r="F540" s="273">
        <v>0.1</v>
      </c>
      <c r="G540" s="274">
        <f t="shared" si="3"/>
        <v>2490</v>
      </c>
      <c r="H540" s="275">
        <f t="shared" ref="H540" si="4">G540</f>
        <v>2490</v>
      </c>
    </row>
    <row r="541" spans="2:8" x14ac:dyDescent="0.25">
      <c r="B541" s="595"/>
      <c r="C541" s="595"/>
      <c r="D541" s="285"/>
      <c r="E541" s="286"/>
      <c r="F541" s="289"/>
      <c r="G541" s="287"/>
      <c r="H541" s="288"/>
    </row>
    <row r="542" spans="2:8" x14ac:dyDescent="0.25">
      <c r="B542" s="305"/>
      <c r="C542" s="266"/>
      <c r="D542" s="266"/>
      <c r="E542" s="266"/>
      <c r="F542" s="308"/>
      <c r="G542" s="306" t="s">
        <v>25</v>
      </c>
      <c r="H542" s="312">
        <f>SUM(H539:H541)</f>
        <v>94490</v>
      </c>
    </row>
    <row r="543" spans="2:8" x14ac:dyDescent="0.25">
      <c r="B543" s="214" t="s">
        <v>30</v>
      </c>
      <c r="C543" s="266"/>
      <c r="D543" s="266"/>
      <c r="E543" s="266"/>
      <c r="F543" s="308"/>
      <c r="G543" s="308"/>
      <c r="H543" s="304"/>
    </row>
    <row r="544" spans="2:8" x14ac:dyDescent="0.25">
      <c r="B544" s="602" t="s">
        <v>20</v>
      </c>
      <c r="C544" s="602"/>
      <c r="D544" s="297" t="s">
        <v>21</v>
      </c>
      <c r="E544" s="297" t="s">
        <v>127</v>
      </c>
      <c r="F544" s="298" t="s">
        <v>32</v>
      </c>
      <c r="G544" s="297" t="s">
        <v>24</v>
      </c>
      <c r="H544" s="313" t="s">
        <v>481</v>
      </c>
    </row>
    <row r="545" spans="2:8" x14ac:dyDescent="0.25">
      <c r="B545" s="603"/>
      <c r="C545" s="603"/>
      <c r="D545" s="314"/>
      <c r="E545" s="315"/>
      <c r="F545" s="274"/>
      <c r="G545" s="274"/>
      <c r="H545" s="304"/>
    </row>
    <row r="546" spans="2:8" x14ac:dyDescent="0.25">
      <c r="B546" s="603"/>
      <c r="C546" s="603"/>
      <c r="D546" s="314"/>
      <c r="E546" s="316"/>
      <c r="F546" s="317"/>
      <c r="G546" s="316"/>
      <c r="H546" s="318"/>
    </row>
    <row r="547" spans="2:8" x14ac:dyDescent="0.25">
      <c r="B547" s="305"/>
      <c r="C547" s="266"/>
      <c r="D547" s="266"/>
      <c r="E547" s="266"/>
      <c r="F547" s="296"/>
      <c r="G547" s="306" t="s">
        <v>25</v>
      </c>
      <c r="H547" s="319">
        <f>SUM(H545:H546)</f>
        <v>0</v>
      </c>
    </row>
    <row r="548" spans="2:8" x14ac:dyDescent="0.25">
      <c r="B548" s="214" t="s">
        <v>34</v>
      </c>
      <c r="C548" s="266"/>
      <c r="D548" s="266"/>
      <c r="E548" s="266"/>
      <c r="F548" s="296"/>
      <c r="G548" s="308"/>
      <c r="H548" s="320"/>
    </row>
    <row r="549" spans="2:8" x14ac:dyDescent="0.25">
      <c r="B549" s="321" t="s">
        <v>35</v>
      </c>
      <c r="C549" s="321" t="s">
        <v>29</v>
      </c>
      <c r="D549" s="321" t="s">
        <v>36</v>
      </c>
      <c r="E549" s="321" t="s">
        <v>37</v>
      </c>
      <c r="F549" s="322" t="s">
        <v>38</v>
      </c>
      <c r="G549" s="323" t="s">
        <v>23</v>
      </c>
      <c r="H549" s="324" t="s">
        <v>24</v>
      </c>
    </row>
    <row r="550" spans="2:8" x14ac:dyDescent="0.25">
      <c r="B550" s="288" t="s">
        <v>626</v>
      </c>
      <c r="C550" s="316">
        <v>1</v>
      </c>
      <c r="D550" s="325">
        <v>100000</v>
      </c>
      <c r="E550" s="326">
        <v>1.8344</v>
      </c>
      <c r="F550" s="327">
        <f>+D550*C550*E550</f>
        <v>183440</v>
      </c>
      <c r="G550" s="316">
        <v>6</v>
      </c>
      <c r="H550" s="274">
        <f>F550/G550</f>
        <v>30573.333333333332</v>
      </c>
    </row>
    <row r="551" spans="2:8" x14ac:dyDescent="0.25">
      <c r="B551" s="288" t="s">
        <v>496</v>
      </c>
      <c r="C551" s="316">
        <v>1</v>
      </c>
      <c r="D551" s="325">
        <f>+D500</f>
        <v>58363.5</v>
      </c>
      <c r="E551" s="326">
        <v>1.8344</v>
      </c>
      <c r="F551" s="327">
        <f>+D551*C551*E551</f>
        <v>107062.00440000001</v>
      </c>
      <c r="G551" s="316">
        <v>6</v>
      </c>
      <c r="H551" s="274">
        <f>+F551/G551</f>
        <v>17843.667400000002</v>
      </c>
    </row>
    <row r="552" spans="2:8" x14ac:dyDescent="0.25">
      <c r="B552" s="288"/>
      <c r="C552" s="288"/>
      <c r="D552" s="317"/>
      <c r="E552" s="288"/>
      <c r="F552" s="317"/>
      <c r="G552" s="288"/>
      <c r="H552" s="327"/>
    </row>
    <row r="553" spans="2:8" x14ac:dyDescent="0.25">
      <c r="B553" s="305"/>
      <c r="C553" s="266"/>
      <c r="D553" s="266"/>
      <c r="E553" s="266"/>
      <c r="F553" s="296"/>
      <c r="G553" s="306" t="s">
        <v>25</v>
      </c>
      <c r="H553" s="328">
        <f>+SUM(H550:H552)</f>
        <v>48417.000733333334</v>
      </c>
    </row>
    <row r="554" spans="2:8" x14ac:dyDescent="0.25">
      <c r="B554" s="305"/>
      <c r="C554" s="266"/>
      <c r="D554" s="266"/>
      <c r="E554" s="266"/>
      <c r="F554" s="296"/>
      <c r="G554" s="449"/>
      <c r="H554" s="320"/>
    </row>
    <row r="555" spans="2:8" ht="15.6" x14ac:dyDescent="0.25">
      <c r="B555" s="258"/>
      <c r="C555" s="479" t="s">
        <v>645</v>
      </c>
      <c r="D555" s="477"/>
      <c r="E555" s="477"/>
      <c r="F555" s="477"/>
      <c r="G555" s="469" t="s">
        <v>41</v>
      </c>
      <c r="H555" s="254">
        <f>+H536+H542+H547+H553</f>
        <v>153498.70080666669</v>
      </c>
    </row>
    <row r="556" spans="2:8" ht="15.6" x14ac:dyDescent="0.25">
      <c r="B556" s="258"/>
      <c r="C556" s="479"/>
      <c r="D556" s="477"/>
      <c r="E556" s="477"/>
      <c r="F556" s="477"/>
      <c r="G556" s="255"/>
      <c r="H556" s="219"/>
    </row>
    <row r="557" spans="2:8" ht="15.6" x14ac:dyDescent="0.25">
      <c r="B557" s="258"/>
      <c r="C557" s="479"/>
      <c r="D557" s="477"/>
      <c r="E557" s="477"/>
      <c r="F557" s="477"/>
      <c r="G557" s="255"/>
      <c r="H557" s="219"/>
    </row>
    <row r="558" spans="2:8" ht="15.6" x14ac:dyDescent="0.25">
      <c r="B558" s="258"/>
      <c r="C558" s="475" t="s">
        <v>643</v>
      </c>
      <c r="D558" s="474"/>
      <c r="E558" s="477"/>
      <c r="F558" s="477"/>
      <c r="G558" s="255"/>
      <c r="H558" s="219"/>
    </row>
    <row r="559" spans="2:8" ht="15" x14ac:dyDescent="0.25">
      <c r="B559" s="262"/>
      <c r="C559" s="200" t="s">
        <v>590</v>
      </c>
      <c r="D559" s="474"/>
      <c r="E559" s="478"/>
      <c r="F559" s="478"/>
      <c r="G559" s="255"/>
      <c r="H559" s="219"/>
    </row>
    <row r="560" spans="2:8" ht="15" x14ac:dyDescent="0.25">
      <c r="B560" s="264"/>
      <c r="C560" s="261" t="s">
        <v>591</v>
      </c>
      <c r="D560" s="474"/>
      <c r="E560" s="478"/>
      <c r="F560" s="478"/>
      <c r="G560" s="255"/>
      <c r="H560" s="219"/>
    </row>
    <row r="561" spans="2:8" ht="15" x14ac:dyDescent="0.25">
      <c r="B561" s="265"/>
      <c r="C561" s="261" t="s">
        <v>644</v>
      </c>
      <c r="D561" s="474"/>
      <c r="E561" s="478"/>
      <c r="F561" s="478"/>
      <c r="G561" s="255"/>
      <c r="H561" s="219"/>
    </row>
    <row r="562" spans="2:8" x14ac:dyDescent="0.25">
      <c r="B562" s="265"/>
      <c r="C562" s="266"/>
      <c r="D562" s="255"/>
      <c r="E562" s="255"/>
      <c r="F562" s="255"/>
      <c r="G562" s="255"/>
      <c r="H562" s="219"/>
    </row>
    <row r="563" spans="2:8" x14ac:dyDescent="0.25">
      <c r="B563" s="265"/>
      <c r="C563" s="266"/>
      <c r="D563" s="255"/>
      <c r="E563" s="255"/>
      <c r="F563" s="255"/>
      <c r="G563" s="255"/>
      <c r="H563" s="219"/>
    </row>
    <row r="564" spans="2:8" x14ac:dyDescent="0.25">
      <c r="B564" s="267"/>
      <c r="C564" s="268"/>
      <c r="D564" s="259"/>
      <c r="E564" s="259"/>
      <c r="F564" s="259"/>
      <c r="G564" s="259"/>
      <c r="H564" s="260"/>
    </row>
    <row r="576" spans="2:8" ht="15.6" x14ac:dyDescent="0.25">
      <c r="B576" s="566" t="s">
        <v>320</v>
      </c>
      <c r="C576" s="567"/>
      <c r="D576" s="567"/>
      <c r="E576" s="567"/>
      <c r="F576" s="567"/>
      <c r="G576" s="567"/>
      <c r="H576" s="568"/>
    </row>
    <row r="577" spans="2:8" x14ac:dyDescent="0.25">
      <c r="B577" s="569" t="str">
        <f>+PRESUPUESTO!B1</f>
        <v>MANTENIMIENTO Y ADECUACIÓN DE INSTITUCIONES EDUCATIVAS OFICIALES, DEL MUNICIPIO DE LA APARTADA CORDOBA.</v>
      </c>
      <c r="C577" s="570"/>
      <c r="D577" s="570"/>
      <c r="E577" s="570"/>
      <c r="F577" s="570"/>
      <c r="G577" s="570"/>
      <c r="H577" s="571"/>
    </row>
    <row r="578" spans="2:8" x14ac:dyDescent="0.25">
      <c r="B578" s="572"/>
      <c r="C578" s="573"/>
      <c r="D578" s="573"/>
      <c r="E578" s="573"/>
      <c r="F578" s="573"/>
      <c r="G578" s="573"/>
      <c r="H578" s="574"/>
    </row>
    <row r="579" spans="2:8" x14ac:dyDescent="0.25">
      <c r="B579" s="575"/>
      <c r="C579" s="576"/>
      <c r="D579" s="576"/>
      <c r="E579" s="576"/>
      <c r="F579" s="576"/>
      <c r="G579" s="576"/>
      <c r="H579" s="577"/>
    </row>
    <row r="580" spans="2:8" x14ac:dyDescent="0.25">
      <c r="B580" s="578" t="str">
        <f>+PRESUPUESTO!C16</f>
        <v>PINTURA PARA MUROS INTERIORES LAVABLE</v>
      </c>
      <c r="C580" s="579"/>
      <c r="D580" s="579"/>
      <c r="E580" s="579"/>
      <c r="F580" s="580"/>
      <c r="G580" s="587" t="s">
        <v>606</v>
      </c>
      <c r="H580" s="588"/>
    </row>
    <row r="581" spans="2:8" x14ac:dyDescent="0.25">
      <c r="B581" s="581"/>
      <c r="C581" s="582"/>
      <c r="D581" s="582"/>
      <c r="E581" s="582"/>
      <c r="F581" s="583"/>
      <c r="G581" s="589"/>
      <c r="H581" s="590"/>
    </row>
    <row r="582" spans="2:8" x14ac:dyDescent="0.25">
      <c r="B582" s="584"/>
      <c r="C582" s="585"/>
      <c r="D582" s="585"/>
      <c r="E582" s="585"/>
      <c r="F582" s="586"/>
      <c r="G582" s="591"/>
      <c r="H582" s="592"/>
    </row>
    <row r="583" spans="2:8" x14ac:dyDescent="0.25">
      <c r="B583" s="518" t="s">
        <v>0</v>
      </c>
      <c r="C583" s="515" t="str">
        <f>+PRESUPUESTO!B16</f>
        <v>1.12</v>
      </c>
      <c r="D583" s="516"/>
      <c r="E583" s="516"/>
      <c r="F583" s="516"/>
      <c r="G583" s="516"/>
      <c r="H583" s="517"/>
    </row>
    <row r="584" spans="2:8" x14ac:dyDescent="0.25">
      <c r="B584" s="214" t="s">
        <v>19</v>
      </c>
      <c r="C584" s="266"/>
      <c r="D584" s="266"/>
      <c r="E584" s="266"/>
      <c r="F584" s="296"/>
      <c r="G584" s="266"/>
      <c r="H584" s="216"/>
    </row>
    <row r="585" spans="2:8" x14ac:dyDescent="0.25">
      <c r="B585" s="602" t="s">
        <v>20</v>
      </c>
      <c r="C585" s="602"/>
      <c r="D585" s="297" t="s">
        <v>21</v>
      </c>
      <c r="E585" s="297" t="s">
        <v>22</v>
      </c>
      <c r="F585" s="298" t="s">
        <v>23</v>
      </c>
      <c r="G585" s="299" t="s">
        <v>24</v>
      </c>
      <c r="H585" s="300" t="s">
        <v>482</v>
      </c>
    </row>
    <row r="586" spans="2:8" x14ac:dyDescent="0.25">
      <c r="B586" s="605" t="s">
        <v>8</v>
      </c>
      <c r="C586" s="605"/>
      <c r="D586" s="301"/>
      <c r="E586" s="302"/>
      <c r="F586" s="303">
        <v>0.1</v>
      </c>
      <c r="G586" s="287">
        <f>+H606</f>
        <v>2783.6121143999999</v>
      </c>
      <c r="H586" s="304">
        <f>+F586*G586</f>
        <v>278.36121143999998</v>
      </c>
    </row>
    <row r="587" spans="2:8" x14ac:dyDescent="0.25">
      <c r="B587" s="604"/>
      <c r="C587" s="595"/>
      <c r="D587" s="301"/>
      <c r="E587" s="302"/>
      <c r="F587" s="289"/>
      <c r="G587" s="287"/>
      <c r="H587" s="304"/>
    </row>
    <row r="588" spans="2:8" x14ac:dyDescent="0.25">
      <c r="B588" s="605"/>
      <c r="C588" s="605"/>
      <c r="D588" s="301"/>
      <c r="E588" s="302"/>
      <c r="F588" s="289"/>
      <c r="G588" s="287"/>
      <c r="H588" s="304"/>
    </row>
    <row r="589" spans="2:8" x14ac:dyDescent="0.25">
      <c r="B589" s="305"/>
      <c r="C589" s="266"/>
      <c r="D589" s="266"/>
      <c r="E589" s="266"/>
      <c r="F589" s="296"/>
      <c r="G589" s="306" t="s">
        <v>25</v>
      </c>
      <c r="H589" s="307">
        <f>SUM(H586:H588)</f>
        <v>278.36121143999998</v>
      </c>
    </row>
    <row r="590" spans="2:8" x14ac:dyDescent="0.25">
      <c r="B590" s="214" t="s">
        <v>26</v>
      </c>
      <c r="C590" s="266"/>
      <c r="D590" s="266"/>
      <c r="E590" s="266"/>
      <c r="F590" s="308"/>
      <c r="G590" s="308"/>
      <c r="H590" s="309"/>
    </row>
    <row r="591" spans="2:8" x14ac:dyDescent="0.25">
      <c r="B591" s="602" t="s">
        <v>20</v>
      </c>
      <c r="C591" s="602"/>
      <c r="D591" s="297" t="s">
        <v>27</v>
      </c>
      <c r="E591" s="297" t="s">
        <v>28</v>
      </c>
      <c r="F591" s="298" t="s">
        <v>29</v>
      </c>
      <c r="G591" s="299" t="s">
        <v>24</v>
      </c>
      <c r="H591" s="310" t="s">
        <v>482</v>
      </c>
    </row>
    <row r="592" spans="2:8" x14ac:dyDescent="0.25">
      <c r="B592" s="606" t="s">
        <v>353</v>
      </c>
      <c r="C592" s="606"/>
      <c r="D592" s="271" t="str">
        <f>+IF(B592=0,"",(VLOOKUP(B592,[7]MATERIALES!$B$6:$D$149,3,FALSE)))</f>
        <v>Galón</v>
      </c>
      <c r="E592" s="272">
        <v>93900</v>
      </c>
      <c r="F592" s="273">
        <v>8.3333333333333329E-2</v>
      </c>
      <c r="G592" s="274">
        <f>E592*F592</f>
        <v>7825</v>
      </c>
      <c r="H592" s="275">
        <f>G592</f>
        <v>7825</v>
      </c>
    </row>
    <row r="593" spans="2:8" x14ac:dyDescent="0.25">
      <c r="B593" s="595"/>
      <c r="C593" s="595"/>
      <c r="D593" s="271"/>
      <c r="E593" s="272"/>
      <c r="F593" s="273"/>
      <c r="G593" s="274">
        <f>E593*F593</f>
        <v>0</v>
      </c>
      <c r="H593" s="275"/>
    </row>
    <row r="594" spans="2:8" x14ac:dyDescent="0.25">
      <c r="B594" s="595" t="s">
        <v>628</v>
      </c>
      <c r="C594" s="595"/>
      <c r="D594" s="285" t="s">
        <v>72</v>
      </c>
      <c r="E594" s="286">
        <v>7500</v>
      </c>
      <c r="F594" s="289">
        <v>0.05</v>
      </c>
      <c r="G594" s="274">
        <f>E594*F594</f>
        <v>375</v>
      </c>
      <c r="H594" s="275">
        <f>G594</f>
        <v>375</v>
      </c>
    </row>
    <row r="595" spans="2:8" x14ac:dyDescent="0.25">
      <c r="B595" s="305"/>
      <c r="C595" s="266"/>
      <c r="D595" s="266"/>
      <c r="E595" s="266"/>
      <c r="F595" s="308"/>
      <c r="G595" s="306" t="s">
        <v>25</v>
      </c>
      <c r="H595" s="312">
        <f>SUM(H592:H594)</f>
        <v>8200</v>
      </c>
    </row>
    <row r="596" spans="2:8" x14ac:dyDescent="0.25">
      <c r="B596" s="214" t="s">
        <v>30</v>
      </c>
      <c r="C596" s="266"/>
      <c r="D596" s="266"/>
      <c r="E596" s="266"/>
      <c r="F596" s="308"/>
      <c r="G596" s="308"/>
      <c r="H596" s="304"/>
    </row>
    <row r="597" spans="2:8" x14ac:dyDescent="0.25">
      <c r="B597" s="602" t="s">
        <v>20</v>
      </c>
      <c r="C597" s="602"/>
      <c r="D597" s="297" t="s">
        <v>21</v>
      </c>
      <c r="E597" s="297" t="s">
        <v>127</v>
      </c>
      <c r="F597" s="298" t="s">
        <v>32</v>
      </c>
      <c r="G597" s="297" t="s">
        <v>24</v>
      </c>
      <c r="H597" s="313" t="s">
        <v>481</v>
      </c>
    </row>
    <row r="598" spans="2:8" x14ac:dyDescent="0.25">
      <c r="B598" s="603"/>
      <c r="C598" s="603"/>
      <c r="D598" s="314"/>
      <c r="E598" s="315"/>
      <c r="F598" s="274"/>
      <c r="G598" s="274"/>
      <c r="H598" s="304"/>
    </row>
    <row r="599" spans="2:8" x14ac:dyDescent="0.25">
      <c r="B599" s="603"/>
      <c r="C599" s="603"/>
      <c r="D599" s="314"/>
      <c r="E599" s="316"/>
      <c r="F599" s="317"/>
      <c r="G599" s="316"/>
      <c r="H599" s="318"/>
    </row>
    <row r="600" spans="2:8" x14ac:dyDescent="0.25">
      <c r="B600" s="305"/>
      <c r="C600" s="266"/>
      <c r="D600" s="266"/>
      <c r="E600" s="266"/>
      <c r="F600" s="296"/>
      <c r="G600" s="306" t="s">
        <v>25</v>
      </c>
      <c r="H600" s="319">
        <f>SUM(H598:H599)</f>
        <v>0</v>
      </c>
    </row>
    <row r="601" spans="2:8" x14ac:dyDescent="0.25">
      <c r="B601" s="214" t="s">
        <v>34</v>
      </c>
      <c r="C601" s="266"/>
      <c r="D601" s="266"/>
      <c r="E601" s="266"/>
      <c r="F601" s="296"/>
      <c r="G601" s="308"/>
      <c r="H601" s="320"/>
    </row>
    <row r="602" spans="2:8" x14ac:dyDescent="0.25">
      <c r="B602" s="321" t="s">
        <v>35</v>
      </c>
      <c r="C602" s="321" t="s">
        <v>29</v>
      </c>
      <c r="D602" s="321" t="s">
        <v>36</v>
      </c>
      <c r="E602" s="321" t="s">
        <v>37</v>
      </c>
      <c r="F602" s="322" t="s">
        <v>38</v>
      </c>
      <c r="G602" s="323" t="s">
        <v>23</v>
      </c>
      <c r="H602" s="324" t="s">
        <v>24</v>
      </c>
    </row>
    <row r="603" spans="2:8" x14ac:dyDescent="0.25">
      <c r="B603" s="288" t="s">
        <v>39</v>
      </c>
      <c r="C603" s="316">
        <v>1</v>
      </c>
      <c r="D603" s="325">
        <f>+D343</f>
        <v>93381.6</v>
      </c>
      <c r="E603" s="326">
        <v>1.8344</v>
      </c>
      <c r="F603" s="327">
        <f>+D603*C603*E603</f>
        <v>171299.20704000001</v>
      </c>
      <c r="G603" s="316">
        <v>100</v>
      </c>
      <c r="H603" s="274">
        <f>F603/G603</f>
        <v>1712.9920704000001</v>
      </c>
    </row>
    <row r="604" spans="2:8" x14ac:dyDescent="0.25">
      <c r="B604" s="288" t="s">
        <v>496</v>
      </c>
      <c r="C604" s="316">
        <v>1</v>
      </c>
      <c r="D604" s="325">
        <f>+D551</f>
        <v>58363.5</v>
      </c>
      <c r="E604" s="326">
        <v>1.8344</v>
      </c>
      <c r="F604" s="327">
        <f>+D604*C604*E604</f>
        <v>107062.00440000001</v>
      </c>
      <c r="G604" s="316">
        <v>100</v>
      </c>
      <c r="H604" s="274">
        <f>+F604/G604</f>
        <v>1070.620044</v>
      </c>
    </row>
    <row r="605" spans="2:8" x14ac:dyDescent="0.25">
      <c r="B605" s="288"/>
      <c r="C605" s="288"/>
      <c r="D605" s="317"/>
      <c r="E605" s="288"/>
      <c r="F605" s="317"/>
      <c r="G605" s="288"/>
      <c r="H605" s="327"/>
    </row>
    <row r="606" spans="2:8" x14ac:dyDescent="0.25">
      <c r="B606" s="305"/>
      <c r="C606" s="266"/>
      <c r="D606" s="266"/>
      <c r="E606" s="266"/>
      <c r="F606" s="296"/>
      <c r="G606" s="306" t="s">
        <v>25</v>
      </c>
      <c r="H606" s="328">
        <f>+SUM(H603:H605)</f>
        <v>2783.6121143999999</v>
      </c>
    </row>
    <row r="607" spans="2:8" x14ac:dyDescent="0.25">
      <c r="B607" s="305"/>
      <c r="C607" s="266"/>
      <c r="D607" s="266"/>
      <c r="E607" s="266"/>
      <c r="F607" s="296"/>
      <c r="G607" s="449"/>
      <c r="H607" s="320"/>
    </row>
    <row r="608" spans="2:8" ht="15.6" x14ac:dyDescent="0.25">
      <c r="B608" s="258"/>
      <c r="C608" s="479" t="s">
        <v>645</v>
      </c>
      <c r="D608" s="477"/>
      <c r="E608" s="477"/>
      <c r="F608" s="477"/>
      <c r="G608" s="469" t="s">
        <v>41</v>
      </c>
      <c r="H608" s="254">
        <f>+H589+H595+H600+H606</f>
        <v>11261.973325840001</v>
      </c>
    </row>
    <row r="609" spans="2:9" ht="15.6" x14ac:dyDescent="0.25">
      <c r="B609" s="258"/>
      <c r="C609" s="479"/>
      <c r="D609" s="477"/>
      <c r="E609" s="477"/>
      <c r="F609" s="477"/>
      <c r="G609" s="255"/>
      <c r="H609" s="219"/>
    </row>
    <row r="610" spans="2:9" ht="15.6" x14ac:dyDescent="0.25">
      <c r="B610" s="258"/>
      <c r="C610" s="479"/>
      <c r="D610" s="477"/>
      <c r="E610" s="477"/>
      <c r="F610" s="477"/>
      <c r="G610" s="255"/>
      <c r="H610" s="219"/>
    </row>
    <row r="611" spans="2:9" ht="15.6" x14ac:dyDescent="0.25">
      <c r="B611" s="258"/>
      <c r="C611" s="475" t="s">
        <v>643</v>
      </c>
      <c r="D611" s="474"/>
      <c r="E611" s="477"/>
      <c r="F611" s="477"/>
      <c r="G611" s="255"/>
      <c r="H611" s="219"/>
    </row>
    <row r="612" spans="2:9" ht="15" x14ac:dyDescent="0.25">
      <c r="B612" s="262"/>
      <c r="C612" s="200" t="s">
        <v>590</v>
      </c>
      <c r="D612" s="474"/>
      <c r="E612" s="478"/>
      <c r="F612" s="478"/>
      <c r="G612" s="255"/>
      <c r="H612" s="219"/>
    </row>
    <row r="613" spans="2:9" ht="15" x14ac:dyDescent="0.25">
      <c r="B613" s="264"/>
      <c r="C613" s="261" t="s">
        <v>591</v>
      </c>
      <c r="D613" s="474"/>
      <c r="E613" s="478"/>
      <c r="F613" s="478"/>
      <c r="G613" s="255"/>
      <c r="H613" s="219"/>
    </row>
    <row r="614" spans="2:9" ht="15" x14ac:dyDescent="0.25">
      <c r="B614" s="265"/>
      <c r="C614" s="261" t="s">
        <v>644</v>
      </c>
      <c r="D614" s="474"/>
      <c r="E614" s="478"/>
      <c r="F614" s="478"/>
      <c r="G614" s="255"/>
      <c r="H614" s="219"/>
    </row>
    <row r="615" spans="2:9" x14ac:dyDescent="0.25">
      <c r="B615" s="267"/>
      <c r="C615" s="268"/>
      <c r="D615" s="259"/>
      <c r="E615" s="259"/>
      <c r="F615" s="259"/>
      <c r="G615" s="259"/>
      <c r="H615" s="260"/>
    </row>
    <row r="620" spans="2:9" x14ac:dyDescent="0.25">
      <c r="I620" s="257" t="s">
        <v>497</v>
      </c>
    </row>
    <row r="627" spans="2:8" ht="15.6" x14ac:dyDescent="0.25">
      <c r="B627" s="566" t="s">
        <v>320</v>
      </c>
      <c r="C627" s="567"/>
      <c r="D627" s="567"/>
      <c r="E627" s="567"/>
      <c r="F627" s="567"/>
      <c r="G627" s="567"/>
      <c r="H627" s="568"/>
    </row>
    <row r="628" spans="2:8" x14ac:dyDescent="0.25">
      <c r="B628" s="569" t="str">
        <f>+PRESUPUESTO!B1</f>
        <v>MANTENIMIENTO Y ADECUACIÓN DE INSTITUCIONES EDUCATIVAS OFICIALES, DEL MUNICIPIO DE LA APARTADA CORDOBA.</v>
      </c>
      <c r="C628" s="570"/>
      <c r="D628" s="570"/>
      <c r="E628" s="570"/>
      <c r="F628" s="570"/>
      <c r="G628" s="570"/>
      <c r="H628" s="571"/>
    </row>
    <row r="629" spans="2:8" x14ac:dyDescent="0.25">
      <c r="B629" s="572"/>
      <c r="C629" s="573"/>
      <c r="D629" s="573"/>
      <c r="E629" s="573"/>
      <c r="F629" s="573"/>
      <c r="G629" s="573"/>
      <c r="H629" s="574"/>
    </row>
    <row r="630" spans="2:8" x14ac:dyDescent="0.25">
      <c r="B630" s="575"/>
      <c r="C630" s="576"/>
      <c r="D630" s="576"/>
      <c r="E630" s="576"/>
      <c r="F630" s="576"/>
      <c r="G630" s="576"/>
      <c r="H630" s="577"/>
    </row>
    <row r="631" spans="2:8" x14ac:dyDescent="0.25">
      <c r="B631" s="578" t="str">
        <f>+PRESUPUESTO!C17</f>
        <v xml:space="preserve">PINTURA PAR MURO EXTERIOR TIPO KORAZA </v>
      </c>
      <c r="C631" s="579"/>
      <c r="D631" s="579"/>
      <c r="E631" s="579"/>
      <c r="F631" s="580"/>
      <c r="G631" s="587" t="s">
        <v>606</v>
      </c>
      <c r="H631" s="588"/>
    </row>
    <row r="632" spans="2:8" x14ac:dyDescent="0.25">
      <c r="B632" s="581"/>
      <c r="C632" s="582"/>
      <c r="D632" s="582"/>
      <c r="E632" s="582"/>
      <c r="F632" s="583"/>
      <c r="G632" s="589"/>
      <c r="H632" s="590"/>
    </row>
    <row r="633" spans="2:8" x14ac:dyDescent="0.25">
      <c r="B633" s="584"/>
      <c r="C633" s="585"/>
      <c r="D633" s="585"/>
      <c r="E633" s="585"/>
      <c r="F633" s="586"/>
      <c r="G633" s="591"/>
      <c r="H633" s="592"/>
    </row>
    <row r="634" spans="2:8" x14ac:dyDescent="0.25">
      <c r="B634" s="518" t="s">
        <v>0</v>
      </c>
      <c r="C634" s="515" t="str">
        <f>+PRESUPUESTO!B17</f>
        <v>1.13</v>
      </c>
      <c r="D634" s="516"/>
      <c r="E634" s="516"/>
      <c r="F634" s="516"/>
      <c r="G634" s="516"/>
      <c r="H634" s="517"/>
    </row>
    <row r="635" spans="2:8" x14ac:dyDescent="0.25">
      <c r="B635" s="214" t="s">
        <v>19</v>
      </c>
      <c r="C635" s="266"/>
      <c r="D635" s="266"/>
      <c r="E635" s="266"/>
      <c r="F635" s="296"/>
      <c r="G635" s="266"/>
      <c r="H635" s="216"/>
    </row>
    <row r="636" spans="2:8" x14ac:dyDescent="0.25">
      <c r="B636" s="560" t="s">
        <v>20</v>
      </c>
      <c r="C636" s="561"/>
      <c r="D636" s="297" t="s">
        <v>21</v>
      </c>
      <c r="E636" s="297" t="s">
        <v>22</v>
      </c>
      <c r="F636" s="298" t="s">
        <v>23</v>
      </c>
      <c r="G636" s="299" t="s">
        <v>24</v>
      </c>
      <c r="H636" s="300" t="s">
        <v>482</v>
      </c>
    </row>
    <row r="637" spans="2:8" x14ac:dyDescent="0.25">
      <c r="B637" s="562" t="s">
        <v>8</v>
      </c>
      <c r="C637" s="563"/>
      <c r="D637" s="301"/>
      <c r="E637" s="302"/>
      <c r="F637" s="303">
        <v>0.1</v>
      </c>
      <c r="G637" s="287">
        <f>+H660</f>
        <v>6959.0302860000002</v>
      </c>
      <c r="H637" s="304">
        <f>+F637*G637</f>
        <v>695.90302860000008</v>
      </c>
    </row>
    <row r="638" spans="2:8" x14ac:dyDescent="0.25">
      <c r="B638" s="600"/>
      <c r="C638" s="601"/>
      <c r="D638" s="301"/>
      <c r="E638" s="302"/>
      <c r="F638" s="289"/>
      <c r="G638" s="287"/>
      <c r="H638" s="304"/>
    </row>
    <row r="639" spans="2:8" x14ac:dyDescent="0.25">
      <c r="B639" s="562"/>
      <c r="C639" s="563"/>
      <c r="D639" s="301"/>
      <c r="E639" s="302"/>
      <c r="F639" s="289"/>
      <c r="G639" s="287"/>
      <c r="H639" s="304"/>
    </row>
    <row r="640" spans="2:8" x14ac:dyDescent="0.25">
      <c r="B640" s="305"/>
      <c r="C640" s="266"/>
      <c r="D640" s="266"/>
      <c r="E640" s="266"/>
      <c r="F640" s="296"/>
      <c r="G640" s="306" t="s">
        <v>25</v>
      </c>
      <c r="H640" s="307">
        <f>SUM(H637:H639)</f>
        <v>695.90302860000008</v>
      </c>
    </row>
    <row r="641" spans="2:8" x14ac:dyDescent="0.25">
      <c r="B641" s="214" t="s">
        <v>26</v>
      </c>
      <c r="C641" s="266"/>
      <c r="D641" s="266"/>
      <c r="E641" s="266"/>
      <c r="F641" s="308"/>
      <c r="G641" s="308"/>
      <c r="H641" s="309"/>
    </row>
    <row r="642" spans="2:8" x14ac:dyDescent="0.25">
      <c r="B642" s="560" t="s">
        <v>20</v>
      </c>
      <c r="C642" s="561"/>
      <c r="D642" s="297" t="s">
        <v>27</v>
      </c>
      <c r="E642" s="297" t="s">
        <v>28</v>
      </c>
      <c r="F642" s="454" t="s">
        <v>29</v>
      </c>
      <c r="G642" s="299" t="s">
        <v>24</v>
      </c>
      <c r="H642" s="310" t="s">
        <v>482</v>
      </c>
    </row>
    <row r="643" spans="2:8" x14ac:dyDescent="0.25">
      <c r="B643" s="455" t="s">
        <v>629</v>
      </c>
      <c r="C643" s="456"/>
      <c r="D643" s="457" t="s">
        <v>463</v>
      </c>
      <c r="E643" s="451">
        <v>145350</v>
      </c>
      <c r="F643" s="452">
        <v>0.125</v>
      </c>
      <c r="G643" s="458">
        <f>+F643*E643</f>
        <v>18168.75</v>
      </c>
      <c r="H643" s="459">
        <f>+G643</f>
        <v>18168.75</v>
      </c>
    </row>
    <row r="644" spans="2:8" x14ac:dyDescent="0.25">
      <c r="B644" s="593" t="s">
        <v>630</v>
      </c>
      <c r="C644" s="594"/>
      <c r="D644" s="457" t="s">
        <v>499</v>
      </c>
      <c r="E644" s="451">
        <v>150</v>
      </c>
      <c r="F644" s="453">
        <v>3</v>
      </c>
      <c r="G644" s="458">
        <f>+F644*E644</f>
        <v>450</v>
      </c>
      <c r="H644" s="459">
        <f>+G644</f>
        <v>450</v>
      </c>
    </row>
    <row r="645" spans="2:8" x14ac:dyDescent="0.25">
      <c r="B645" s="595" t="s">
        <v>628</v>
      </c>
      <c r="C645" s="595"/>
      <c r="D645" s="285" t="s">
        <v>72</v>
      </c>
      <c r="E645" s="286">
        <v>7500</v>
      </c>
      <c r="F645" s="289">
        <v>0.05</v>
      </c>
      <c r="G645" s="274">
        <f>E645*F645</f>
        <v>375</v>
      </c>
      <c r="H645" s="275">
        <f>G645</f>
        <v>375</v>
      </c>
    </row>
    <row r="646" spans="2:8" x14ac:dyDescent="0.25">
      <c r="B646" s="554"/>
      <c r="C646" s="555"/>
      <c r="D646" s="271" t="str">
        <f>+IF(B646=0,"",(VLOOKUP(B646,[7]MATERIALES!$B$6:$D$149,3,FALSE)))</f>
        <v/>
      </c>
      <c r="E646" s="272"/>
      <c r="F646" s="273"/>
      <c r="G646" s="274"/>
      <c r="H646" s="459">
        <f>+G646</f>
        <v>0</v>
      </c>
    </row>
    <row r="647" spans="2:8" x14ac:dyDescent="0.25">
      <c r="B647" s="596" t="s">
        <v>631</v>
      </c>
      <c r="C647" s="597"/>
      <c r="D647" s="271" t="s">
        <v>501</v>
      </c>
      <c r="E647" s="272">
        <f>+SUM(G643:G645)</f>
        <v>18993.75</v>
      </c>
      <c r="F647" s="276">
        <v>0.05</v>
      </c>
      <c r="G647" s="274">
        <f>E647*F647</f>
        <v>949.6875</v>
      </c>
      <c r="H647" s="275">
        <f>G647</f>
        <v>949.6875</v>
      </c>
    </row>
    <row r="648" spans="2:8" x14ac:dyDescent="0.25">
      <c r="B648" s="596"/>
      <c r="C648" s="597"/>
      <c r="D648" s="285"/>
      <c r="E648" s="286"/>
      <c r="F648" s="289"/>
      <c r="G648" s="287"/>
      <c r="H648" s="288"/>
    </row>
    <row r="649" spans="2:8" x14ac:dyDescent="0.25">
      <c r="B649" s="305"/>
      <c r="C649" s="266"/>
      <c r="D649" s="266"/>
      <c r="E649" s="266"/>
      <c r="F649" s="308"/>
      <c r="G649" s="306" t="s">
        <v>25</v>
      </c>
      <c r="H649" s="312">
        <f>SUM(H643:H648)</f>
        <v>19943.4375</v>
      </c>
    </row>
    <row r="650" spans="2:8" x14ac:dyDescent="0.25">
      <c r="B650" s="214" t="s">
        <v>30</v>
      </c>
      <c r="C650" s="266"/>
      <c r="D650" s="266"/>
      <c r="E650" s="266"/>
      <c r="F650" s="308"/>
      <c r="G650" s="308"/>
      <c r="H650" s="304"/>
    </row>
    <row r="651" spans="2:8" x14ac:dyDescent="0.25">
      <c r="B651" s="560" t="s">
        <v>20</v>
      </c>
      <c r="C651" s="561"/>
      <c r="D651" s="297" t="s">
        <v>21</v>
      </c>
      <c r="E651" s="297" t="s">
        <v>127</v>
      </c>
      <c r="F651" s="298" t="s">
        <v>32</v>
      </c>
      <c r="G651" s="297" t="s">
        <v>24</v>
      </c>
      <c r="H651" s="313" t="s">
        <v>481</v>
      </c>
    </row>
    <row r="652" spans="2:8" x14ac:dyDescent="0.25">
      <c r="B652" s="598"/>
      <c r="C652" s="599"/>
      <c r="D652" s="314"/>
      <c r="E652" s="315"/>
      <c r="F652" s="274"/>
      <c r="G652" s="274"/>
      <c r="H652" s="304"/>
    </row>
    <row r="653" spans="2:8" x14ac:dyDescent="0.25">
      <c r="B653" s="598"/>
      <c r="C653" s="599"/>
      <c r="D653" s="314"/>
      <c r="E653" s="316"/>
      <c r="F653" s="317"/>
      <c r="G653" s="316"/>
      <c r="H653" s="318"/>
    </row>
    <row r="654" spans="2:8" x14ac:dyDescent="0.25">
      <c r="B654" s="305"/>
      <c r="C654" s="266"/>
      <c r="D654" s="266"/>
      <c r="E654" s="266"/>
      <c r="F654" s="296"/>
      <c r="G654" s="306" t="s">
        <v>25</v>
      </c>
      <c r="H654" s="319">
        <f>SUM(H652:H653)</f>
        <v>0</v>
      </c>
    </row>
    <row r="655" spans="2:8" x14ac:dyDescent="0.25">
      <c r="B655" s="214" t="s">
        <v>34</v>
      </c>
      <c r="C655" s="266"/>
      <c r="D655" s="266"/>
      <c r="E655" s="266"/>
      <c r="F655" s="296"/>
      <c r="G655" s="308"/>
      <c r="H655" s="320"/>
    </row>
    <row r="656" spans="2:8" x14ac:dyDescent="0.25">
      <c r="B656" s="321" t="s">
        <v>35</v>
      </c>
      <c r="C656" s="321" t="s">
        <v>29</v>
      </c>
      <c r="D656" s="321" t="s">
        <v>36</v>
      </c>
      <c r="E656" s="321" t="s">
        <v>37</v>
      </c>
      <c r="F656" s="322" t="s">
        <v>38</v>
      </c>
      <c r="G656" s="323" t="s">
        <v>23</v>
      </c>
      <c r="H656" s="324" t="s">
        <v>24</v>
      </c>
    </row>
    <row r="657" spans="2:8" x14ac:dyDescent="0.25">
      <c r="B657" s="288" t="s">
        <v>39</v>
      </c>
      <c r="C657" s="316">
        <v>1</v>
      </c>
      <c r="D657" s="325">
        <f>+D603</f>
        <v>93381.6</v>
      </c>
      <c r="E657" s="326">
        <v>1.8344</v>
      </c>
      <c r="F657" s="327">
        <f>+D657*C657*E657</f>
        <v>171299.20704000001</v>
      </c>
      <c r="G657" s="316">
        <v>40</v>
      </c>
      <c r="H657" s="274">
        <f>F657/G657</f>
        <v>4282.480176</v>
      </c>
    </row>
    <row r="658" spans="2:8" x14ac:dyDescent="0.25">
      <c r="B658" s="288" t="s">
        <v>496</v>
      </c>
      <c r="C658" s="316">
        <v>1</v>
      </c>
      <c r="D658" s="325">
        <f>+D604</f>
        <v>58363.5</v>
      </c>
      <c r="E658" s="326">
        <v>1.8344</v>
      </c>
      <c r="F658" s="327">
        <f>+D658*C658*E658</f>
        <v>107062.00440000001</v>
      </c>
      <c r="G658" s="316">
        <v>40</v>
      </c>
      <c r="H658" s="274">
        <f>+F658/G658</f>
        <v>2676.5501100000001</v>
      </c>
    </row>
    <row r="659" spans="2:8" x14ac:dyDescent="0.25">
      <c r="B659" s="288"/>
      <c r="C659" s="288"/>
      <c r="D659" s="317"/>
      <c r="E659" s="288"/>
      <c r="F659" s="317"/>
      <c r="G659" s="288"/>
      <c r="H659" s="327"/>
    </row>
    <row r="660" spans="2:8" x14ac:dyDescent="0.25">
      <c r="B660" s="305"/>
      <c r="C660" s="266"/>
      <c r="D660" s="266"/>
      <c r="E660" s="266"/>
      <c r="F660" s="296"/>
      <c r="G660" s="306" t="s">
        <v>25</v>
      </c>
      <c r="H660" s="328">
        <f>+SUM(H657:H659)</f>
        <v>6959.0302860000002</v>
      </c>
    </row>
    <row r="661" spans="2:8" x14ac:dyDescent="0.25">
      <c r="B661" s="305"/>
      <c r="C661" s="266"/>
      <c r="D661" s="266"/>
      <c r="E661" s="266"/>
      <c r="F661" s="296"/>
      <c r="G661" s="449"/>
      <c r="H661" s="320"/>
    </row>
    <row r="662" spans="2:8" ht="15.6" x14ac:dyDescent="0.25">
      <c r="B662" s="258"/>
      <c r="C662" s="479" t="s">
        <v>645</v>
      </c>
      <c r="D662" s="477"/>
      <c r="E662" s="477"/>
      <c r="F662" s="477"/>
      <c r="G662" s="469" t="s">
        <v>41</v>
      </c>
      <c r="H662" s="254">
        <f>+H640+H649+H654+H660</f>
        <v>27598.370814600003</v>
      </c>
    </row>
    <row r="663" spans="2:8" ht="15.6" x14ac:dyDescent="0.25">
      <c r="B663" s="258"/>
      <c r="C663" s="479"/>
      <c r="D663" s="477"/>
      <c r="E663" s="477"/>
      <c r="F663" s="477"/>
      <c r="G663" s="255"/>
      <c r="H663" s="470"/>
    </row>
    <row r="664" spans="2:8" ht="15.6" x14ac:dyDescent="0.25">
      <c r="B664" s="258"/>
      <c r="C664" s="479"/>
      <c r="D664" s="477"/>
      <c r="E664" s="477"/>
      <c r="F664" s="477"/>
      <c r="G664" s="255"/>
      <c r="H664" s="470"/>
    </row>
    <row r="665" spans="2:8" ht="15.6" x14ac:dyDescent="0.25">
      <c r="B665" s="258"/>
      <c r="C665" s="475" t="s">
        <v>643</v>
      </c>
      <c r="D665" s="474"/>
      <c r="E665" s="477"/>
      <c r="F665" s="477"/>
      <c r="G665" s="255"/>
      <c r="H665" s="219"/>
    </row>
    <row r="666" spans="2:8" ht="15" x14ac:dyDescent="0.25">
      <c r="B666" s="262"/>
      <c r="C666" s="200" t="s">
        <v>590</v>
      </c>
      <c r="D666" s="474"/>
      <c r="E666" s="478"/>
      <c r="F666" s="478"/>
      <c r="G666" s="255"/>
      <c r="H666" s="219"/>
    </row>
    <row r="667" spans="2:8" ht="19.5" customHeight="1" x14ac:dyDescent="0.25">
      <c r="B667" s="264"/>
      <c r="C667" s="261" t="s">
        <v>591</v>
      </c>
      <c r="D667" s="474"/>
      <c r="E667" s="478"/>
      <c r="F667" s="478"/>
      <c r="G667" s="255"/>
      <c r="H667" s="219"/>
    </row>
    <row r="668" spans="2:8" ht="15" x14ac:dyDescent="0.25">
      <c r="B668" s="265"/>
      <c r="C668" s="261" t="s">
        <v>644</v>
      </c>
      <c r="D668" s="474"/>
      <c r="E668" s="478"/>
      <c r="F668" s="478"/>
      <c r="G668" s="255"/>
      <c r="H668" s="219"/>
    </row>
    <row r="669" spans="2:8" x14ac:dyDescent="0.25">
      <c r="B669" s="267"/>
      <c r="C669" s="268"/>
      <c r="D669" s="259"/>
      <c r="E669" s="259"/>
      <c r="F669" s="259"/>
      <c r="G669" s="259"/>
      <c r="H669" s="260"/>
    </row>
    <row r="673" spans="2:8" x14ac:dyDescent="0.25">
      <c r="C673" s="257" t="s">
        <v>497</v>
      </c>
    </row>
    <row r="680" spans="2:8" ht="15.6" x14ac:dyDescent="0.25">
      <c r="B680" s="566" t="s">
        <v>320</v>
      </c>
      <c r="C680" s="567"/>
      <c r="D680" s="567"/>
      <c r="E680" s="567"/>
      <c r="F680" s="567"/>
      <c r="G680" s="567"/>
      <c r="H680" s="568"/>
    </row>
    <row r="681" spans="2:8" x14ac:dyDescent="0.25">
      <c r="B681" s="569" t="str">
        <f>+PRESUPUESTO!B1</f>
        <v>MANTENIMIENTO Y ADECUACIÓN DE INSTITUCIONES EDUCATIVAS OFICIALES, DEL MUNICIPIO DE LA APARTADA CORDOBA.</v>
      </c>
      <c r="C681" s="570"/>
      <c r="D681" s="570"/>
      <c r="E681" s="570"/>
      <c r="F681" s="570"/>
      <c r="G681" s="570"/>
      <c r="H681" s="571"/>
    </row>
    <row r="682" spans="2:8" x14ac:dyDescent="0.25">
      <c r="B682" s="572"/>
      <c r="C682" s="573"/>
      <c r="D682" s="573"/>
      <c r="E682" s="573"/>
      <c r="F682" s="573"/>
      <c r="G682" s="573"/>
      <c r="H682" s="574"/>
    </row>
    <row r="683" spans="2:8" x14ac:dyDescent="0.25">
      <c r="B683" s="575"/>
      <c r="C683" s="576"/>
      <c r="D683" s="576"/>
      <c r="E683" s="576"/>
      <c r="F683" s="576"/>
      <c r="G683" s="576"/>
      <c r="H683" s="577"/>
    </row>
    <row r="684" spans="2:8" x14ac:dyDescent="0.25">
      <c r="B684" s="578" t="str">
        <f>+PRESUPUESTO!C18</f>
        <v>S/I DE CIELO RASO EN LAMINA PVC, EN UNIDAD SANITARIA</v>
      </c>
      <c r="C684" s="579"/>
      <c r="D684" s="579"/>
      <c r="E684" s="579"/>
      <c r="F684" s="580"/>
      <c r="G684" s="587" t="s">
        <v>606</v>
      </c>
      <c r="H684" s="588"/>
    </row>
    <row r="685" spans="2:8" x14ac:dyDescent="0.25">
      <c r="B685" s="581"/>
      <c r="C685" s="582"/>
      <c r="D685" s="582"/>
      <c r="E685" s="582"/>
      <c r="F685" s="583"/>
      <c r="G685" s="589"/>
      <c r="H685" s="590"/>
    </row>
    <row r="686" spans="2:8" x14ac:dyDescent="0.25">
      <c r="B686" s="584"/>
      <c r="C686" s="585"/>
      <c r="D686" s="585"/>
      <c r="E686" s="585"/>
      <c r="F686" s="586"/>
      <c r="G686" s="591"/>
      <c r="H686" s="592"/>
    </row>
    <row r="687" spans="2:8" ht="19.8" customHeight="1" x14ac:dyDescent="0.25">
      <c r="B687" s="518" t="s">
        <v>0</v>
      </c>
      <c r="C687" s="515" t="str">
        <f>+PRESUPUESTO!B18</f>
        <v>1.14</v>
      </c>
      <c r="D687" s="516"/>
      <c r="E687" s="516"/>
      <c r="F687" s="516"/>
      <c r="G687" s="516"/>
      <c r="H687" s="517"/>
    </row>
    <row r="688" spans="2:8" x14ac:dyDescent="0.25">
      <c r="B688" s="214" t="s">
        <v>19</v>
      </c>
      <c r="C688" s="266"/>
      <c r="D688" s="266"/>
      <c r="E688" s="266"/>
      <c r="F688" s="296"/>
      <c r="G688" s="266"/>
      <c r="H688" s="216"/>
    </row>
    <row r="689" spans="2:12" x14ac:dyDescent="0.25">
      <c r="B689" s="560" t="s">
        <v>20</v>
      </c>
      <c r="C689" s="561"/>
      <c r="D689" s="297" t="s">
        <v>21</v>
      </c>
      <c r="E689" s="297" t="s">
        <v>22</v>
      </c>
      <c r="F689" s="298" t="s">
        <v>23</v>
      </c>
      <c r="G689" s="299" t="s">
        <v>24</v>
      </c>
      <c r="H689" s="300" t="s">
        <v>482</v>
      </c>
    </row>
    <row r="690" spans="2:12" x14ac:dyDescent="0.25">
      <c r="B690" s="562" t="s">
        <v>8</v>
      </c>
      <c r="C690" s="563"/>
      <c r="D690" s="301"/>
      <c r="E690" s="302"/>
      <c r="F690" s="303">
        <v>0.1</v>
      </c>
      <c r="G690" s="287">
        <f>+H718</f>
        <v>17397.575714999999</v>
      </c>
      <c r="H690" s="304">
        <f>+F690*G690</f>
        <v>1739.7575715</v>
      </c>
    </row>
    <row r="691" spans="2:12" x14ac:dyDescent="0.25">
      <c r="B691" s="460" t="s">
        <v>632</v>
      </c>
      <c r="C691" s="461"/>
      <c r="D691" s="301"/>
      <c r="E691" s="427">
        <v>4200</v>
      </c>
      <c r="F691" s="289">
        <v>5</v>
      </c>
      <c r="G691" s="287">
        <f>+E691/F691</f>
        <v>840</v>
      </c>
      <c r="H691" s="304">
        <f>+G691</f>
        <v>840</v>
      </c>
    </row>
    <row r="692" spans="2:12" x14ac:dyDescent="0.25">
      <c r="B692" s="460" t="s">
        <v>633</v>
      </c>
      <c r="C692" s="461"/>
      <c r="D692" s="301"/>
      <c r="E692" s="427">
        <v>4600</v>
      </c>
      <c r="F692" s="289">
        <v>5</v>
      </c>
      <c r="G692" s="287">
        <f>+E692/F692</f>
        <v>920</v>
      </c>
      <c r="H692" s="304">
        <f>+G692</f>
        <v>920</v>
      </c>
    </row>
    <row r="693" spans="2:12" x14ac:dyDescent="0.25">
      <c r="B693" s="305"/>
      <c r="C693" s="266"/>
      <c r="D693" s="266"/>
      <c r="E693" s="266"/>
      <c r="F693" s="296"/>
      <c r="G693" s="306" t="s">
        <v>25</v>
      </c>
      <c r="H693" s="307">
        <f>SUM(H690:H692)</f>
        <v>3499.7575715000003</v>
      </c>
    </row>
    <row r="694" spans="2:12" x14ac:dyDescent="0.25">
      <c r="B694" s="214" t="s">
        <v>26</v>
      </c>
      <c r="C694" s="266"/>
      <c r="D694" s="266"/>
      <c r="E694" s="266"/>
      <c r="F694" s="308"/>
      <c r="G694" s="308"/>
      <c r="H694" s="309"/>
    </row>
    <row r="695" spans="2:12" x14ac:dyDescent="0.25">
      <c r="B695" s="560" t="s">
        <v>20</v>
      </c>
      <c r="C695" s="561"/>
      <c r="D695" s="297" t="s">
        <v>27</v>
      </c>
      <c r="E695" s="297" t="s">
        <v>28</v>
      </c>
      <c r="F695" s="298" t="s">
        <v>29</v>
      </c>
      <c r="G695" s="299" t="s">
        <v>24</v>
      </c>
      <c r="H695" s="310" t="s">
        <v>482</v>
      </c>
    </row>
    <row r="696" spans="2:12" x14ac:dyDescent="0.25">
      <c r="B696" s="554"/>
      <c r="C696" s="555"/>
      <c r="D696" s="271" t="str">
        <f>+IF(B696=0,"",(VLOOKUP(B696,[7]MATERIALES!$B$6:$D$149,3,FALSE)))</f>
        <v/>
      </c>
      <c r="E696" s="272"/>
      <c r="F696" s="273"/>
      <c r="G696" s="274">
        <f t="shared" ref="G696:G705" si="5">E696*F696</f>
        <v>0</v>
      </c>
      <c r="H696" s="275">
        <f>G696</f>
        <v>0</v>
      </c>
    </row>
    <row r="697" spans="2:12" x14ac:dyDescent="0.25">
      <c r="B697" s="556" t="s">
        <v>634</v>
      </c>
      <c r="C697" s="557"/>
      <c r="D697" s="462" t="s">
        <v>1</v>
      </c>
      <c r="E697" s="427">
        <v>3650</v>
      </c>
      <c r="F697" s="463">
        <v>0.35</v>
      </c>
      <c r="G697" s="274">
        <f t="shared" si="5"/>
        <v>1277.5</v>
      </c>
      <c r="H697" s="275">
        <f t="shared" ref="H697:H703" si="6">G697</f>
        <v>1277.5</v>
      </c>
      <c r="L697" s="257" t="s">
        <v>497</v>
      </c>
    </row>
    <row r="698" spans="2:12" x14ac:dyDescent="0.25">
      <c r="B698" s="556" t="s">
        <v>635</v>
      </c>
      <c r="C698" s="557"/>
      <c r="D698" s="462" t="s">
        <v>1</v>
      </c>
      <c r="E698" s="427">
        <v>500</v>
      </c>
      <c r="F698" s="463">
        <v>5</v>
      </c>
      <c r="G698" s="274">
        <f t="shared" si="5"/>
        <v>2500</v>
      </c>
      <c r="H698" s="275">
        <f t="shared" si="6"/>
        <v>2500</v>
      </c>
    </row>
    <row r="699" spans="2:12" x14ac:dyDescent="0.25">
      <c r="B699" s="564" t="s">
        <v>636</v>
      </c>
      <c r="C699" s="565"/>
      <c r="D699" s="462" t="s">
        <v>1</v>
      </c>
      <c r="E699" s="427">
        <v>5200</v>
      </c>
      <c r="F699" s="463">
        <v>1.8</v>
      </c>
      <c r="G699" s="274">
        <f t="shared" si="5"/>
        <v>9360</v>
      </c>
      <c r="H699" s="275">
        <f t="shared" si="6"/>
        <v>9360</v>
      </c>
    </row>
    <row r="700" spans="2:12" x14ac:dyDescent="0.25">
      <c r="B700" s="410" t="s">
        <v>637</v>
      </c>
      <c r="C700" s="464"/>
      <c r="D700" s="462" t="s">
        <v>332</v>
      </c>
      <c r="E700" s="427">
        <v>15600</v>
      </c>
      <c r="F700" s="463">
        <v>7.0000000000000007E-2</v>
      </c>
      <c r="G700" s="274">
        <f t="shared" si="5"/>
        <v>1092</v>
      </c>
      <c r="H700" s="275">
        <f t="shared" si="6"/>
        <v>1092</v>
      </c>
    </row>
    <row r="701" spans="2:12" x14ac:dyDescent="0.25">
      <c r="B701" s="410" t="s">
        <v>638</v>
      </c>
      <c r="C701" s="464"/>
      <c r="D701" s="462" t="s">
        <v>1</v>
      </c>
      <c r="E701" s="427">
        <v>7900</v>
      </c>
      <c r="F701" s="463">
        <v>0.35</v>
      </c>
      <c r="G701" s="274">
        <f t="shared" si="5"/>
        <v>2765</v>
      </c>
      <c r="H701" s="275">
        <f t="shared" si="6"/>
        <v>2765</v>
      </c>
    </row>
    <row r="702" spans="2:12" x14ac:dyDescent="0.25">
      <c r="B702" s="556" t="s">
        <v>639</v>
      </c>
      <c r="C702" s="557"/>
      <c r="D702" s="462" t="s">
        <v>1</v>
      </c>
      <c r="E702" s="427">
        <f>(79692)/4</f>
        <v>19923</v>
      </c>
      <c r="F702" s="463">
        <v>1.2</v>
      </c>
      <c r="G702" s="274">
        <f t="shared" si="5"/>
        <v>23907.599999999999</v>
      </c>
      <c r="H702" s="275">
        <f t="shared" si="6"/>
        <v>23907.599999999999</v>
      </c>
    </row>
    <row r="703" spans="2:12" x14ac:dyDescent="0.25">
      <c r="B703" s="558" t="s">
        <v>640</v>
      </c>
      <c r="C703" s="559"/>
      <c r="D703" s="462" t="s">
        <v>1</v>
      </c>
      <c r="E703" s="427">
        <v>200</v>
      </c>
      <c r="F703" s="463">
        <v>20</v>
      </c>
      <c r="G703" s="274">
        <f t="shared" si="5"/>
        <v>4000</v>
      </c>
      <c r="H703" s="275">
        <f t="shared" si="6"/>
        <v>4000</v>
      </c>
    </row>
    <row r="704" spans="2:12" x14ac:dyDescent="0.25">
      <c r="B704" s="408"/>
      <c r="C704" s="409"/>
      <c r="D704" s="271"/>
      <c r="E704" s="272"/>
      <c r="F704" s="273"/>
      <c r="G704" s="274"/>
      <c r="H704" s="275"/>
    </row>
    <row r="705" spans="2:8" x14ac:dyDescent="0.25">
      <c r="B705" s="596" t="s">
        <v>605</v>
      </c>
      <c r="C705" s="597"/>
      <c r="D705" s="271" t="s">
        <v>501</v>
      </c>
      <c r="E705" s="272">
        <f>+SUM(G697:G704)</f>
        <v>44902.1</v>
      </c>
      <c r="F705" s="276">
        <v>0.05</v>
      </c>
      <c r="G705" s="274">
        <f t="shared" si="5"/>
        <v>2245.105</v>
      </c>
      <c r="H705" s="275">
        <f>G705</f>
        <v>2245.105</v>
      </c>
    </row>
    <row r="706" spans="2:8" x14ac:dyDescent="0.25">
      <c r="B706" s="596"/>
      <c r="C706" s="597"/>
      <c r="D706" s="285"/>
      <c r="E706" s="286"/>
      <c r="F706" s="289"/>
      <c r="G706" s="287"/>
      <c r="H706" s="288"/>
    </row>
    <row r="707" spans="2:8" x14ac:dyDescent="0.25">
      <c r="B707" s="305"/>
      <c r="C707" s="266"/>
      <c r="D707" s="266"/>
      <c r="E707" s="266"/>
      <c r="F707" s="308"/>
      <c r="G707" s="306" t="s">
        <v>25</v>
      </c>
      <c r="H707" s="312">
        <f>SUM(H696:H706)</f>
        <v>47147.205000000002</v>
      </c>
    </row>
    <row r="708" spans="2:8" x14ac:dyDescent="0.25">
      <c r="B708" s="214" t="s">
        <v>30</v>
      </c>
      <c r="C708" s="266"/>
      <c r="D708" s="266"/>
      <c r="E708" s="266"/>
      <c r="F708" s="308"/>
      <c r="G708" s="308"/>
      <c r="H708" s="304"/>
    </row>
    <row r="709" spans="2:8" x14ac:dyDescent="0.25">
      <c r="B709" s="560" t="s">
        <v>20</v>
      </c>
      <c r="C709" s="561"/>
      <c r="D709" s="297" t="s">
        <v>21</v>
      </c>
      <c r="E709" s="297" t="s">
        <v>127</v>
      </c>
      <c r="F709" s="298" t="s">
        <v>642</v>
      </c>
      <c r="G709" s="297" t="s">
        <v>24</v>
      </c>
      <c r="H709" s="313" t="s">
        <v>481</v>
      </c>
    </row>
    <row r="710" spans="2:8" x14ac:dyDescent="0.25">
      <c r="B710" s="598" t="s">
        <v>641</v>
      </c>
      <c r="C710" s="599"/>
      <c r="D710" s="314" t="s">
        <v>600</v>
      </c>
      <c r="E710" s="315">
        <v>3</v>
      </c>
      <c r="F710" s="274">
        <v>2000</v>
      </c>
      <c r="G710" s="274">
        <f>+E710*F710</f>
        <v>6000</v>
      </c>
      <c r="H710" s="304">
        <f>+G710</f>
        <v>6000</v>
      </c>
    </row>
    <row r="711" spans="2:8" x14ac:dyDescent="0.25">
      <c r="B711" s="598"/>
      <c r="C711" s="599"/>
      <c r="D711" s="314"/>
      <c r="E711" s="316"/>
      <c r="F711" s="317"/>
      <c r="G711" s="316"/>
      <c r="H711" s="318"/>
    </row>
    <row r="712" spans="2:8" x14ac:dyDescent="0.25">
      <c r="B712" s="305"/>
      <c r="C712" s="266"/>
      <c r="D712" s="266"/>
      <c r="E712" s="266"/>
      <c r="F712" s="296"/>
      <c r="G712" s="306" t="s">
        <v>25</v>
      </c>
      <c r="H712" s="319">
        <f>SUM(H710:H711)</f>
        <v>6000</v>
      </c>
    </row>
    <row r="713" spans="2:8" x14ac:dyDescent="0.25">
      <c r="B713" s="214" t="s">
        <v>34</v>
      </c>
      <c r="C713" s="266"/>
      <c r="D713" s="266"/>
      <c r="E713" s="266"/>
      <c r="F713" s="296"/>
      <c r="G713" s="308"/>
      <c r="H713" s="320"/>
    </row>
    <row r="714" spans="2:8" x14ac:dyDescent="0.25">
      <c r="B714" s="321" t="s">
        <v>35</v>
      </c>
      <c r="C714" s="321" t="s">
        <v>29</v>
      </c>
      <c r="D714" s="321" t="s">
        <v>36</v>
      </c>
      <c r="E714" s="321" t="s">
        <v>37</v>
      </c>
      <c r="F714" s="322" t="s">
        <v>38</v>
      </c>
      <c r="G714" s="323" t="s">
        <v>23</v>
      </c>
      <c r="H714" s="324" t="s">
        <v>24</v>
      </c>
    </row>
    <row r="715" spans="2:8" x14ac:dyDescent="0.25">
      <c r="B715" s="288" t="s">
        <v>39</v>
      </c>
      <c r="C715" s="316">
        <v>1</v>
      </c>
      <c r="D715" s="325">
        <f>+D657</f>
        <v>93381.6</v>
      </c>
      <c r="E715" s="326">
        <v>1.8344</v>
      </c>
      <c r="F715" s="327">
        <f>+D715*C715*E715</f>
        <v>171299.20704000001</v>
      </c>
      <c r="G715" s="316">
        <v>16</v>
      </c>
      <c r="H715" s="274">
        <f>F715/G715</f>
        <v>10706.200440000001</v>
      </c>
    </row>
    <row r="716" spans="2:8" x14ac:dyDescent="0.25">
      <c r="B716" s="288" t="s">
        <v>496</v>
      </c>
      <c r="C716" s="316">
        <v>1</v>
      </c>
      <c r="D716" s="325">
        <f>+D658</f>
        <v>58363.5</v>
      </c>
      <c r="E716" s="326">
        <v>1.8344</v>
      </c>
      <c r="F716" s="327">
        <f>+D716*C716*E716</f>
        <v>107062.00440000001</v>
      </c>
      <c r="G716" s="316">
        <v>16</v>
      </c>
      <c r="H716" s="274">
        <f>+F716/G716</f>
        <v>6691.3752750000003</v>
      </c>
    </row>
    <row r="717" spans="2:8" x14ac:dyDescent="0.25">
      <c r="B717" s="288"/>
      <c r="C717" s="288"/>
      <c r="D717" s="317"/>
      <c r="E717" s="288"/>
      <c r="F717" s="317"/>
      <c r="G717" s="288"/>
      <c r="H717" s="327"/>
    </row>
    <row r="718" spans="2:8" x14ac:dyDescent="0.25">
      <c r="B718" s="305"/>
      <c r="C718" s="266"/>
      <c r="D718" s="266"/>
      <c r="E718" s="266"/>
      <c r="F718" s="296"/>
      <c r="G718" s="306" t="s">
        <v>25</v>
      </c>
      <c r="H718" s="328">
        <f>+SUM(H715:H717)</f>
        <v>17397.575714999999</v>
      </c>
    </row>
    <row r="719" spans="2:8" x14ac:dyDescent="0.25">
      <c r="B719" s="305"/>
      <c r="C719" s="266"/>
      <c r="D719" s="266"/>
      <c r="E719" s="266"/>
      <c r="F719" s="296"/>
      <c r="G719" s="449"/>
      <c r="H719" s="320"/>
    </row>
    <row r="720" spans="2:8" ht="15.6" x14ac:dyDescent="0.25">
      <c r="B720" s="258"/>
      <c r="C720" s="479" t="s">
        <v>645</v>
      </c>
      <c r="D720" s="477"/>
      <c r="E720" s="477"/>
      <c r="F720" s="477"/>
      <c r="G720" s="469" t="s">
        <v>41</v>
      </c>
      <c r="H720" s="254">
        <f>+H693+H707+H712+H718</f>
        <v>74044.538286499999</v>
      </c>
    </row>
    <row r="721" spans="2:8" ht="15.6" x14ac:dyDescent="0.25">
      <c r="B721" s="258"/>
      <c r="C721" s="479"/>
      <c r="D721" s="477"/>
      <c r="E721" s="477"/>
      <c r="F721" s="477"/>
      <c r="G721" s="255"/>
      <c r="H721" s="465"/>
    </row>
    <row r="722" spans="2:8" ht="15.6" x14ac:dyDescent="0.25">
      <c r="B722" s="258"/>
      <c r="C722" s="479"/>
      <c r="D722" s="477"/>
      <c r="E722" s="477"/>
      <c r="F722" s="477"/>
      <c r="G722" s="255"/>
      <c r="H722" s="465"/>
    </row>
    <row r="723" spans="2:8" ht="15.6" x14ac:dyDescent="0.25">
      <c r="B723" s="258"/>
      <c r="C723" s="475" t="s">
        <v>643</v>
      </c>
      <c r="D723" s="474"/>
      <c r="E723" s="477"/>
      <c r="F723" s="477"/>
      <c r="G723" s="255"/>
      <c r="H723" s="465"/>
    </row>
    <row r="724" spans="2:8" ht="15" x14ac:dyDescent="0.25">
      <c r="B724" s="262"/>
      <c r="C724" s="200" t="s">
        <v>590</v>
      </c>
      <c r="D724" s="474"/>
      <c r="E724" s="478"/>
      <c r="F724" s="478"/>
      <c r="G724" s="255"/>
      <c r="H724" s="465"/>
    </row>
    <row r="725" spans="2:8" ht="15" x14ac:dyDescent="0.25">
      <c r="B725" s="264"/>
      <c r="C725" s="261" t="s">
        <v>591</v>
      </c>
      <c r="D725" s="474"/>
      <c r="E725" s="478"/>
      <c r="F725" s="478"/>
      <c r="G725" s="255"/>
      <c r="H725" s="465"/>
    </row>
    <row r="726" spans="2:8" ht="15" x14ac:dyDescent="0.25">
      <c r="B726" s="265"/>
      <c r="C726" s="261" t="s">
        <v>644</v>
      </c>
      <c r="D726" s="474"/>
      <c r="E726" s="478"/>
      <c r="F726" s="478"/>
      <c r="G726" s="255"/>
      <c r="H726" s="465"/>
    </row>
    <row r="727" spans="2:8" x14ac:dyDescent="0.25">
      <c r="B727" s="258"/>
      <c r="H727" s="465"/>
    </row>
    <row r="728" spans="2:8" x14ac:dyDescent="0.25">
      <c r="B728" s="466"/>
      <c r="C728" s="467"/>
      <c r="D728" s="467"/>
      <c r="E728" s="467"/>
      <c r="F728" s="467"/>
      <c r="G728" s="467"/>
      <c r="H728" s="468"/>
    </row>
  </sheetData>
  <mergeCells count="228">
    <mergeCell ref="B69:C69"/>
    <mergeCell ref="B72:C72"/>
    <mergeCell ref="B73:C73"/>
    <mergeCell ref="B705:C705"/>
    <mergeCell ref="B706:C706"/>
    <mergeCell ref="B709:C709"/>
    <mergeCell ref="B710:C710"/>
    <mergeCell ref="B711:C711"/>
    <mergeCell ref="B441:C441"/>
    <mergeCell ref="B442:C442"/>
    <mergeCell ref="B489:C489"/>
    <mergeCell ref="B490:C490"/>
    <mergeCell ref="B494:C494"/>
    <mergeCell ref="B495:C495"/>
    <mergeCell ref="B646:C646"/>
    <mergeCell ref="B479:C479"/>
    <mergeCell ref="B480:C480"/>
    <mergeCell ref="B481:C481"/>
    <mergeCell ref="B482:C482"/>
    <mergeCell ref="B485:C485"/>
    <mergeCell ref="B486:C486"/>
    <mergeCell ref="B470:H470"/>
    <mergeCell ref="B471:H473"/>
    <mergeCell ref="B474:F476"/>
    <mergeCell ref="B58:H60"/>
    <mergeCell ref="B61:F63"/>
    <mergeCell ref="G61:H63"/>
    <mergeCell ref="B66:C66"/>
    <mergeCell ref="B67:C67"/>
    <mergeCell ref="B113:F115"/>
    <mergeCell ref="G113:H115"/>
    <mergeCell ref="B8:H8"/>
    <mergeCell ref="B9:H11"/>
    <mergeCell ref="B12:F14"/>
    <mergeCell ref="G12:H14"/>
    <mergeCell ref="B17:C17"/>
    <mergeCell ref="B26:C26"/>
    <mergeCell ref="B29:C29"/>
    <mergeCell ref="B30:C30"/>
    <mergeCell ref="B31:C31"/>
    <mergeCell ref="B57:H57"/>
    <mergeCell ref="B18:C18"/>
    <mergeCell ref="B19:C19"/>
    <mergeCell ref="B20:C20"/>
    <mergeCell ref="B23:C23"/>
    <mergeCell ref="B24:C24"/>
    <mergeCell ref="B25:C25"/>
    <mergeCell ref="B68:C68"/>
    <mergeCell ref="B118:C118"/>
    <mergeCell ref="B119:C119"/>
    <mergeCell ref="B120:C120"/>
    <mergeCell ref="B78:C78"/>
    <mergeCell ref="B79:C79"/>
    <mergeCell ref="B80:C80"/>
    <mergeCell ref="B109:H109"/>
    <mergeCell ref="B110:H112"/>
    <mergeCell ref="B74:C74"/>
    <mergeCell ref="B75:C75"/>
    <mergeCell ref="B131:C131"/>
    <mergeCell ref="B132:C132"/>
    <mergeCell ref="B158:H158"/>
    <mergeCell ref="B159:H161"/>
    <mergeCell ref="B162:F164"/>
    <mergeCell ref="G162:H164"/>
    <mergeCell ref="B121:C121"/>
    <mergeCell ref="B124:C124"/>
    <mergeCell ref="B125:C125"/>
    <mergeCell ref="B126:C126"/>
    <mergeCell ref="B127:C127"/>
    <mergeCell ref="B130:C130"/>
    <mergeCell ref="B174:C174"/>
    <mergeCell ref="B175:C175"/>
    <mergeCell ref="B177:C177"/>
    <mergeCell ref="B180:C180"/>
    <mergeCell ref="B181:C181"/>
    <mergeCell ref="B182:C182"/>
    <mergeCell ref="B167:C167"/>
    <mergeCell ref="B168:C168"/>
    <mergeCell ref="B169:C169"/>
    <mergeCell ref="B170:C170"/>
    <mergeCell ref="B173:C173"/>
    <mergeCell ref="B176:C176"/>
    <mergeCell ref="B220:C220"/>
    <mergeCell ref="B221:C221"/>
    <mergeCell ref="B222:C222"/>
    <mergeCell ref="B223:C223"/>
    <mergeCell ref="B226:C226"/>
    <mergeCell ref="B227:C227"/>
    <mergeCell ref="B211:H211"/>
    <mergeCell ref="B212:H214"/>
    <mergeCell ref="B215:F217"/>
    <mergeCell ref="G215:H217"/>
    <mergeCell ref="B261:H261"/>
    <mergeCell ref="B262:H264"/>
    <mergeCell ref="B265:F267"/>
    <mergeCell ref="G265:H267"/>
    <mergeCell ref="B270:C270"/>
    <mergeCell ref="B228:C228"/>
    <mergeCell ref="B229:C229"/>
    <mergeCell ref="B233:C233"/>
    <mergeCell ref="B234:C234"/>
    <mergeCell ref="B230:C230"/>
    <mergeCell ref="B235:C235"/>
    <mergeCell ref="B279:C279"/>
    <mergeCell ref="B282:C282"/>
    <mergeCell ref="B283:C283"/>
    <mergeCell ref="B284:C284"/>
    <mergeCell ref="B316:H316"/>
    <mergeCell ref="B271:C271"/>
    <mergeCell ref="B272:C272"/>
    <mergeCell ref="B273:C273"/>
    <mergeCell ref="B276:C276"/>
    <mergeCell ref="B277:C277"/>
    <mergeCell ref="B278:C278"/>
    <mergeCell ref="B280:C280"/>
    <mergeCell ref="B281:C281"/>
    <mergeCell ref="B287:C287"/>
    <mergeCell ref="B288:C288"/>
    <mergeCell ref="B289:C289"/>
    <mergeCell ref="B327:C327"/>
    <mergeCell ref="B328:C328"/>
    <mergeCell ref="B331:C331"/>
    <mergeCell ref="B332:C332"/>
    <mergeCell ref="B333:C333"/>
    <mergeCell ref="B334:C334"/>
    <mergeCell ref="B317:H319"/>
    <mergeCell ref="B320:F322"/>
    <mergeCell ref="G320:H322"/>
    <mergeCell ref="B325:C325"/>
    <mergeCell ref="B326:C326"/>
    <mergeCell ref="B391:C391"/>
    <mergeCell ref="B392:C392"/>
    <mergeCell ref="B370:F372"/>
    <mergeCell ref="G370:H372"/>
    <mergeCell ref="B375:C375"/>
    <mergeCell ref="B376:C376"/>
    <mergeCell ref="B377:C377"/>
    <mergeCell ref="B337:C337"/>
    <mergeCell ref="B338:C338"/>
    <mergeCell ref="B339:C339"/>
    <mergeCell ref="B366:H366"/>
    <mergeCell ref="B367:H369"/>
    <mergeCell ref="B378:C378"/>
    <mergeCell ref="B381:C381"/>
    <mergeCell ref="B382:C382"/>
    <mergeCell ref="B383:C383"/>
    <mergeCell ref="B384:C384"/>
    <mergeCell ref="B387:C387"/>
    <mergeCell ref="B385:C385"/>
    <mergeCell ref="B386:C386"/>
    <mergeCell ref="B390:C390"/>
    <mergeCell ref="B426:C426"/>
    <mergeCell ref="B427:C427"/>
    <mergeCell ref="B428:C428"/>
    <mergeCell ref="B429:C429"/>
    <mergeCell ref="B432:C432"/>
    <mergeCell ref="B436:C436"/>
    <mergeCell ref="B437:C437"/>
    <mergeCell ref="B417:H417"/>
    <mergeCell ref="B418:H420"/>
    <mergeCell ref="B421:F423"/>
    <mergeCell ref="G421:H423"/>
    <mergeCell ref="B524:H526"/>
    <mergeCell ref="B527:F529"/>
    <mergeCell ref="G527:H529"/>
    <mergeCell ref="B532:C532"/>
    <mergeCell ref="B487:C487"/>
    <mergeCell ref="B488:C488"/>
    <mergeCell ref="B493:C493"/>
    <mergeCell ref="B541:C541"/>
    <mergeCell ref="B433:C433"/>
    <mergeCell ref="B435:C435"/>
    <mergeCell ref="B440:C440"/>
    <mergeCell ref="G474:H476"/>
    <mergeCell ref="B523:H523"/>
    <mergeCell ref="B544:C544"/>
    <mergeCell ref="B545:C545"/>
    <mergeCell ref="B546:C546"/>
    <mergeCell ref="B576:H576"/>
    <mergeCell ref="B533:C533"/>
    <mergeCell ref="B534:C534"/>
    <mergeCell ref="B535:C535"/>
    <mergeCell ref="B538:C538"/>
    <mergeCell ref="B539:C539"/>
    <mergeCell ref="B540:C540"/>
    <mergeCell ref="B587:C587"/>
    <mergeCell ref="B588:C588"/>
    <mergeCell ref="B591:C591"/>
    <mergeCell ref="B592:C592"/>
    <mergeCell ref="B593:C593"/>
    <mergeCell ref="B594:C594"/>
    <mergeCell ref="B577:H579"/>
    <mergeCell ref="B580:F582"/>
    <mergeCell ref="G580:H582"/>
    <mergeCell ref="B585:C585"/>
    <mergeCell ref="B586:C586"/>
    <mergeCell ref="B631:F633"/>
    <mergeCell ref="G631:H633"/>
    <mergeCell ref="B636:C636"/>
    <mergeCell ref="B637:C637"/>
    <mergeCell ref="B638:C638"/>
    <mergeCell ref="B597:C597"/>
    <mergeCell ref="B598:C598"/>
    <mergeCell ref="B599:C599"/>
    <mergeCell ref="B627:H627"/>
    <mergeCell ref="B628:H630"/>
    <mergeCell ref="B680:H680"/>
    <mergeCell ref="B681:H683"/>
    <mergeCell ref="B684:F686"/>
    <mergeCell ref="G684:H686"/>
    <mergeCell ref="B639:C639"/>
    <mergeCell ref="B642:C642"/>
    <mergeCell ref="B644:C644"/>
    <mergeCell ref="B645:C645"/>
    <mergeCell ref="B648:C648"/>
    <mergeCell ref="B647:C647"/>
    <mergeCell ref="B651:C651"/>
    <mergeCell ref="B652:C652"/>
    <mergeCell ref="B653:C653"/>
    <mergeCell ref="B696:C696"/>
    <mergeCell ref="B697:C697"/>
    <mergeCell ref="B698:C698"/>
    <mergeCell ref="B702:C702"/>
    <mergeCell ref="B703:C703"/>
    <mergeCell ref="B689:C689"/>
    <mergeCell ref="B690:C690"/>
    <mergeCell ref="B695:C695"/>
    <mergeCell ref="B699:C699"/>
  </mergeCells>
  <dataValidations disablePrompts="1" count="3">
    <dataValidation type="list" allowBlank="1" showInputMessage="1" showErrorMessage="1" sqref="B26:C26 B75:C75 B127:C127 B177:C177 B230:C230 B334:C334 B648:C648" xr:uid="{655BC4A5-5107-4FA2-B891-F36A091BE562}">
      <formula1>#REF!</formula1>
    </dataValidation>
    <dataValidation type="list" allowBlank="1" showInputMessage="1" showErrorMessage="1" sqref="B387:C387 B706:C706" xr:uid="{18202C74-BFC5-4043-9C4F-11FC895153C2}">
      <formula1>$C$1:$C$45</formula1>
    </dataValidation>
    <dataValidation type="list" allowBlank="1" showInputMessage="1" showErrorMessage="1" sqref="B541:C541" xr:uid="{D1A6FA0B-C181-44C2-9118-0B6D9424FBC5}">
      <formula1>$C$1:$C$91</formula1>
    </dataValidation>
  </dataValidations>
  <pageMargins left="0.70866141732283472" right="0.70866141732283472" top="0.74803149606299213" bottom="0.74803149606299213" header="0.31496062992125984" footer="0.31496062992125984"/>
  <pageSetup scale="10" orientation="portrait" r:id="rId1"/>
  <ignoredErrors>
    <ignoredError sqref="H447 H449 H715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49BDA41-E5C0-4BD1-B8CB-41CF7D067AC0}">
          <x14:formula1>
            <xm:f>EQUIPOS!$B$6:$B$25</xm:f>
          </x14:formula1>
          <xm:sqref>B19:C19 B68:C68 B120:C120 B169:C169 B272:C272 B327:C327 B222:C222</xm:sqref>
        </x14:dataValidation>
        <x14:dataValidation type="list" allowBlank="1" showInputMessage="1" showErrorMessage="1" xr:uid="{D6C55886-3020-4FA4-A6A7-9431B0DE0D80}">
          <x14:formula1>
            <xm:f>MATERIALES!$B$5:$B$146</xm:f>
          </x14:formula1>
          <xm:sqref>B24:C25 B73:C74 B125:C126 B332:C333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31A8-8772-49B0-BDFA-21332519FF50}">
  <sheetPr>
    <tabColor rgb="FF00B0F0"/>
    <pageSetUpPr fitToPage="1"/>
  </sheetPr>
  <dimension ref="B5:K572"/>
  <sheetViews>
    <sheetView showGridLines="0" zoomScale="63" zoomScaleNormal="77" workbookViewId="0">
      <selection activeCell="F577" sqref="F577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ht="14.25" customHeight="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ht="14.25" customHeight="1" x14ac:dyDescent="0.25">
      <c r="B10" s="572"/>
      <c r="C10" s="573"/>
      <c r="D10" s="573"/>
      <c r="E10" s="573"/>
      <c r="F10" s="573"/>
      <c r="G10" s="573"/>
      <c r="H10" s="574"/>
    </row>
    <row r="11" spans="2:11" ht="14.25" customHeight="1" x14ac:dyDescent="0.25">
      <c r="B11" s="575"/>
      <c r="C11" s="576"/>
      <c r="D11" s="576"/>
      <c r="E11" s="576"/>
      <c r="F11" s="576"/>
      <c r="G11" s="576"/>
      <c r="H11" s="577"/>
    </row>
    <row r="12" spans="2:11" x14ac:dyDescent="0.25">
      <c r="B12" s="578" t="str">
        <f>+PRESUPUESTO!C5</f>
        <v>DESMONTE DE PUERTA GALVANIZADA DE ACCCESO A UNIDAD SANITARIA, 1.0 MTS X 2.40 MTS, INLCUYE DESMONTE DE MARCO</v>
      </c>
      <c r="C12" s="579"/>
      <c r="D12" s="579"/>
      <c r="E12" s="579"/>
      <c r="F12" s="580"/>
      <c r="G12" s="587" t="s">
        <v>508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+PRESUPUESTO!B21</f>
        <v>2.1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8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8" x14ac:dyDescent="0.25">
      <c r="B18" s="562" t="s">
        <v>8</v>
      </c>
      <c r="C18" s="563"/>
      <c r="D18" s="301"/>
      <c r="E18" s="302"/>
      <c r="F18" s="303">
        <v>0.1</v>
      </c>
      <c r="G18" s="287">
        <f>+H38</f>
        <v>139180.60571999999</v>
      </c>
      <c r="H18" s="304">
        <f>+F18*G18</f>
        <v>13918.060572</v>
      </c>
    </row>
    <row r="19" spans="2:8" x14ac:dyDescent="0.25">
      <c r="B19" s="600"/>
      <c r="C19" s="601"/>
      <c r="D19" s="301"/>
      <c r="E19" s="302"/>
      <c r="F19" s="289"/>
      <c r="G19" s="287"/>
      <c r="H19" s="304"/>
    </row>
    <row r="20" spans="2:8" x14ac:dyDescent="0.25">
      <c r="B20" s="562"/>
      <c r="C20" s="563"/>
      <c r="D20" s="301"/>
      <c r="E20" s="302"/>
      <c r="F20" s="289"/>
      <c r="G20" s="287"/>
      <c r="H20" s="304"/>
    </row>
    <row r="21" spans="2:8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13918.060572</v>
      </c>
    </row>
    <row r="22" spans="2:8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8" x14ac:dyDescent="0.25">
      <c r="B23" s="560" t="s">
        <v>20</v>
      </c>
      <c r="C23" s="561"/>
      <c r="D23" s="297" t="s">
        <v>27</v>
      </c>
      <c r="E23" s="297" t="s">
        <v>29</v>
      </c>
      <c r="F23" s="298" t="s">
        <v>598</v>
      </c>
      <c r="G23" s="299" t="s">
        <v>597</v>
      </c>
      <c r="H23" s="310" t="s">
        <v>482</v>
      </c>
    </row>
    <row r="24" spans="2:8" ht="27.6" customHeight="1" x14ac:dyDescent="0.25">
      <c r="B24" s="554"/>
      <c r="C24" s="555"/>
      <c r="D24" s="285"/>
      <c r="E24" s="311"/>
      <c r="F24" s="289"/>
      <c r="G24" s="274"/>
      <c r="H24" s="275"/>
    </row>
    <row r="25" spans="2:8" ht="22.5" customHeight="1" x14ac:dyDescent="0.25">
      <c r="B25" s="596"/>
      <c r="C25" s="597"/>
      <c r="D25" s="285"/>
      <c r="E25" s="272"/>
      <c r="F25" s="289"/>
      <c r="G25" s="274"/>
      <c r="H25" s="275"/>
    </row>
    <row r="26" spans="2:8" ht="18.75" customHeight="1" x14ac:dyDescent="0.25">
      <c r="B26" s="596"/>
      <c r="C26" s="597"/>
      <c r="D26" s="285"/>
      <c r="E26" s="286"/>
      <c r="F26" s="303"/>
      <c r="G26" s="287"/>
      <c r="H26" s="275"/>
    </row>
    <row r="27" spans="2:8" x14ac:dyDescent="0.25">
      <c r="B27" s="305"/>
      <c r="C27" s="266"/>
      <c r="D27" s="266"/>
      <c r="E27" s="266"/>
      <c r="F27" s="308"/>
      <c r="G27" s="306" t="s">
        <v>25</v>
      </c>
      <c r="H27" s="312">
        <f>SUM(H24:H26)</f>
        <v>0</v>
      </c>
    </row>
    <row r="28" spans="2:8" x14ac:dyDescent="0.25">
      <c r="B28" s="214" t="s">
        <v>30</v>
      </c>
      <c r="C28" s="266"/>
      <c r="D28" s="266"/>
      <c r="E28" s="266"/>
      <c r="F28" s="308"/>
      <c r="G28" s="308"/>
      <c r="H28" s="304"/>
    </row>
    <row r="29" spans="2:8" x14ac:dyDescent="0.25">
      <c r="B29" s="560" t="s">
        <v>20</v>
      </c>
      <c r="C29" s="561"/>
      <c r="D29" s="297" t="s">
        <v>21</v>
      </c>
      <c r="E29" s="297" t="s">
        <v>127</v>
      </c>
      <c r="F29" s="298" t="s">
        <v>32</v>
      </c>
      <c r="G29" s="297" t="s">
        <v>24</v>
      </c>
      <c r="H29" s="313" t="s">
        <v>481</v>
      </c>
    </row>
    <row r="30" spans="2:8" x14ac:dyDescent="0.25">
      <c r="B30" s="598"/>
      <c r="C30" s="599"/>
      <c r="D30" s="314"/>
      <c r="E30" s="315"/>
      <c r="F30" s="274"/>
      <c r="G30" s="274">
        <f>+E30*F30</f>
        <v>0</v>
      </c>
      <c r="H30" s="304">
        <f>+G30</f>
        <v>0</v>
      </c>
    </row>
    <row r="31" spans="2:8" x14ac:dyDescent="0.25">
      <c r="B31" s="598"/>
      <c r="C31" s="599"/>
      <c r="D31" s="314"/>
      <c r="E31" s="316"/>
      <c r="F31" s="317"/>
      <c r="G31" s="316"/>
      <c r="H31" s="318"/>
    </row>
    <row r="32" spans="2:8" x14ac:dyDescent="0.25">
      <c r="B32" s="305"/>
      <c r="C32" s="266"/>
      <c r="D32" s="266"/>
      <c r="E32" s="266"/>
      <c r="F32" s="296"/>
      <c r="G32" s="306" t="s">
        <v>25</v>
      </c>
      <c r="H32" s="319">
        <f>+H30</f>
        <v>0</v>
      </c>
    </row>
    <row r="33" spans="2:11" x14ac:dyDescent="0.25">
      <c r="B33" s="214" t="s">
        <v>34</v>
      </c>
      <c r="C33" s="266"/>
      <c r="D33" s="266"/>
      <c r="E33" s="266"/>
      <c r="F33" s="296"/>
      <c r="G33" s="308"/>
      <c r="H33" s="320"/>
    </row>
    <row r="34" spans="2:11" x14ac:dyDescent="0.25">
      <c r="B34" s="321" t="s">
        <v>35</v>
      </c>
      <c r="C34" s="321" t="s">
        <v>29</v>
      </c>
      <c r="D34" s="321" t="s">
        <v>36</v>
      </c>
      <c r="E34" s="321" t="s">
        <v>37</v>
      </c>
      <c r="F34" s="322" t="s">
        <v>38</v>
      </c>
      <c r="G34" s="323" t="s">
        <v>23</v>
      </c>
      <c r="H34" s="324" t="s">
        <v>24</v>
      </c>
    </row>
    <row r="35" spans="2:11" x14ac:dyDescent="0.25">
      <c r="B35" s="288" t="s">
        <v>39</v>
      </c>
      <c r="C35" s="316">
        <v>1</v>
      </c>
      <c r="D35" s="325">
        <v>93381.6</v>
      </c>
      <c r="E35" s="326">
        <v>1.8344</v>
      </c>
      <c r="F35" s="327">
        <f>+D35*C35*E35</f>
        <v>171299.20704000001</v>
      </c>
      <c r="G35" s="316">
        <v>2</v>
      </c>
      <c r="H35" s="274">
        <f>F35/G35</f>
        <v>85649.603520000004</v>
      </c>
    </row>
    <row r="36" spans="2:11" x14ac:dyDescent="0.25">
      <c r="B36" s="288" t="s">
        <v>496</v>
      </c>
      <c r="C36" s="316">
        <v>1</v>
      </c>
      <c r="D36" s="325">
        <v>58363.5</v>
      </c>
      <c r="E36" s="326">
        <v>1.8344</v>
      </c>
      <c r="F36" s="327">
        <f>+D36*C36*E36</f>
        <v>107062.00440000001</v>
      </c>
      <c r="G36" s="316">
        <v>2</v>
      </c>
      <c r="H36" s="274">
        <f>+F36/G36</f>
        <v>53531.002200000003</v>
      </c>
    </row>
    <row r="37" spans="2:11" x14ac:dyDescent="0.25">
      <c r="B37" s="288"/>
      <c r="C37" s="288"/>
      <c r="D37" s="317"/>
      <c r="E37" s="288"/>
      <c r="F37" s="317"/>
      <c r="G37" s="288"/>
      <c r="H37" s="327"/>
    </row>
    <row r="38" spans="2:11" x14ac:dyDescent="0.25">
      <c r="B38" s="305"/>
      <c r="C38" s="266"/>
      <c r="D38" s="266"/>
      <c r="E38" s="266"/>
      <c r="F38" s="296"/>
      <c r="G38" s="306" t="s">
        <v>25</v>
      </c>
      <c r="H38" s="328">
        <f>+SUM(H35:H37)</f>
        <v>139180.60571999999</v>
      </c>
      <c r="K38" s="257" t="s">
        <v>497</v>
      </c>
    </row>
    <row r="39" spans="2:11" x14ac:dyDescent="0.25">
      <c r="B39" s="217"/>
      <c r="C39" s="26"/>
      <c r="D39" s="26"/>
      <c r="E39" s="26"/>
      <c r="F39" s="215"/>
      <c r="G39" s="256"/>
      <c r="H39" s="218"/>
    </row>
    <row r="40" spans="2:11" ht="15.6" x14ac:dyDescent="0.25">
      <c r="B40" s="258"/>
      <c r="C40" s="479" t="s">
        <v>645</v>
      </c>
      <c r="D40" s="477"/>
      <c r="E40" s="477"/>
      <c r="F40" s="477"/>
      <c r="G40" s="469" t="s">
        <v>41</v>
      </c>
      <c r="H40" s="254">
        <f>+H21+H27+H32+H38</f>
        <v>153098.66629199998</v>
      </c>
    </row>
    <row r="41" spans="2:11" ht="15.6" x14ac:dyDescent="0.25">
      <c r="B41" s="258"/>
      <c r="C41" s="479"/>
      <c r="D41" s="477"/>
      <c r="E41" s="477"/>
      <c r="F41" s="477"/>
      <c r="G41" s="255"/>
      <c r="H41" s="219"/>
    </row>
    <row r="42" spans="2:11" ht="15.6" x14ac:dyDescent="0.25">
      <c r="B42" s="258"/>
      <c r="C42" s="479"/>
      <c r="D42" s="477"/>
      <c r="E42" s="477"/>
      <c r="F42" s="477"/>
      <c r="G42" s="255"/>
      <c r="H42" s="219"/>
      <c r="I42" s="257" t="s">
        <v>497</v>
      </c>
    </row>
    <row r="43" spans="2:11" ht="15.6" x14ac:dyDescent="0.25">
      <c r="B43" s="258"/>
      <c r="C43" s="475" t="s">
        <v>643</v>
      </c>
      <c r="D43" s="474"/>
      <c r="E43" s="477"/>
      <c r="F43" s="477"/>
      <c r="G43" s="255"/>
      <c r="H43" s="219"/>
    </row>
    <row r="44" spans="2:11" ht="15" x14ac:dyDescent="0.25">
      <c r="B44" s="262"/>
      <c r="C44" s="200" t="s">
        <v>590</v>
      </c>
      <c r="D44" s="474"/>
      <c r="E44" s="478"/>
      <c r="F44" s="478"/>
      <c r="G44" s="255"/>
      <c r="H44" s="219"/>
    </row>
    <row r="45" spans="2:11" ht="15" x14ac:dyDescent="0.25">
      <c r="B45" s="264"/>
      <c r="C45" s="261" t="s">
        <v>591</v>
      </c>
      <c r="D45" s="474"/>
      <c r="E45" s="478"/>
      <c r="F45" s="478"/>
      <c r="G45" s="255"/>
      <c r="H45" s="219"/>
    </row>
    <row r="46" spans="2:11" ht="15" x14ac:dyDescent="0.25">
      <c r="B46" s="265"/>
      <c r="C46" s="261" t="s">
        <v>644</v>
      </c>
      <c r="D46" s="474"/>
      <c r="E46" s="478"/>
      <c r="F46" s="478"/>
      <c r="G46" s="255"/>
      <c r="H46" s="219"/>
    </row>
    <row r="47" spans="2:11" x14ac:dyDescent="0.25">
      <c r="B47" s="267"/>
      <c r="C47" s="268"/>
      <c r="D47" s="259"/>
      <c r="E47" s="259"/>
      <c r="F47" s="259"/>
      <c r="G47" s="259"/>
      <c r="H47" s="260"/>
    </row>
    <row r="59" spans="2:8" ht="15.6" x14ac:dyDescent="0.25">
      <c r="B59" s="566" t="s">
        <v>320</v>
      </c>
      <c r="C59" s="567"/>
      <c r="D59" s="567"/>
      <c r="E59" s="567"/>
      <c r="F59" s="567"/>
      <c r="G59" s="567"/>
      <c r="H59" s="568"/>
    </row>
    <row r="60" spans="2:8" x14ac:dyDescent="0.25">
      <c r="B60" s="569" t="str">
        <f>+PRESUPUESTO!B1</f>
        <v>MANTENIMIENTO Y ADECUACIÓN DE INSTITUCIONES EDUCATIVAS OFICIALES, DEL MUNICIPIO DE LA APARTADA CORDOBA.</v>
      </c>
      <c r="C60" s="570"/>
      <c r="D60" s="570"/>
      <c r="E60" s="570"/>
      <c r="F60" s="570"/>
      <c r="G60" s="570"/>
      <c r="H60" s="571"/>
    </row>
    <row r="61" spans="2:8" x14ac:dyDescent="0.25">
      <c r="B61" s="572"/>
      <c r="C61" s="573"/>
      <c r="D61" s="573"/>
      <c r="E61" s="573"/>
      <c r="F61" s="573"/>
      <c r="G61" s="573"/>
      <c r="H61" s="574"/>
    </row>
    <row r="62" spans="2:8" x14ac:dyDescent="0.25">
      <c r="B62" s="575"/>
      <c r="C62" s="576"/>
      <c r="D62" s="576"/>
      <c r="E62" s="576"/>
      <c r="F62" s="576"/>
      <c r="G62" s="576"/>
      <c r="H62" s="577"/>
    </row>
    <row r="63" spans="2:8" x14ac:dyDescent="0.25">
      <c r="B63" s="578" t="str">
        <f>+PRESUPUESTO!C22</f>
        <v>DESMONTE DE PUERTA DE BAÑO DE UNIDAD SANITARIA EN MAL ESTADO. 0.68 MTS X 1.80 MTS, INCLUYE DESMONTE DE MARCO</v>
      </c>
      <c r="C63" s="579"/>
      <c r="D63" s="579"/>
      <c r="E63" s="579"/>
      <c r="F63" s="580"/>
      <c r="G63" s="587" t="s">
        <v>508</v>
      </c>
      <c r="H63" s="588"/>
    </row>
    <row r="64" spans="2:8" x14ac:dyDescent="0.25">
      <c r="B64" s="581"/>
      <c r="C64" s="582"/>
      <c r="D64" s="582"/>
      <c r="E64" s="582"/>
      <c r="F64" s="583"/>
      <c r="G64" s="589"/>
      <c r="H64" s="590"/>
    </row>
    <row r="65" spans="2:8" x14ac:dyDescent="0.25">
      <c r="B65" s="584"/>
      <c r="C65" s="585"/>
      <c r="D65" s="585"/>
      <c r="E65" s="585"/>
      <c r="F65" s="586"/>
      <c r="G65" s="591"/>
      <c r="H65" s="592"/>
    </row>
    <row r="66" spans="2:8" x14ac:dyDescent="0.25">
      <c r="B66" s="518" t="s">
        <v>0</v>
      </c>
      <c r="C66" s="515">
        <f>+PRESUPUESTO!B22</f>
        <v>2.2000000000000002</v>
      </c>
      <c r="D66" s="516"/>
      <c r="E66" s="516"/>
      <c r="F66" s="516"/>
      <c r="G66" s="516"/>
      <c r="H66" s="517"/>
    </row>
    <row r="67" spans="2:8" x14ac:dyDescent="0.25">
      <c r="B67" s="214" t="s">
        <v>19</v>
      </c>
      <c r="C67" s="266"/>
      <c r="D67" s="266"/>
      <c r="E67" s="266"/>
      <c r="F67" s="296"/>
      <c r="G67" s="266"/>
      <c r="H67" s="216"/>
    </row>
    <row r="68" spans="2:8" x14ac:dyDescent="0.25">
      <c r="B68" s="560" t="s">
        <v>20</v>
      </c>
      <c r="C68" s="561"/>
      <c r="D68" s="297" t="s">
        <v>21</v>
      </c>
      <c r="E68" s="297" t="s">
        <v>22</v>
      </c>
      <c r="F68" s="298" t="s">
        <v>23</v>
      </c>
      <c r="G68" s="299" t="s">
        <v>24</v>
      </c>
      <c r="H68" s="300" t="s">
        <v>482</v>
      </c>
    </row>
    <row r="69" spans="2:8" x14ac:dyDescent="0.25">
      <c r="B69" s="562" t="s">
        <v>8</v>
      </c>
      <c r="C69" s="563"/>
      <c r="D69" s="301"/>
      <c r="E69" s="302"/>
      <c r="F69" s="303">
        <v>0.1</v>
      </c>
      <c r="G69" s="287">
        <f>+H89</f>
        <v>111344.484576</v>
      </c>
      <c r="H69" s="304">
        <f>+F69*G69</f>
        <v>11134.448457600001</v>
      </c>
    </row>
    <row r="70" spans="2:8" x14ac:dyDescent="0.25">
      <c r="B70" s="600"/>
      <c r="C70" s="601"/>
      <c r="D70" s="301"/>
      <c r="E70" s="302"/>
      <c r="F70" s="289"/>
      <c r="G70" s="287"/>
      <c r="H70" s="304"/>
    </row>
    <row r="71" spans="2:8" x14ac:dyDescent="0.25">
      <c r="B71" s="562"/>
      <c r="C71" s="563"/>
      <c r="D71" s="301"/>
      <c r="E71" s="302"/>
      <c r="F71" s="289"/>
      <c r="G71" s="287"/>
      <c r="H71" s="304"/>
    </row>
    <row r="72" spans="2:8" x14ac:dyDescent="0.25">
      <c r="B72" s="305"/>
      <c r="C72" s="266"/>
      <c r="D72" s="266"/>
      <c r="E72" s="266"/>
      <c r="F72" s="296"/>
      <c r="G72" s="306" t="s">
        <v>25</v>
      </c>
      <c r="H72" s="307">
        <f>SUM(H69:H71)</f>
        <v>11134.448457600001</v>
      </c>
    </row>
    <row r="73" spans="2:8" x14ac:dyDescent="0.25">
      <c r="B73" s="214" t="s">
        <v>26</v>
      </c>
      <c r="C73" s="266"/>
      <c r="D73" s="266"/>
      <c r="E73" s="266"/>
      <c r="F73" s="308"/>
      <c r="G73" s="308"/>
      <c r="H73" s="309"/>
    </row>
    <row r="74" spans="2:8" x14ac:dyDescent="0.25">
      <c r="B74" s="560" t="s">
        <v>20</v>
      </c>
      <c r="C74" s="561"/>
      <c r="D74" s="297" t="s">
        <v>27</v>
      </c>
      <c r="E74" s="297" t="s">
        <v>29</v>
      </c>
      <c r="F74" s="298" t="s">
        <v>598</v>
      </c>
      <c r="G74" s="299" t="s">
        <v>597</v>
      </c>
      <c r="H74" s="310" t="s">
        <v>482</v>
      </c>
    </row>
    <row r="75" spans="2:8" x14ac:dyDescent="0.25">
      <c r="B75" s="554"/>
      <c r="C75" s="555"/>
      <c r="D75" s="285"/>
      <c r="E75" s="311"/>
      <c r="F75" s="289"/>
      <c r="G75" s="274"/>
      <c r="H75" s="275"/>
    </row>
    <row r="76" spans="2:8" x14ac:dyDescent="0.25">
      <c r="B76" s="596"/>
      <c r="C76" s="597"/>
      <c r="D76" s="285"/>
      <c r="E76" s="272"/>
      <c r="F76" s="289"/>
      <c r="G76" s="274"/>
      <c r="H76" s="275"/>
    </row>
    <row r="77" spans="2:8" x14ac:dyDescent="0.25">
      <c r="B77" s="596"/>
      <c r="C77" s="597"/>
      <c r="D77" s="285"/>
      <c r="E77" s="286"/>
      <c r="F77" s="303"/>
      <c r="G77" s="287"/>
      <c r="H77" s="275"/>
    </row>
    <row r="78" spans="2:8" x14ac:dyDescent="0.25">
      <c r="B78" s="305"/>
      <c r="C78" s="266"/>
      <c r="D78" s="266"/>
      <c r="E78" s="266"/>
      <c r="F78" s="308"/>
      <c r="G78" s="306" t="s">
        <v>25</v>
      </c>
      <c r="H78" s="312">
        <f>SUM(H75:H77)</f>
        <v>0</v>
      </c>
    </row>
    <row r="79" spans="2:8" x14ac:dyDescent="0.25">
      <c r="B79" s="214" t="s">
        <v>30</v>
      </c>
      <c r="C79" s="266"/>
      <c r="D79" s="266"/>
      <c r="E79" s="266"/>
      <c r="F79" s="308"/>
      <c r="G79" s="308"/>
      <c r="H79" s="304"/>
    </row>
    <row r="80" spans="2:8" x14ac:dyDescent="0.25">
      <c r="B80" s="560" t="s">
        <v>20</v>
      </c>
      <c r="C80" s="561"/>
      <c r="D80" s="297" t="s">
        <v>21</v>
      </c>
      <c r="E80" s="297" t="s">
        <v>127</v>
      </c>
      <c r="F80" s="298" t="s">
        <v>32</v>
      </c>
      <c r="G80" s="297" t="s">
        <v>24</v>
      </c>
      <c r="H80" s="313" t="s">
        <v>481</v>
      </c>
    </row>
    <row r="81" spans="2:8" x14ac:dyDescent="0.25">
      <c r="B81" s="598"/>
      <c r="C81" s="599"/>
      <c r="D81" s="314"/>
      <c r="E81" s="315"/>
      <c r="F81" s="274"/>
      <c r="G81" s="274">
        <f>+E81*F81</f>
        <v>0</v>
      </c>
      <c r="H81" s="304">
        <f>+G81</f>
        <v>0</v>
      </c>
    </row>
    <row r="82" spans="2:8" x14ac:dyDescent="0.25">
      <c r="B82" s="598"/>
      <c r="C82" s="599"/>
      <c r="D82" s="314"/>
      <c r="E82" s="316"/>
      <c r="F82" s="317"/>
      <c r="G82" s="316"/>
      <c r="H82" s="318"/>
    </row>
    <row r="83" spans="2:8" x14ac:dyDescent="0.25">
      <c r="B83" s="305"/>
      <c r="C83" s="266"/>
      <c r="D83" s="266"/>
      <c r="E83" s="266"/>
      <c r="F83" s="296"/>
      <c r="G83" s="306" t="s">
        <v>25</v>
      </c>
      <c r="H83" s="319">
        <f>+H81</f>
        <v>0</v>
      </c>
    </row>
    <row r="84" spans="2:8" x14ac:dyDescent="0.25">
      <c r="B84" s="214" t="s">
        <v>34</v>
      </c>
      <c r="C84" s="266"/>
      <c r="D84" s="266"/>
      <c r="E84" s="266"/>
      <c r="F84" s="296"/>
      <c r="G84" s="308"/>
      <c r="H84" s="320"/>
    </row>
    <row r="85" spans="2:8" x14ac:dyDescent="0.25">
      <c r="B85" s="321" t="s">
        <v>35</v>
      </c>
      <c r="C85" s="321" t="s">
        <v>29</v>
      </c>
      <c r="D85" s="321" t="s">
        <v>36</v>
      </c>
      <c r="E85" s="321" t="s">
        <v>37</v>
      </c>
      <c r="F85" s="322" t="s">
        <v>38</v>
      </c>
      <c r="G85" s="323" t="s">
        <v>23</v>
      </c>
      <c r="H85" s="324" t="s">
        <v>24</v>
      </c>
    </row>
    <row r="86" spans="2:8" x14ac:dyDescent="0.25">
      <c r="B86" s="288" t="s">
        <v>39</v>
      </c>
      <c r="C86" s="316">
        <v>1</v>
      </c>
      <c r="D86" s="325">
        <v>93381.6</v>
      </c>
      <c r="E86" s="326">
        <v>1.8344</v>
      </c>
      <c r="F86" s="327">
        <f>+D86*C86*E86</f>
        <v>171299.20704000001</v>
      </c>
      <c r="G86" s="316">
        <v>2.5</v>
      </c>
      <c r="H86" s="274">
        <f>F86/G86</f>
        <v>68519.682816</v>
      </c>
    </row>
    <row r="87" spans="2:8" x14ac:dyDescent="0.25">
      <c r="B87" s="288" t="s">
        <v>496</v>
      </c>
      <c r="C87" s="316">
        <v>1</v>
      </c>
      <c r="D87" s="325">
        <v>58363.5</v>
      </c>
      <c r="E87" s="326">
        <v>1.8344</v>
      </c>
      <c r="F87" s="327">
        <f>+D87*C87*E87</f>
        <v>107062.00440000001</v>
      </c>
      <c r="G87" s="316">
        <v>2.5</v>
      </c>
      <c r="H87" s="274">
        <f>+F87/G87</f>
        <v>42824.801760000002</v>
      </c>
    </row>
    <row r="88" spans="2:8" x14ac:dyDescent="0.25">
      <c r="B88" s="288"/>
      <c r="C88" s="288"/>
      <c r="D88" s="317"/>
      <c r="E88" s="288"/>
      <c r="F88" s="317"/>
      <c r="G88" s="288"/>
      <c r="H88" s="327"/>
    </row>
    <row r="89" spans="2:8" x14ac:dyDescent="0.25">
      <c r="B89" s="305"/>
      <c r="C89" s="266"/>
      <c r="D89" s="266"/>
      <c r="E89" s="266"/>
      <c r="F89" s="296"/>
      <c r="G89" s="306" t="s">
        <v>25</v>
      </c>
      <c r="H89" s="328">
        <f>+SUM(H86:H88)</f>
        <v>111344.484576</v>
      </c>
    </row>
    <row r="90" spans="2:8" x14ac:dyDescent="0.25">
      <c r="B90" s="217"/>
      <c r="C90" s="26"/>
      <c r="D90" s="26"/>
      <c r="E90" s="26"/>
      <c r="F90" s="215"/>
      <c r="G90" s="256"/>
      <c r="H90" s="218"/>
    </row>
    <row r="91" spans="2:8" ht="15.6" x14ac:dyDescent="0.25">
      <c r="B91" s="258"/>
      <c r="C91" s="479" t="s">
        <v>645</v>
      </c>
      <c r="D91" s="477"/>
      <c r="E91" s="477"/>
      <c r="F91" s="477"/>
      <c r="G91" s="472" t="s">
        <v>41</v>
      </c>
      <c r="H91" s="254">
        <f>+H72+H78+H83+H89</f>
        <v>122478.9330336</v>
      </c>
    </row>
    <row r="92" spans="2:8" ht="15.6" x14ac:dyDescent="0.25">
      <c r="B92" s="258"/>
      <c r="C92" s="479"/>
      <c r="D92" s="477"/>
      <c r="E92" s="477"/>
      <c r="F92" s="477"/>
      <c r="G92" s="255"/>
      <c r="H92" s="219"/>
    </row>
    <row r="93" spans="2:8" ht="15.6" x14ac:dyDescent="0.25">
      <c r="B93" s="258"/>
      <c r="C93" s="479"/>
      <c r="D93" s="477"/>
      <c r="E93" s="477"/>
      <c r="F93" s="477"/>
      <c r="G93" s="255"/>
      <c r="H93" s="219"/>
    </row>
    <row r="94" spans="2:8" ht="15.6" x14ac:dyDescent="0.25">
      <c r="B94" s="258"/>
      <c r="C94" s="475" t="s">
        <v>643</v>
      </c>
      <c r="D94" s="474"/>
      <c r="E94" s="477"/>
      <c r="F94" s="477"/>
      <c r="G94" s="255"/>
      <c r="H94" s="219"/>
    </row>
    <row r="95" spans="2:8" ht="15" x14ac:dyDescent="0.25">
      <c r="B95" s="262"/>
      <c r="C95" s="200" t="s">
        <v>590</v>
      </c>
      <c r="D95" s="474"/>
      <c r="E95" s="478"/>
      <c r="F95" s="478"/>
      <c r="G95" s="255"/>
      <c r="H95" s="219"/>
    </row>
    <row r="96" spans="2:8" ht="15" x14ac:dyDescent="0.25">
      <c r="B96" s="264"/>
      <c r="C96" s="261" t="s">
        <v>591</v>
      </c>
      <c r="D96" s="474"/>
      <c r="E96" s="478"/>
      <c r="F96" s="478"/>
      <c r="G96" s="255"/>
      <c r="H96" s="219"/>
    </row>
    <row r="97" spans="2:8" ht="15" x14ac:dyDescent="0.25">
      <c r="B97" s="265"/>
      <c r="C97" s="261" t="s">
        <v>644</v>
      </c>
      <c r="D97" s="474"/>
      <c r="E97" s="478"/>
      <c r="F97" s="478"/>
      <c r="G97" s="255"/>
      <c r="H97" s="219"/>
    </row>
    <row r="98" spans="2:8" x14ac:dyDescent="0.25">
      <c r="B98" s="267"/>
      <c r="C98" s="268"/>
      <c r="D98" s="259"/>
      <c r="E98" s="259"/>
      <c r="F98" s="259"/>
      <c r="G98" s="259"/>
      <c r="H98" s="260"/>
    </row>
    <row r="112" spans="2:8" ht="15.6" x14ac:dyDescent="0.25">
      <c r="B112" s="566" t="s">
        <v>320</v>
      </c>
      <c r="C112" s="567"/>
      <c r="D112" s="567"/>
      <c r="E112" s="567"/>
      <c r="F112" s="567"/>
      <c r="G112" s="567"/>
      <c r="H112" s="568"/>
    </row>
    <row r="113" spans="2:8" x14ac:dyDescent="0.25">
      <c r="B113" s="569" t="str">
        <f>+PRESUPUESTO!B1</f>
        <v>MANTENIMIENTO Y ADECUACIÓN DE INSTITUCIONES EDUCATIVAS OFICIALES, DEL MUNICIPIO DE LA APARTADA CORDOBA.</v>
      </c>
      <c r="C113" s="570"/>
      <c r="D113" s="570"/>
      <c r="E113" s="570"/>
      <c r="F113" s="570"/>
      <c r="G113" s="570"/>
      <c r="H113" s="571"/>
    </row>
    <row r="114" spans="2:8" x14ac:dyDescent="0.25">
      <c r="B114" s="572"/>
      <c r="C114" s="573"/>
      <c r="D114" s="573"/>
      <c r="E114" s="573"/>
      <c r="F114" s="573"/>
      <c r="G114" s="573"/>
      <c r="H114" s="574"/>
    </row>
    <row r="115" spans="2:8" x14ac:dyDescent="0.25">
      <c r="B115" s="575"/>
      <c r="C115" s="576"/>
      <c r="D115" s="576"/>
      <c r="E115" s="576"/>
      <c r="F115" s="576"/>
      <c r="G115" s="576"/>
      <c r="H115" s="577"/>
    </row>
    <row r="116" spans="2:8" x14ac:dyDescent="0.25">
      <c r="B116" s="578" t="str">
        <f>+PRESUPUESTO!C23</f>
        <v>S/I DE PUERTAS GALVANIZADAS CALIBRE 20, EN MARCO DE TUBOS DE 1.0 MTS X 2.40 MTS, PARA ACCESO UNIDAD SANITARIA.</v>
      </c>
      <c r="C116" s="579"/>
      <c r="D116" s="579"/>
      <c r="E116" s="579"/>
      <c r="F116" s="580"/>
      <c r="G116" s="587" t="s">
        <v>595</v>
      </c>
      <c r="H116" s="588"/>
    </row>
    <row r="117" spans="2:8" x14ac:dyDescent="0.25">
      <c r="B117" s="581"/>
      <c r="C117" s="582"/>
      <c r="D117" s="582"/>
      <c r="E117" s="582"/>
      <c r="F117" s="583"/>
      <c r="G117" s="589"/>
      <c r="H117" s="590"/>
    </row>
    <row r="118" spans="2:8" x14ac:dyDescent="0.25">
      <c r="B118" s="584"/>
      <c r="C118" s="585"/>
      <c r="D118" s="585"/>
      <c r="E118" s="585"/>
      <c r="F118" s="586"/>
      <c r="G118" s="591"/>
      <c r="H118" s="592"/>
    </row>
    <row r="119" spans="2:8" x14ac:dyDescent="0.25">
      <c r="B119" s="518" t="s">
        <v>0</v>
      </c>
      <c r="C119" s="516">
        <f>+PRESUPUESTO!B23</f>
        <v>2.2999999999999998</v>
      </c>
      <c r="D119" s="516"/>
      <c r="E119" s="516"/>
      <c r="F119" s="516"/>
      <c r="G119" s="516"/>
      <c r="H119" s="517"/>
    </row>
    <row r="120" spans="2:8" x14ac:dyDescent="0.25">
      <c r="B120" s="214" t="s">
        <v>19</v>
      </c>
      <c r="C120" s="266"/>
      <c r="D120" s="266"/>
      <c r="E120" s="266"/>
      <c r="F120" s="296"/>
      <c r="G120" s="266"/>
      <c r="H120" s="216"/>
    </row>
    <row r="121" spans="2:8" x14ac:dyDescent="0.25">
      <c r="B121" s="560" t="s">
        <v>20</v>
      </c>
      <c r="C121" s="561"/>
      <c r="D121" s="297" t="s">
        <v>21</v>
      </c>
      <c r="E121" s="297" t="s">
        <v>22</v>
      </c>
      <c r="F121" s="298" t="s">
        <v>23</v>
      </c>
      <c r="G121" s="299" t="s">
        <v>24</v>
      </c>
      <c r="H121" s="300" t="s">
        <v>482</v>
      </c>
    </row>
    <row r="122" spans="2:8" x14ac:dyDescent="0.25">
      <c r="B122" s="562" t="s">
        <v>8</v>
      </c>
      <c r="C122" s="563"/>
      <c r="D122" s="301"/>
      <c r="E122" s="302"/>
      <c r="F122" s="303">
        <v>0.1</v>
      </c>
      <c r="G122" s="287">
        <f>+H143</f>
        <v>77084.64316800001</v>
      </c>
      <c r="H122" s="304">
        <f>+F122*G122</f>
        <v>7708.4643168000011</v>
      </c>
    </row>
    <row r="123" spans="2:8" x14ac:dyDescent="0.25">
      <c r="B123" s="600"/>
      <c r="C123" s="601"/>
      <c r="D123" s="301"/>
      <c r="E123" s="302"/>
      <c r="F123" s="289"/>
      <c r="G123" s="287"/>
      <c r="H123" s="304"/>
    </row>
    <row r="124" spans="2:8" x14ac:dyDescent="0.25">
      <c r="B124" s="562"/>
      <c r="C124" s="563"/>
      <c r="D124" s="301"/>
      <c r="E124" s="302"/>
      <c r="F124" s="289"/>
      <c r="G124" s="287"/>
      <c r="H124" s="304"/>
    </row>
    <row r="125" spans="2:8" x14ac:dyDescent="0.25">
      <c r="B125" s="305"/>
      <c r="C125" s="266"/>
      <c r="D125" s="266"/>
      <c r="E125" s="266"/>
      <c r="F125" s="296"/>
      <c r="G125" s="306" t="s">
        <v>25</v>
      </c>
      <c r="H125" s="307">
        <f>SUM(H122:H124)</f>
        <v>7708.4643168000011</v>
      </c>
    </row>
    <row r="126" spans="2:8" x14ac:dyDescent="0.25">
      <c r="B126" s="214" t="s">
        <v>26</v>
      </c>
      <c r="C126" s="266"/>
      <c r="D126" s="266"/>
      <c r="E126" s="266"/>
      <c r="F126" s="308"/>
      <c r="G126" s="308"/>
      <c r="H126" s="309"/>
    </row>
    <row r="127" spans="2:8" x14ac:dyDescent="0.25">
      <c r="B127" s="560" t="s">
        <v>20</v>
      </c>
      <c r="C127" s="561"/>
      <c r="D127" s="297" t="s">
        <v>27</v>
      </c>
      <c r="E127" s="297" t="s">
        <v>29</v>
      </c>
      <c r="F127" s="298" t="s">
        <v>598</v>
      </c>
      <c r="G127" s="299" t="s">
        <v>597</v>
      </c>
      <c r="H127" s="310" t="s">
        <v>482</v>
      </c>
    </row>
    <row r="128" spans="2:8" x14ac:dyDescent="0.25">
      <c r="B128" s="626" t="s">
        <v>596</v>
      </c>
      <c r="C128" s="627"/>
      <c r="D128" s="285" t="s">
        <v>72</v>
      </c>
      <c r="E128" s="413">
        <v>1</v>
      </c>
      <c r="F128" s="416">
        <v>1350000</v>
      </c>
      <c r="G128" s="417">
        <f>+E128*F128</f>
        <v>1350000</v>
      </c>
      <c r="H128" s="275">
        <f>+G128</f>
        <v>1350000</v>
      </c>
    </row>
    <row r="129" spans="2:8" x14ac:dyDescent="0.25">
      <c r="B129" s="624"/>
      <c r="C129" s="625"/>
      <c r="D129" s="285"/>
      <c r="E129" s="414"/>
      <c r="F129" s="289"/>
      <c r="G129" s="274"/>
      <c r="H129" s="275"/>
    </row>
    <row r="130" spans="2:8" x14ac:dyDescent="0.25">
      <c r="B130" s="624"/>
      <c r="C130" s="625"/>
      <c r="D130" s="285"/>
      <c r="E130" s="414"/>
      <c r="F130" s="289"/>
      <c r="G130" s="274"/>
      <c r="H130" s="275"/>
    </row>
    <row r="131" spans="2:8" x14ac:dyDescent="0.25">
      <c r="B131" s="596"/>
      <c r="C131" s="597"/>
      <c r="D131" s="285"/>
      <c r="E131" s="415"/>
      <c r="F131" s="303"/>
      <c r="G131" s="287"/>
      <c r="H131" s="275"/>
    </row>
    <row r="132" spans="2:8" x14ac:dyDescent="0.25">
      <c r="B132" s="305"/>
      <c r="C132" s="266"/>
      <c r="D132" s="266"/>
      <c r="E132" s="266"/>
      <c r="F132" s="308"/>
      <c r="G132" s="306" t="s">
        <v>25</v>
      </c>
      <c r="H132" s="312">
        <f>SUM(H128:H131)</f>
        <v>1350000</v>
      </c>
    </row>
    <row r="133" spans="2:8" x14ac:dyDescent="0.25">
      <c r="B133" s="214" t="s">
        <v>30</v>
      </c>
      <c r="C133" s="266"/>
      <c r="D133" s="266"/>
      <c r="E133" s="266"/>
      <c r="F133" s="308"/>
      <c r="G133" s="308"/>
      <c r="H133" s="304"/>
    </row>
    <row r="134" spans="2:8" x14ac:dyDescent="0.25">
      <c r="B134" s="560" t="s">
        <v>20</v>
      </c>
      <c r="C134" s="561"/>
      <c r="D134" s="297" t="s">
        <v>21</v>
      </c>
      <c r="E134" s="297" t="s">
        <v>127</v>
      </c>
      <c r="F134" s="298" t="s">
        <v>32</v>
      </c>
      <c r="G134" s="297" t="s">
        <v>24</v>
      </c>
      <c r="H134" s="313" t="s">
        <v>481</v>
      </c>
    </row>
    <row r="135" spans="2:8" x14ac:dyDescent="0.25">
      <c r="B135" s="598" t="s">
        <v>599</v>
      </c>
      <c r="C135" s="599"/>
      <c r="D135" s="314" t="s">
        <v>600</v>
      </c>
      <c r="E135" s="315">
        <v>1</v>
      </c>
      <c r="F135" s="274">
        <v>7070</v>
      </c>
      <c r="G135" s="274">
        <f>+E135*F135</f>
        <v>7070</v>
      </c>
      <c r="H135" s="304">
        <f>+G135</f>
        <v>7070</v>
      </c>
    </row>
    <row r="136" spans="2:8" x14ac:dyDescent="0.25">
      <c r="B136" s="598"/>
      <c r="C136" s="599"/>
      <c r="D136" s="314"/>
      <c r="E136" s="316"/>
      <c r="F136" s="317"/>
      <c r="G136" s="316"/>
      <c r="H136" s="318"/>
    </row>
    <row r="137" spans="2:8" x14ac:dyDescent="0.25">
      <c r="B137" s="305"/>
      <c r="C137" s="266"/>
      <c r="D137" s="266"/>
      <c r="E137" s="266"/>
      <c r="F137" s="296"/>
      <c r="G137" s="306" t="s">
        <v>25</v>
      </c>
      <c r="H137" s="319">
        <f>+H135</f>
        <v>7070</v>
      </c>
    </row>
    <row r="138" spans="2:8" x14ac:dyDescent="0.25">
      <c r="B138" s="214" t="s">
        <v>34</v>
      </c>
      <c r="C138" s="266"/>
      <c r="D138" s="266"/>
      <c r="E138" s="266"/>
      <c r="F138" s="296"/>
      <c r="G138" s="308"/>
      <c r="H138" s="320"/>
    </row>
    <row r="139" spans="2:8" x14ac:dyDescent="0.25">
      <c r="B139" s="321" t="s">
        <v>35</v>
      </c>
      <c r="C139" s="321" t="s">
        <v>29</v>
      </c>
      <c r="D139" s="321" t="s">
        <v>36</v>
      </c>
      <c r="E139" s="321" t="s">
        <v>37</v>
      </c>
      <c r="F139" s="322" t="s">
        <v>38</v>
      </c>
      <c r="G139" s="323" t="s">
        <v>23</v>
      </c>
      <c r="H139" s="324" t="s">
        <v>24</v>
      </c>
    </row>
    <row r="140" spans="2:8" x14ac:dyDescent="0.25">
      <c r="B140" s="288" t="s">
        <v>39</v>
      </c>
      <c r="C140" s="316">
        <v>1</v>
      </c>
      <c r="D140" s="325">
        <v>93381.6</v>
      </c>
      <c r="E140" s="326">
        <v>1.8344</v>
      </c>
      <c r="F140" s="327">
        <f>+D140*C140*E140</f>
        <v>171299.20704000001</v>
      </c>
      <c r="G140" s="316">
        <v>5</v>
      </c>
      <c r="H140" s="274">
        <f>F140/G140</f>
        <v>34259.841408</v>
      </c>
    </row>
    <row r="141" spans="2:8" x14ac:dyDescent="0.25">
      <c r="B141" s="288" t="s">
        <v>496</v>
      </c>
      <c r="C141" s="316">
        <v>2</v>
      </c>
      <c r="D141" s="325">
        <v>58363.5</v>
      </c>
      <c r="E141" s="326">
        <v>1.8344</v>
      </c>
      <c r="F141" s="327">
        <f>+D141*C141*E141</f>
        <v>214124.00880000001</v>
      </c>
      <c r="G141" s="316">
        <v>5</v>
      </c>
      <c r="H141" s="274">
        <f>+F141/G141</f>
        <v>42824.801760000002</v>
      </c>
    </row>
    <row r="142" spans="2:8" x14ac:dyDescent="0.25">
      <c r="B142" s="288"/>
      <c r="C142" s="288"/>
      <c r="D142" s="317"/>
      <c r="E142" s="288"/>
      <c r="F142" s="317"/>
      <c r="G142" s="288"/>
      <c r="H142" s="327"/>
    </row>
    <row r="143" spans="2:8" x14ac:dyDescent="0.25">
      <c r="B143" s="305"/>
      <c r="C143" s="266"/>
      <c r="D143" s="266"/>
      <c r="E143" s="266"/>
      <c r="F143" s="296"/>
      <c r="G143" s="306" t="s">
        <v>25</v>
      </c>
      <c r="H143" s="328">
        <f>+SUM(H140:H142)</f>
        <v>77084.64316800001</v>
      </c>
    </row>
    <row r="144" spans="2:8" x14ac:dyDescent="0.25">
      <c r="B144" s="217"/>
      <c r="C144" s="26"/>
      <c r="D144" s="26"/>
      <c r="E144" s="26"/>
      <c r="F144" s="215"/>
      <c r="G144" s="256"/>
      <c r="H144" s="218"/>
    </row>
    <row r="145" spans="2:8" ht="15.6" x14ac:dyDescent="0.25">
      <c r="B145" s="258"/>
      <c r="C145" s="479" t="s">
        <v>645</v>
      </c>
      <c r="D145" s="477"/>
      <c r="E145" s="477"/>
      <c r="F145" s="477"/>
      <c r="G145" s="469" t="s">
        <v>41</v>
      </c>
      <c r="H145" s="254">
        <f>+H125+H132+H137+H143</f>
        <v>1441863.1074848</v>
      </c>
    </row>
    <row r="146" spans="2:8" ht="15.6" x14ac:dyDescent="0.25">
      <c r="B146" s="258"/>
      <c r="C146" s="479"/>
      <c r="D146" s="477"/>
      <c r="E146" s="477"/>
      <c r="F146" s="477"/>
      <c r="G146" s="255"/>
      <c r="H146" s="219"/>
    </row>
    <row r="147" spans="2:8" ht="15.6" x14ac:dyDescent="0.25">
      <c r="B147" s="258"/>
      <c r="C147" s="479"/>
      <c r="D147" s="477"/>
      <c r="E147" s="477"/>
      <c r="F147" s="477"/>
      <c r="G147" s="255"/>
      <c r="H147" s="219"/>
    </row>
    <row r="148" spans="2:8" ht="15.6" x14ac:dyDescent="0.25">
      <c r="B148" s="258"/>
      <c r="C148" s="475" t="s">
        <v>643</v>
      </c>
      <c r="D148" s="474"/>
      <c r="E148" s="477"/>
      <c r="F148" s="477"/>
      <c r="G148" s="255"/>
      <c r="H148" s="219"/>
    </row>
    <row r="149" spans="2:8" ht="15" x14ac:dyDescent="0.25">
      <c r="B149" s="262"/>
      <c r="C149" s="200" t="s">
        <v>590</v>
      </c>
      <c r="D149" s="474"/>
      <c r="E149" s="478"/>
      <c r="F149" s="478"/>
      <c r="G149" s="255"/>
      <c r="H149" s="219"/>
    </row>
    <row r="150" spans="2:8" ht="15" x14ac:dyDescent="0.25">
      <c r="B150" s="264"/>
      <c r="C150" s="261" t="s">
        <v>591</v>
      </c>
      <c r="D150" s="474"/>
      <c r="E150" s="478"/>
      <c r="F150" s="478"/>
      <c r="G150" s="255"/>
      <c r="H150" s="219"/>
    </row>
    <row r="151" spans="2:8" ht="15" x14ac:dyDescent="0.25">
      <c r="B151" s="265"/>
      <c r="C151" s="261" t="s">
        <v>644</v>
      </c>
      <c r="D151" s="474"/>
      <c r="E151" s="478"/>
      <c r="F151" s="478"/>
      <c r="G151" s="255"/>
      <c r="H151" s="219"/>
    </row>
    <row r="152" spans="2:8" x14ac:dyDescent="0.25">
      <c r="B152" s="267"/>
      <c r="C152" s="268"/>
      <c r="D152" s="259"/>
      <c r="E152" s="259"/>
      <c r="F152" s="259"/>
      <c r="G152" s="259"/>
      <c r="H152" s="260"/>
    </row>
    <row r="164" spans="2:8" ht="15.6" x14ac:dyDescent="0.25">
      <c r="B164" s="566" t="s">
        <v>320</v>
      </c>
      <c r="C164" s="567"/>
      <c r="D164" s="567"/>
      <c r="E164" s="567"/>
      <c r="F164" s="567"/>
      <c r="G164" s="567"/>
      <c r="H164" s="568"/>
    </row>
    <row r="165" spans="2:8" x14ac:dyDescent="0.25">
      <c r="B165" s="569" t="str">
        <f>+PRESUPUESTO!B1</f>
        <v>MANTENIMIENTO Y ADECUACIÓN DE INSTITUCIONES EDUCATIVAS OFICIALES, DEL MUNICIPIO DE LA APARTADA CORDOBA.</v>
      </c>
      <c r="C165" s="570"/>
      <c r="D165" s="570"/>
      <c r="E165" s="570"/>
      <c r="F165" s="570"/>
      <c r="G165" s="570"/>
      <c r="H165" s="571"/>
    </row>
    <row r="166" spans="2:8" x14ac:dyDescent="0.25">
      <c r="B166" s="572"/>
      <c r="C166" s="573"/>
      <c r="D166" s="573"/>
      <c r="E166" s="573"/>
      <c r="F166" s="573"/>
      <c r="G166" s="573"/>
      <c r="H166" s="574"/>
    </row>
    <row r="167" spans="2:8" x14ac:dyDescent="0.25">
      <c r="B167" s="575"/>
      <c r="C167" s="576"/>
      <c r="D167" s="576"/>
      <c r="E167" s="576"/>
      <c r="F167" s="576"/>
      <c r="G167" s="576"/>
      <c r="H167" s="577"/>
    </row>
    <row r="168" spans="2:8" x14ac:dyDescent="0.25">
      <c r="B168" s="578" t="str">
        <f>+PRESUPUESTO!C24</f>
        <v xml:space="preserve">S/I DE PUERTA GALVANIZADA CALIBRE 20, EN MARCO DE TUBOS DE 0.70 MTS X 1.80 MTS  </v>
      </c>
      <c r="C168" s="579"/>
      <c r="D168" s="579"/>
      <c r="E168" s="579"/>
      <c r="F168" s="580"/>
      <c r="G168" s="587" t="s">
        <v>595</v>
      </c>
      <c r="H168" s="588"/>
    </row>
    <row r="169" spans="2:8" x14ac:dyDescent="0.25">
      <c r="B169" s="581"/>
      <c r="C169" s="582"/>
      <c r="D169" s="582"/>
      <c r="E169" s="582"/>
      <c r="F169" s="583"/>
      <c r="G169" s="589"/>
      <c r="H169" s="590"/>
    </row>
    <row r="170" spans="2:8" x14ac:dyDescent="0.25">
      <c r="B170" s="584"/>
      <c r="C170" s="585"/>
      <c r="D170" s="585"/>
      <c r="E170" s="585"/>
      <c r="F170" s="586"/>
      <c r="G170" s="591"/>
      <c r="H170" s="592"/>
    </row>
    <row r="171" spans="2:8" x14ac:dyDescent="0.25">
      <c r="B171" s="518" t="s">
        <v>0</v>
      </c>
      <c r="C171" s="515">
        <f>+PRESUPUESTO!B24</f>
        <v>2.4</v>
      </c>
      <c r="D171" s="516"/>
      <c r="E171" s="516"/>
      <c r="F171" s="516"/>
      <c r="G171" s="516"/>
      <c r="H171" s="517"/>
    </row>
    <row r="172" spans="2:8" x14ac:dyDescent="0.25">
      <c r="B172" s="214" t="s">
        <v>19</v>
      </c>
      <c r="C172" s="266"/>
      <c r="D172" s="266"/>
      <c r="E172" s="266"/>
      <c r="F172" s="296"/>
      <c r="G172" s="266"/>
      <c r="H172" s="216"/>
    </row>
    <row r="173" spans="2:8" x14ac:dyDescent="0.25">
      <c r="B173" s="560" t="s">
        <v>20</v>
      </c>
      <c r="C173" s="561"/>
      <c r="D173" s="297" t="s">
        <v>21</v>
      </c>
      <c r="E173" s="297" t="s">
        <v>22</v>
      </c>
      <c r="F173" s="298" t="s">
        <v>23</v>
      </c>
      <c r="G173" s="299" t="s">
        <v>24</v>
      </c>
      <c r="H173" s="300" t="s">
        <v>482</v>
      </c>
    </row>
    <row r="174" spans="2:8" x14ac:dyDescent="0.25">
      <c r="B174" s="562" t="s">
        <v>8</v>
      </c>
      <c r="C174" s="563"/>
      <c r="D174" s="301"/>
      <c r="E174" s="302"/>
      <c r="F174" s="303">
        <v>0.1</v>
      </c>
      <c r="G174" s="287">
        <f>+H195</f>
        <v>64237.202640000003</v>
      </c>
      <c r="H174" s="304">
        <f>+G174*F174</f>
        <v>6423.7202640000005</v>
      </c>
    </row>
    <row r="175" spans="2:8" x14ac:dyDescent="0.25">
      <c r="B175" s="600"/>
      <c r="C175" s="601"/>
      <c r="D175" s="301"/>
      <c r="E175" s="302"/>
      <c r="F175" s="289"/>
      <c r="G175" s="287"/>
      <c r="H175" s="304"/>
    </row>
    <row r="176" spans="2:8" x14ac:dyDescent="0.25">
      <c r="B176" s="562"/>
      <c r="C176" s="563"/>
      <c r="D176" s="301"/>
      <c r="E176" s="302"/>
      <c r="F176" s="289"/>
      <c r="G176" s="287"/>
      <c r="H176" s="304"/>
    </row>
    <row r="177" spans="2:8" x14ac:dyDescent="0.25">
      <c r="B177" s="305"/>
      <c r="C177" s="266"/>
      <c r="D177" s="266"/>
      <c r="E177" s="266"/>
      <c r="F177" s="296"/>
      <c r="G177" s="306" t="s">
        <v>25</v>
      </c>
      <c r="H177" s="307">
        <f>SUM(H174:H176)</f>
        <v>6423.7202640000005</v>
      </c>
    </row>
    <row r="178" spans="2:8" x14ac:dyDescent="0.25">
      <c r="B178" s="214" t="s">
        <v>26</v>
      </c>
      <c r="C178" s="266"/>
      <c r="D178" s="266"/>
      <c r="E178" s="266"/>
      <c r="F178" s="308"/>
      <c r="G178" s="308"/>
      <c r="H178" s="309"/>
    </row>
    <row r="179" spans="2:8" x14ac:dyDescent="0.25">
      <c r="B179" s="560" t="s">
        <v>20</v>
      </c>
      <c r="C179" s="561"/>
      <c r="D179" s="297" t="s">
        <v>27</v>
      </c>
      <c r="E179" s="297" t="s">
        <v>29</v>
      </c>
      <c r="F179" s="298" t="s">
        <v>598</v>
      </c>
      <c r="G179" s="299" t="s">
        <v>597</v>
      </c>
      <c r="H179" s="310" t="s">
        <v>482</v>
      </c>
    </row>
    <row r="180" spans="2:8" x14ac:dyDescent="0.25">
      <c r="B180" s="626" t="s">
        <v>601</v>
      </c>
      <c r="C180" s="627"/>
      <c r="D180" s="285" t="s">
        <v>72</v>
      </c>
      <c r="E180" s="413">
        <v>1</v>
      </c>
      <c r="F180" s="416">
        <v>850000</v>
      </c>
      <c r="G180" s="416">
        <f>+E180*F180</f>
        <v>850000</v>
      </c>
      <c r="H180" s="418">
        <f>+G180</f>
        <v>850000</v>
      </c>
    </row>
    <row r="181" spans="2:8" x14ac:dyDescent="0.25">
      <c r="B181" s="624"/>
      <c r="C181" s="625"/>
      <c r="D181" s="285"/>
      <c r="E181" s="414"/>
      <c r="F181" s="289"/>
      <c r="G181" s="274"/>
      <c r="H181" s="275"/>
    </row>
    <row r="182" spans="2:8" x14ac:dyDescent="0.25">
      <c r="B182" s="624"/>
      <c r="C182" s="625"/>
      <c r="D182" s="285"/>
      <c r="E182" s="414"/>
      <c r="F182" s="289"/>
      <c r="G182" s="274"/>
      <c r="H182" s="275"/>
    </row>
    <row r="183" spans="2:8" x14ac:dyDescent="0.25">
      <c r="B183" s="596"/>
      <c r="C183" s="597"/>
      <c r="D183" s="285"/>
      <c r="E183" s="415"/>
      <c r="F183" s="303"/>
      <c r="G183" s="287"/>
      <c r="H183" s="275"/>
    </row>
    <row r="184" spans="2:8" x14ac:dyDescent="0.25">
      <c r="B184" s="305"/>
      <c r="C184" s="266"/>
      <c r="D184" s="266"/>
      <c r="E184" s="266"/>
      <c r="F184" s="308"/>
      <c r="G184" s="306" t="s">
        <v>25</v>
      </c>
      <c r="H184" s="312">
        <f>SUM(H180:H183)</f>
        <v>850000</v>
      </c>
    </row>
    <row r="185" spans="2:8" x14ac:dyDescent="0.25">
      <c r="B185" s="214" t="s">
        <v>30</v>
      </c>
      <c r="C185" s="266"/>
      <c r="D185" s="266"/>
      <c r="E185" s="266"/>
      <c r="F185" s="308"/>
      <c r="G185" s="308"/>
      <c r="H185" s="304"/>
    </row>
    <row r="186" spans="2:8" x14ac:dyDescent="0.25">
      <c r="B186" s="560" t="s">
        <v>20</v>
      </c>
      <c r="C186" s="561"/>
      <c r="D186" s="297" t="s">
        <v>21</v>
      </c>
      <c r="E186" s="297" t="s">
        <v>127</v>
      </c>
      <c r="F186" s="298" t="s">
        <v>32</v>
      </c>
      <c r="G186" s="297" t="s">
        <v>24</v>
      </c>
      <c r="H186" s="313" t="s">
        <v>481</v>
      </c>
    </row>
    <row r="187" spans="2:8" x14ac:dyDescent="0.25">
      <c r="B187" s="598" t="s">
        <v>599</v>
      </c>
      <c r="C187" s="599"/>
      <c r="D187" s="314" t="s">
        <v>600</v>
      </c>
      <c r="E187" s="315">
        <v>1</v>
      </c>
      <c r="F187" s="274">
        <v>7070</v>
      </c>
      <c r="G187" s="274">
        <f>+E187*F187</f>
        <v>7070</v>
      </c>
      <c r="H187" s="304">
        <f>+G187</f>
        <v>7070</v>
      </c>
    </row>
    <row r="188" spans="2:8" x14ac:dyDescent="0.25">
      <c r="B188" s="598"/>
      <c r="C188" s="599"/>
      <c r="D188" s="314"/>
      <c r="E188" s="316"/>
      <c r="F188" s="317"/>
      <c r="G188" s="316"/>
      <c r="H188" s="318"/>
    </row>
    <row r="189" spans="2:8" x14ac:dyDescent="0.25">
      <c r="B189" s="305"/>
      <c r="C189" s="266"/>
      <c r="D189" s="266"/>
      <c r="E189" s="266"/>
      <c r="F189" s="296"/>
      <c r="G189" s="306" t="s">
        <v>25</v>
      </c>
      <c r="H189" s="319">
        <f>+H187</f>
        <v>7070</v>
      </c>
    </row>
    <row r="190" spans="2:8" x14ac:dyDescent="0.25">
      <c r="B190" s="214" t="s">
        <v>34</v>
      </c>
      <c r="C190" s="266"/>
      <c r="D190" s="266"/>
      <c r="E190" s="266"/>
      <c r="F190" s="296"/>
      <c r="G190" s="308"/>
      <c r="H190" s="320"/>
    </row>
    <row r="191" spans="2:8" x14ac:dyDescent="0.25">
      <c r="B191" s="321" t="s">
        <v>35</v>
      </c>
      <c r="C191" s="321" t="s">
        <v>29</v>
      </c>
      <c r="D191" s="321" t="s">
        <v>36</v>
      </c>
      <c r="E191" s="321" t="s">
        <v>37</v>
      </c>
      <c r="F191" s="322" t="s">
        <v>38</v>
      </c>
      <c r="G191" s="323" t="s">
        <v>23</v>
      </c>
      <c r="H191" s="324" t="s">
        <v>24</v>
      </c>
    </row>
    <row r="192" spans="2:8" x14ac:dyDescent="0.25">
      <c r="B192" s="288" t="s">
        <v>39</v>
      </c>
      <c r="C192" s="316">
        <v>1</v>
      </c>
      <c r="D192" s="325">
        <v>93381.6</v>
      </c>
      <c r="E192" s="326">
        <v>1.8344</v>
      </c>
      <c r="F192" s="327">
        <f>+D192*C192*E192</f>
        <v>171299.20704000001</v>
      </c>
      <c r="G192" s="316">
        <v>6</v>
      </c>
      <c r="H192" s="274">
        <f>F192/G192</f>
        <v>28549.867840000003</v>
      </c>
    </row>
    <row r="193" spans="2:8" x14ac:dyDescent="0.25">
      <c r="B193" s="288" t="s">
        <v>496</v>
      </c>
      <c r="C193" s="316">
        <v>2</v>
      </c>
      <c r="D193" s="325">
        <v>58363.5</v>
      </c>
      <c r="E193" s="326">
        <v>1.8344</v>
      </c>
      <c r="F193" s="327">
        <f>+D193*C193*E193</f>
        <v>214124.00880000001</v>
      </c>
      <c r="G193" s="316">
        <v>6</v>
      </c>
      <c r="H193" s="274">
        <f>+F193/G193</f>
        <v>35687.334800000004</v>
      </c>
    </row>
    <row r="194" spans="2:8" x14ac:dyDescent="0.25">
      <c r="B194" s="288"/>
      <c r="C194" s="288"/>
      <c r="D194" s="317"/>
      <c r="E194" s="288"/>
      <c r="F194" s="317"/>
      <c r="G194" s="288"/>
      <c r="H194" s="327"/>
    </row>
    <row r="195" spans="2:8" x14ac:dyDescent="0.25">
      <c r="B195" s="305"/>
      <c r="C195" s="266"/>
      <c r="D195" s="266"/>
      <c r="E195" s="266"/>
      <c r="F195" s="296"/>
      <c r="G195" s="306" t="s">
        <v>25</v>
      </c>
      <c r="H195" s="328">
        <f>+SUM(H192:H194)</f>
        <v>64237.202640000003</v>
      </c>
    </row>
    <row r="196" spans="2:8" x14ac:dyDescent="0.25">
      <c r="B196" s="217"/>
      <c r="C196" s="26"/>
      <c r="D196" s="26"/>
      <c r="E196" s="26"/>
      <c r="F196" s="215"/>
      <c r="G196" s="256"/>
      <c r="H196" s="218"/>
    </row>
    <row r="197" spans="2:8" ht="15.6" x14ac:dyDescent="0.25">
      <c r="B197" s="258"/>
      <c r="C197" s="479" t="s">
        <v>645</v>
      </c>
      <c r="D197" s="477"/>
      <c r="E197" s="477"/>
      <c r="F197" s="477"/>
      <c r="G197" s="469" t="s">
        <v>41</v>
      </c>
      <c r="H197" s="254">
        <f>+H177+H184+H189+H195</f>
        <v>927730.92290400004</v>
      </c>
    </row>
    <row r="198" spans="2:8" ht="15.6" x14ac:dyDescent="0.25">
      <c r="B198" s="258"/>
      <c r="C198" s="479"/>
      <c r="D198" s="477"/>
      <c r="E198" s="477"/>
      <c r="F198" s="477"/>
      <c r="G198" s="255"/>
      <c r="H198" s="219"/>
    </row>
    <row r="199" spans="2:8" ht="15.6" x14ac:dyDescent="0.25">
      <c r="B199" s="258"/>
      <c r="C199" s="479"/>
      <c r="D199" s="477"/>
      <c r="E199" s="477"/>
      <c r="F199" s="477"/>
      <c r="G199" s="255"/>
      <c r="H199" s="219"/>
    </row>
    <row r="200" spans="2:8" ht="15.6" x14ac:dyDescent="0.25">
      <c r="B200" s="258"/>
      <c r="C200" s="475" t="s">
        <v>643</v>
      </c>
      <c r="D200" s="474"/>
      <c r="E200" s="477"/>
      <c r="F200" s="477"/>
      <c r="G200" s="255"/>
      <c r="H200" s="219"/>
    </row>
    <row r="201" spans="2:8" ht="15" x14ac:dyDescent="0.25">
      <c r="B201" s="262"/>
      <c r="C201" s="200" t="s">
        <v>590</v>
      </c>
      <c r="D201" s="474"/>
      <c r="E201" s="478"/>
      <c r="F201" s="478"/>
      <c r="G201" s="255"/>
      <c r="H201" s="219"/>
    </row>
    <row r="202" spans="2:8" ht="15" x14ac:dyDescent="0.25">
      <c r="B202" s="264"/>
      <c r="C202" s="261" t="s">
        <v>591</v>
      </c>
      <c r="D202" s="474"/>
      <c r="E202" s="478"/>
      <c r="F202" s="478"/>
      <c r="G202" s="255"/>
      <c r="H202" s="219"/>
    </row>
    <row r="203" spans="2:8" ht="15" x14ac:dyDescent="0.25">
      <c r="B203" s="265"/>
      <c r="C203" s="261" t="s">
        <v>644</v>
      </c>
      <c r="D203" s="474"/>
      <c r="E203" s="478"/>
      <c r="F203" s="478"/>
      <c r="G203" s="255"/>
      <c r="H203" s="219"/>
    </row>
    <row r="204" spans="2:8" x14ac:dyDescent="0.25">
      <c r="B204" s="267"/>
      <c r="C204" s="268"/>
      <c r="D204" s="259"/>
      <c r="E204" s="259"/>
      <c r="F204" s="259"/>
      <c r="G204" s="259"/>
      <c r="H204" s="260"/>
    </row>
    <row r="215" spans="2:8" ht="15.6" x14ac:dyDescent="0.25">
      <c r="B215" s="566" t="s">
        <v>320</v>
      </c>
      <c r="C215" s="567"/>
      <c r="D215" s="567"/>
      <c r="E215" s="567"/>
      <c r="F215" s="567"/>
      <c r="G215" s="567"/>
      <c r="H215" s="568"/>
    </row>
    <row r="216" spans="2:8" x14ac:dyDescent="0.25">
      <c r="B216" s="569" t="str">
        <f>+PRESUPUESTO!B1</f>
        <v>MANTENIMIENTO Y ADECUACIÓN DE INSTITUCIONES EDUCATIVAS OFICIALES, DEL MUNICIPIO DE LA APARTADA CORDOBA.</v>
      </c>
      <c r="C216" s="570"/>
      <c r="D216" s="570"/>
      <c r="E216" s="570"/>
      <c r="F216" s="570"/>
      <c r="G216" s="570"/>
      <c r="H216" s="571"/>
    </row>
    <row r="217" spans="2:8" x14ac:dyDescent="0.25">
      <c r="B217" s="572"/>
      <c r="C217" s="573"/>
      <c r="D217" s="573"/>
      <c r="E217" s="573"/>
      <c r="F217" s="573"/>
      <c r="G217" s="573"/>
      <c r="H217" s="574"/>
    </row>
    <row r="218" spans="2:8" x14ac:dyDescent="0.25">
      <c r="B218" s="575"/>
      <c r="C218" s="576"/>
      <c r="D218" s="576"/>
      <c r="E218" s="576"/>
      <c r="F218" s="576"/>
      <c r="G218" s="576"/>
      <c r="H218" s="577"/>
    </row>
    <row r="219" spans="2:8" x14ac:dyDescent="0.25">
      <c r="B219" s="578" t="str">
        <f>+PRESUPUESTO!C25</f>
        <v>DESMONTE DE SANITARIOS EN MAL ESTADO.</v>
      </c>
      <c r="C219" s="579"/>
      <c r="D219" s="579"/>
      <c r="E219" s="579"/>
      <c r="F219" s="580"/>
      <c r="G219" s="587" t="s">
        <v>595</v>
      </c>
      <c r="H219" s="588"/>
    </row>
    <row r="220" spans="2:8" x14ac:dyDescent="0.25">
      <c r="B220" s="581"/>
      <c r="C220" s="582"/>
      <c r="D220" s="582"/>
      <c r="E220" s="582"/>
      <c r="F220" s="583"/>
      <c r="G220" s="589"/>
      <c r="H220" s="590"/>
    </row>
    <row r="221" spans="2:8" x14ac:dyDescent="0.25">
      <c r="B221" s="584"/>
      <c r="C221" s="585"/>
      <c r="D221" s="585"/>
      <c r="E221" s="585"/>
      <c r="F221" s="586"/>
      <c r="G221" s="591"/>
      <c r="H221" s="592"/>
    </row>
    <row r="222" spans="2:8" x14ac:dyDescent="0.25">
      <c r="B222" s="518" t="s">
        <v>0</v>
      </c>
      <c r="C222" s="515">
        <f>+PRESUPUESTO!B25</f>
        <v>2.5</v>
      </c>
      <c r="D222" s="516"/>
      <c r="E222" s="516"/>
      <c r="F222" s="516"/>
      <c r="G222" s="516"/>
      <c r="H222" s="517"/>
    </row>
    <row r="223" spans="2:8" x14ac:dyDescent="0.25">
      <c r="B223" s="214" t="s">
        <v>19</v>
      </c>
      <c r="C223" s="266"/>
      <c r="D223" s="266"/>
      <c r="E223" s="266"/>
      <c r="F223" s="296"/>
      <c r="G223" s="266"/>
      <c r="H223" s="216"/>
    </row>
    <row r="224" spans="2:8" x14ac:dyDescent="0.25">
      <c r="B224" s="560" t="s">
        <v>20</v>
      </c>
      <c r="C224" s="561"/>
      <c r="D224" s="297" t="s">
        <v>21</v>
      </c>
      <c r="E224" s="297" t="s">
        <v>22</v>
      </c>
      <c r="F224" s="298" t="s">
        <v>23</v>
      </c>
      <c r="G224" s="299" t="s">
        <v>24</v>
      </c>
      <c r="H224" s="300" t="s">
        <v>482</v>
      </c>
    </row>
    <row r="225" spans="2:8" x14ac:dyDescent="0.25">
      <c r="B225" s="562" t="s">
        <v>8</v>
      </c>
      <c r="C225" s="563"/>
      <c r="D225" s="301"/>
      <c r="E225" s="302"/>
      <c r="F225" s="303">
        <v>0.1</v>
      </c>
      <c r="G225" s="287">
        <f>+H245</f>
        <v>96355.803960000005</v>
      </c>
      <c r="H225" s="304">
        <f>+F225*G225</f>
        <v>9635.5803960000012</v>
      </c>
    </row>
    <row r="226" spans="2:8" x14ac:dyDescent="0.25">
      <c r="B226" s="600"/>
      <c r="C226" s="601"/>
      <c r="D226" s="301"/>
      <c r="E226" s="302"/>
      <c r="F226" s="289"/>
      <c r="G226" s="287"/>
      <c r="H226" s="304"/>
    </row>
    <row r="227" spans="2:8" x14ac:dyDescent="0.25">
      <c r="B227" s="562"/>
      <c r="C227" s="563"/>
      <c r="D227" s="301"/>
      <c r="E227" s="302"/>
      <c r="F227" s="289"/>
      <c r="G227" s="287"/>
      <c r="H227" s="304"/>
    </row>
    <row r="228" spans="2:8" x14ac:dyDescent="0.25">
      <c r="B228" s="305"/>
      <c r="C228" s="266"/>
      <c r="D228" s="266"/>
      <c r="E228" s="266"/>
      <c r="F228" s="296"/>
      <c r="G228" s="306" t="s">
        <v>25</v>
      </c>
      <c r="H228" s="307">
        <f>SUM(H225:H227)</f>
        <v>9635.5803960000012</v>
      </c>
    </row>
    <row r="229" spans="2:8" x14ac:dyDescent="0.25">
      <c r="B229" s="214" t="s">
        <v>26</v>
      </c>
      <c r="C229" s="266"/>
      <c r="D229" s="266"/>
      <c r="E229" s="266"/>
      <c r="F229" s="308"/>
      <c r="G229" s="308"/>
      <c r="H229" s="309"/>
    </row>
    <row r="230" spans="2:8" x14ac:dyDescent="0.25">
      <c r="B230" s="560" t="s">
        <v>20</v>
      </c>
      <c r="C230" s="561"/>
      <c r="D230" s="297" t="s">
        <v>27</v>
      </c>
      <c r="E230" s="297" t="s">
        <v>29</v>
      </c>
      <c r="F230" s="298" t="s">
        <v>598</v>
      </c>
      <c r="G230" s="299" t="s">
        <v>597</v>
      </c>
      <c r="H230" s="310" t="s">
        <v>482</v>
      </c>
    </row>
    <row r="231" spans="2:8" x14ac:dyDescent="0.25">
      <c r="B231" s="554"/>
      <c r="C231" s="555"/>
      <c r="D231" s="285"/>
      <c r="E231" s="311"/>
      <c r="F231" s="289"/>
      <c r="G231" s="274"/>
      <c r="H231" s="275"/>
    </row>
    <row r="232" spans="2:8" x14ac:dyDescent="0.25">
      <c r="B232" s="596"/>
      <c r="C232" s="597"/>
      <c r="D232" s="285"/>
      <c r="E232" s="272"/>
      <c r="F232" s="289"/>
      <c r="G232" s="274"/>
      <c r="H232" s="275"/>
    </row>
    <row r="233" spans="2:8" x14ac:dyDescent="0.25">
      <c r="B233" s="596"/>
      <c r="C233" s="597"/>
      <c r="D233" s="285"/>
      <c r="E233" s="286"/>
      <c r="F233" s="303"/>
      <c r="G233" s="287"/>
      <c r="H233" s="275"/>
    </row>
    <row r="234" spans="2:8" x14ac:dyDescent="0.25">
      <c r="B234" s="305"/>
      <c r="C234" s="266"/>
      <c r="D234" s="266"/>
      <c r="E234" s="266"/>
      <c r="F234" s="308"/>
      <c r="G234" s="306" t="s">
        <v>25</v>
      </c>
      <c r="H234" s="312">
        <f>SUM(H231:H233)</f>
        <v>0</v>
      </c>
    </row>
    <row r="235" spans="2:8" x14ac:dyDescent="0.25">
      <c r="B235" s="214" t="s">
        <v>30</v>
      </c>
      <c r="C235" s="266"/>
      <c r="D235" s="266"/>
      <c r="E235" s="266"/>
      <c r="F235" s="308"/>
      <c r="G235" s="308"/>
      <c r="H235" s="304"/>
    </row>
    <row r="236" spans="2:8" x14ac:dyDescent="0.25">
      <c r="B236" s="560" t="s">
        <v>20</v>
      </c>
      <c r="C236" s="561"/>
      <c r="D236" s="297" t="s">
        <v>21</v>
      </c>
      <c r="E236" s="297" t="s">
        <v>127</v>
      </c>
      <c r="F236" s="298" t="s">
        <v>32</v>
      </c>
      <c r="G236" s="297" t="s">
        <v>24</v>
      </c>
      <c r="H236" s="313" t="s">
        <v>481</v>
      </c>
    </row>
    <row r="237" spans="2:8" x14ac:dyDescent="0.25">
      <c r="B237" s="598"/>
      <c r="C237" s="599"/>
      <c r="D237" s="314"/>
      <c r="E237" s="315"/>
      <c r="F237" s="274"/>
      <c r="G237" s="274">
        <f>+E237*F237</f>
        <v>0</v>
      </c>
      <c r="H237" s="304">
        <f>+G237</f>
        <v>0</v>
      </c>
    </row>
    <row r="238" spans="2:8" x14ac:dyDescent="0.25">
      <c r="B238" s="598"/>
      <c r="C238" s="599"/>
      <c r="D238" s="314"/>
      <c r="E238" s="316"/>
      <c r="F238" s="317"/>
      <c r="G238" s="316"/>
      <c r="H238" s="318"/>
    </row>
    <row r="239" spans="2:8" x14ac:dyDescent="0.25">
      <c r="B239" s="305"/>
      <c r="C239" s="266"/>
      <c r="D239" s="266"/>
      <c r="E239" s="266"/>
      <c r="F239" s="296"/>
      <c r="G239" s="306" t="s">
        <v>25</v>
      </c>
      <c r="H239" s="319">
        <f>+H237</f>
        <v>0</v>
      </c>
    </row>
    <row r="240" spans="2:8" x14ac:dyDescent="0.25">
      <c r="B240" s="214" t="s">
        <v>34</v>
      </c>
      <c r="C240" s="266"/>
      <c r="D240" s="266"/>
      <c r="E240" s="266"/>
      <c r="F240" s="296"/>
      <c r="G240" s="308"/>
      <c r="H240" s="320"/>
    </row>
    <row r="241" spans="2:8" x14ac:dyDescent="0.25">
      <c r="B241" s="321" t="s">
        <v>35</v>
      </c>
      <c r="C241" s="321" t="s">
        <v>29</v>
      </c>
      <c r="D241" s="321" t="s">
        <v>36</v>
      </c>
      <c r="E241" s="321" t="s">
        <v>37</v>
      </c>
      <c r="F241" s="322" t="s">
        <v>38</v>
      </c>
      <c r="G241" s="323" t="s">
        <v>23</v>
      </c>
      <c r="H241" s="324" t="s">
        <v>24</v>
      </c>
    </row>
    <row r="242" spans="2:8" x14ac:dyDescent="0.25">
      <c r="B242" s="288" t="s">
        <v>39</v>
      </c>
      <c r="C242" s="316">
        <v>1</v>
      </c>
      <c r="D242" s="325">
        <v>93381.6</v>
      </c>
      <c r="E242" s="326">
        <v>1.8344</v>
      </c>
      <c r="F242" s="327">
        <f>+D242*C242*E242</f>
        <v>171299.20704000001</v>
      </c>
      <c r="G242" s="316">
        <v>4</v>
      </c>
      <c r="H242" s="274">
        <f>F242/G242</f>
        <v>42824.801760000002</v>
      </c>
    </row>
    <row r="243" spans="2:8" x14ac:dyDescent="0.25">
      <c r="B243" s="288" t="s">
        <v>496</v>
      </c>
      <c r="C243" s="316">
        <v>2</v>
      </c>
      <c r="D243" s="325">
        <v>58363.5</v>
      </c>
      <c r="E243" s="326">
        <v>1.8344</v>
      </c>
      <c r="F243" s="327">
        <f>+D243*C243*E243</f>
        <v>214124.00880000001</v>
      </c>
      <c r="G243" s="316">
        <v>4</v>
      </c>
      <c r="H243" s="274">
        <f>+F243/G243</f>
        <v>53531.002200000003</v>
      </c>
    </row>
    <row r="244" spans="2:8" x14ac:dyDescent="0.25">
      <c r="B244" s="288"/>
      <c r="C244" s="288"/>
      <c r="D244" s="317"/>
      <c r="E244" s="288"/>
      <c r="F244" s="317"/>
      <c r="G244" s="288"/>
      <c r="H244" s="327"/>
    </row>
    <row r="245" spans="2:8" x14ac:dyDescent="0.25">
      <c r="B245" s="305"/>
      <c r="C245" s="266"/>
      <c r="D245" s="266"/>
      <c r="E245" s="266"/>
      <c r="F245" s="296"/>
      <c r="G245" s="306" t="s">
        <v>25</v>
      </c>
      <c r="H245" s="328">
        <f>+SUM(H242:H244)</f>
        <v>96355.803960000005</v>
      </c>
    </row>
    <row r="246" spans="2:8" x14ac:dyDescent="0.25">
      <c r="B246" s="217"/>
      <c r="C246" s="26"/>
      <c r="D246" s="26"/>
      <c r="E246" s="26"/>
      <c r="F246" s="215"/>
      <c r="G246" s="256"/>
      <c r="H246" s="218"/>
    </row>
    <row r="247" spans="2:8" ht="15.6" x14ac:dyDescent="0.25">
      <c r="B247" s="258"/>
      <c r="C247" s="479" t="s">
        <v>645</v>
      </c>
      <c r="D247" s="477"/>
      <c r="E247" s="477"/>
      <c r="F247" s="477"/>
      <c r="G247" s="469" t="s">
        <v>41</v>
      </c>
      <c r="H247" s="254">
        <f>+H228+H234+H239+H245</f>
        <v>105991.38435600001</v>
      </c>
    </row>
    <row r="248" spans="2:8" ht="15.6" x14ac:dyDescent="0.25">
      <c r="B248" s="258"/>
      <c r="C248" s="479"/>
      <c r="D248" s="477"/>
      <c r="E248" s="477"/>
      <c r="F248" s="477"/>
      <c r="G248" s="255"/>
      <c r="H248" s="219"/>
    </row>
    <row r="249" spans="2:8" ht="15.6" x14ac:dyDescent="0.25">
      <c r="B249" s="258"/>
      <c r="C249" s="479"/>
      <c r="D249" s="477"/>
      <c r="E249" s="477"/>
      <c r="F249" s="477"/>
      <c r="G249" s="255"/>
      <c r="H249" s="219"/>
    </row>
    <row r="250" spans="2:8" ht="15.6" x14ac:dyDescent="0.25">
      <c r="B250" s="258"/>
      <c r="C250" s="475" t="s">
        <v>643</v>
      </c>
      <c r="D250" s="474"/>
      <c r="E250" s="477"/>
      <c r="F250" s="477"/>
      <c r="G250" s="255"/>
      <c r="H250" s="219"/>
    </row>
    <row r="251" spans="2:8" ht="15" x14ac:dyDescent="0.25">
      <c r="B251" s="262"/>
      <c r="C251" s="200" t="s">
        <v>590</v>
      </c>
      <c r="D251" s="474"/>
      <c r="E251" s="478"/>
      <c r="F251" s="478"/>
      <c r="G251" s="255"/>
      <c r="H251" s="219"/>
    </row>
    <row r="252" spans="2:8" ht="15" x14ac:dyDescent="0.25">
      <c r="B252" s="264"/>
      <c r="C252" s="261" t="s">
        <v>591</v>
      </c>
      <c r="D252" s="474"/>
      <c r="E252" s="478"/>
      <c r="F252" s="478"/>
      <c r="G252" s="255"/>
      <c r="H252" s="219"/>
    </row>
    <row r="253" spans="2:8" ht="15" x14ac:dyDescent="0.25">
      <c r="B253" s="265"/>
      <c r="C253" s="261" t="s">
        <v>644</v>
      </c>
      <c r="D253" s="474"/>
      <c r="E253" s="478"/>
      <c r="F253" s="478"/>
      <c r="G253" s="255"/>
      <c r="H253" s="219"/>
    </row>
    <row r="254" spans="2:8" x14ac:dyDescent="0.25">
      <c r="B254" s="267"/>
      <c r="C254" s="268"/>
      <c r="D254" s="259"/>
      <c r="E254" s="259"/>
      <c r="F254" s="259"/>
      <c r="G254" s="259"/>
      <c r="H254" s="260"/>
    </row>
    <row r="265" spans="2:8" ht="15.6" x14ac:dyDescent="0.25">
      <c r="B265" s="609" t="s">
        <v>320</v>
      </c>
      <c r="C265" s="609"/>
      <c r="D265" s="609"/>
      <c r="E265" s="609"/>
      <c r="F265" s="609"/>
      <c r="G265" s="609"/>
      <c r="H265" s="609"/>
    </row>
    <row r="266" spans="2:8" x14ac:dyDescent="0.25">
      <c r="B266" s="569" t="str">
        <f>+PRESUPUESTO!B1</f>
        <v>MANTENIMIENTO Y ADECUACIÓN DE INSTITUCIONES EDUCATIVAS OFICIALES, DEL MUNICIPIO DE LA APARTADA CORDOBA.</v>
      </c>
      <c r="C266" s="570"/>
      <c r="D266" s="570"/>
      <c r="E266" s="570"/>
      <c r="F266" s="570"/>
      <c r="G266" s="570"/>
      <c r="H266" s="571"/>
    </row>
    <row r="267" spans="2:8" x14ac:dyDescent="0.25">
      <c r="B267" s="572"/>
      <c r="C267" s="573"/>
      <c r="D267" s="573"/>
      <c r="E267" s="573"/>
      <c r="F267" s="573"/>
      <c r="G267" s="573"/>
      <c r="H267" s="574"/>
    </row>
    <row r="268" spans="2:8" x14ac:dyDescent="0.25">
      <c r="B268" s="575"/>
      <c r="C268" s="576"/>
      <c r="D268" s="576"/>
      <c r="E268" s="576"/>
      <c r="F268" s="576"/>
      <c r="G268" s="576"/>
      <c r="H268" s="577"/>
    </row>
    <row r="269" spans="2:8" x14ac:dyDescent="0.25">
      <c r="B269" s="578" t="str">
        <f>+PRESUPUESTO!C26</f>
        <v>S/I DE SANITARIOS CERÁMICO BLANCO, INCLUYE TODOS SUS ACCESORIOS, HASTA SU CORRECTO FUNCIONAMINETO.</v>
      </c>
      <c r="C269" s="579"/>
      <c r="D269" s="579"/>
      <c r="E269" s="579"/>
      <c r="F269" s="580"/>
      <c r="G269" s="615" t="s">
        <v>595</v>
      </c>
      <c r="H269" s="616"/>
    </row>
    <row r="270" spans="2:8" x14ac:dyDescent="0.25">
      <c r="B270" s="581"/>
      <c r="C270" s="582"/>
      <c r="D270" s="582"/>
      <c r="E270" s="582"/>
      <c r="F270" s="583"/>
      <c r="G270" s="617"/>
      <c r="H270" s="618"/>
    </row>
    <row r="271" spans="2:8" x14ac:dyDescent="0.25">
      <c r="B271" s="584"/>
      <c r="C271" s="585"/>
      <c r="D271" s="585"/>
      <c r="E271" s="585"/>
      <c r="F271" s="586"/>
      <c r="G271" s="619"/>
      <c r="H271" s="620"/>
    </row>
    <row r="272" spans="2:8" x14ac:dyDescent="0.25">
      <c r="B272" s="518" t="s">
        <v>0</v>
      </c>
      <c r="C272" s="515">
        <f>+PRESUPUESTO!B26</f>
        <v>2.6</v>
      </c>
      <c r="D272" s="516"/>
      <c r="E272" s="516"/>
      <c r="F272" s="516"/>
      <c r="G272" s="516"/>
      <c r="H272" s="517"/>
    </row>
    <row r="273" spans="2:8" x14ac:dyDescent="0.25">
      <c r="B273" s="214" t="s">
        <v>19</v>
      </c>
      <c r="C273" s="26" t="s">
        <v>497</v>
      </c>
      <c r="D273" s="26"/>
      <c r="E273" s="26"/>
      <c r="F273" s="215"/>
      <c r="G273" s="26"/>
      <c r="H273" s="216"/>
    </row>
    <row r="274" spans="2:8" x14ac:dyDescent="0.25">
      <c r="B274" s="602" t="s">
        <v>20</v>
      </c>
      <c r="C274" s="602"/>
      <c r="D274" s="297" t="s">
        <v>21</v>
      </c>
      <c r="E274" s="297" t="s">
        <v>22</v>
      </c>
      <c r="F274" s="298" t="s">
        <v>23</v>
      </c>
      <c r="G274" s="299" t="s">
        <v>24</v>
      </c>
      <c r="H274" s="300" t="s">
        <v>482</v>
      </c>
    </row>
    <row r="275" spans="2:8" x14ac:dyDescent="0.25">
      <c r="B275" s="605" t="s">
        <v>8</v>
      </c>
      <c r="C275" s="605"/>
      <c r="D275" s="301"/>
      <c r="E275" s="302"/>
      <c r="F275" s="303">
        <v>0.1</v>
      </c>
      <c r="G275" s="287">
        <f>+H298</f>
        <v>96834.001466666668</v>
      </c>
      <c r="H275" s="304">
        <f>+F275*G275</f>
        <v>9683.4001466666668</v>
      </c>
    </row>
    <row r="276" spans="2:8" x14ac:dyDescent="0.25">
      <c r="B276" s="604"/>
      <c r="C276" s="595"/>
      <c r="D276" s="301"/>
      <c r="E276" s="302"/>
      <c r="F276" s="289"/>
      <c r="G276" s="287"/>
      <c r="H276" s="304"/>
    </row>
    <row r="277" spans="2:8" x14ac:dyDescent="0.25">
      <c r="B277" s="605"/>
      <c r="C277" s="605"/>
      <c r="D277" s="301"/>
      <c r="E277" s="302"/>
      <c r="F277" s="289"/>
      <c r="G277" s="287"/>
      <c r="H277" s="304"/>
    </row>
    <row r="278" spans="2:8" x14ac:dyDescent="0.25">
      <c r="B278" s="305"/>
      <c r="C278" s="266"/>
      <c r="D278" s="266"/>
      <c r="E278" s="266"/>
      <c r="F278" s="296"/>
      <c r="G278" s="306" t="s">
        <v>25</v>
      </c>
      <c r="H278" s="307">
        <f>SUM(H275:H277)</f>
        <v>9683.4001466666668</v>
      </c>
    </row>
    <row r="279" spans="2:8" x14ac:dyDescent="0.25">
      <c r="B279" s="214" t="s">
        <v>26</v>
      </c>
      <c r="C279" s="26"/>
      <c r="D279" s="26"/>
      <c r="E279" s="26"/>
      <c r="F279" s="435"/>
      <c r="G279" s="435"/>
      <c r="H279" s="436"/>
    </row>
    <row r="280" spans="2:8" x14ac:dyDescent="0.25">
      <c r="B280" s="602" t="s">
        <v>20</v>
      </c>
      <c r="C280" s="602"/>
      <c r="D280" s="297" t="s">
        <v>27</v>
      </c>
      <c r="E280" s="297" t="s">
        <v>28</v>
      </c>
      <c r="F280" s="298" t="s">
        <v>29</v>
      </c>
      <c r="G280" s="299" t="s">
        <v>24</v>
      </c>
      <c r="H280" s="310" t="s">
        <v>482</v>
      </c>
    </row>
    <row r="281" spans="2:8" x14ac:dyDescent="0.25">
      <c r="B281" s="606" t="s">
        <v>612</v>
      </c>
      <c r="C281" s="606"/>
      <c r="D281" s="271" t="s">
        <v>1</v>
      </c>
      <c r="E281" s="272">
        <v>379000</v>
      </c>
      <c r="F281" s="273">
        <v>1</v>
      </c>
      <c r="G281" s="274">
        <f>E281*F281</f>
        <v>379000</v>
      </c>
      <c r="H281" s="275">
        <f>G281</f>
        <v>379000</v>
      </c>
    </row>
    <row r="282" spans="2:8" x14ac:dyDescent="0.25">
      <c r="B282" s="610" t="s">
        <v>608</v>
      </c>
      <c r="C282" s="611"/>
      <c r="D282" s="271" t="s">
        <v>1</v>
      </c>
      <c r="E282" s="272">
        <v>55000</v>
      </c>
      <c r="F282" s="273">
        <v>1</v>
      </c>
      <c r="G282" s="274">
        <f>E282*F282</f>
        <v>55000</v>
      </c>
      <c r="H282" s="275">
        <f>G282</f>
        <v>55000</v>
      </c>
    </row>
    <row r="283" spans="2:8" x14ac:dyDescent="0.25">
      <c r="B283" s="610" t="s">
        <v>609</v>
      </c>
      <c r="C283" s="611"/>
      <c r="D283" s="271" t="s">
        <v>1</v>
      </c>
      <c r="E283" s="272">
        <v>15000</v>
      </c>
      <c r="F283" s="273">
        <v>1</v>
      </c>
      <c r="G283" s="274">
        <f>E283*F283</f>
        <v>15000</v>
      </c>
      <c r="H283" s="275">
        <f>G283</f>
        <v>15000</v>
      </c>
    </row>
    <row r="284" spans="2:8" x14ac:dyDescent="0.25">
      <c r="B284" s="610" t="s">
        <v>610</v>
      </c>
      <c r="C284" s="611"/>
      <c r="D284" s="271" t="s">
        <v>1</v>
      </c>
      <c r="E284" s="272">
        <v>18000</v>
      </c>
      <c r="F284" s="273">
        <v>0.25</v>
      </c>
      <c r="G284" s="274">
        <f>E284*F284</f>
        <v>4500</v>
      </c>
      <c r="H284" s="275">
        <f>G284</f>
        <v>4500</v>
      </c>
    </row>
    <row r="285" spans="2:8" x14ac:dyDescent="0.25">
      <c r="B285" s="613" t="s">
        <v>611</v>
      </c>
      <c r="C285" s="613"/>
      <c r="D285" s="271" t="s">
        <v>1</v>
      </c>
      <c r="E285" s="272">
        <v>22000</v>
      </c>
      <c r="F285" s="273">
        <v>1</v>
      </c>
      <c r="G285" s="274">
        <f>E285*F285</f>
        <v>22000</v>
      </c>
      <c r="H285" s="275">
        <f>G285</f>
        <v>22000</v>
      </c>
    </row>
    <row r="286" spans="2:8" x14ac:dyDescent="0.25">
      <c r="B286" s="612"/>
      <c r="C286" s="612"/>
      <c r="D286" s="285"/>
      <c r="E286" s="286"/>
      <c r="F286" s="289"/>
      <c r="G286" s="287"/>
      <c r="H286" s="288"/>
    </row>
    <row r="287" spans="2:8" x14ac:dyDescent="0.25">
      <c r="B287" s="217"/>
      <c r="C287" s="26"/>
      <c r="D287" s="26"/>
      <c r="E287" s="26"/>
      <c r="F287" s="435"/>
      <c r="G287" s="306" t="s">
        <v>25</v>
      </c>
      <c r="H287" s="312">
        <f>SUM(H281:H286)</f>
        <v>475500</v>
      </c>
    </row>
    <row r="288" spans="2:8" x14ac:dyDescent="0.25">
      <c r="B288" s="214" t="s">
        <v>30</v>
      </c>
      <c r="C288" s="26"/>
      <c r="D288" s="26"/>
      <c r="E288" s="26"/>
      <c r="F288" s="435"/>
      <c r="G288" s="435"/>
      <c r="H288" s="433"/>
    </row>
    <row r="289" spans="2:8" x14ac:dyDescent="0.25">
      <c r="B289" s="602" t="s">
        <v>20</v>
      </c>
      <c r="C289" s="602"/>
      <c r="D289" s="297" t="s">
        <v>21</v>
      </c>
      <c r="E289" s="297" t="s">
        <v>127</v>
      </c>
      <c r="F289" s="298" t="s">
        <v>32</v>
      </c>
      <c r="G289" s="297" t="s">
        <v>24</v>
      </c>
      <c r="H289" s="313" t="s">
        <v>481</v>
      </c>
    </row>
    <row r="290" spans="2:8" x14ac:dyDescent="0.25">
      <c r="B290" s="614"/>
      <c r="C290" s="614"/>
      <c r="D290" s="439"/>
      <c r="E290" s="440"/>
      <c r="F290" s="437"/>
      <c r="G290" s="437"/>
      <c r="H290" s="433"/>
    </row>
    <row r="291" spans="2:8" x14ac:dyDescent="0.25">
      <c r="B291" s="614"/>
      <c r="C291" s="614"/>
      <c r="D291" s="439"/>
      <c r="E291" s="441"/>
      <c r="F291" s="442"/>
      <c r="G291" s="441"/>
      <c r="H291" s="412"/>
    </row>
    <row r="292" spans="2:8" x14ac:dyDescent="0.25">
      <c r="B292" s="217"/>
      <c r="C292" s="26"/>
      <c r="D292" s="26"/>
      <c r="E292" s="26"/>
      <c r="F292" s="215"/>
      <c r="G292" s="434" t="s">
        <v>25</v>
      </c>
      <c r="H292" s="443">
        <f>SUM(H290:H291)</f>
        <v>0</v>
      </c>
    </row>
    <row r="293" spans="2:8" x14ac:dyDescent="0.25">
      <c r="B293" s="214" t="s">
        <v>34</v>
      </c>
      <c r="C293" s="26"/>
      <c r="D293" s="26"/>
      <c r="E293" s="26"/>
      <c r="F293" s="215"/>
      <c r="G293" s="435"/>
      <c r="H293" s="218"/>
    </row>
    <row r="294" spans="2:8" x14ac:dyDescent="0.25">
      <c r="B294" s="444" t="s">
        <v>35</v>
      </c>
      <c r="C294" s="444" t="s">
        <v>29</v>
      </c>
      <c r="D294" s="444" t="s">
        <v>36</v>
      </c>
      <c r="E294" s="444" t="s">
        <v>37</v>
      </c>
      <c r="F294" s="445" t="s">
        <v>38</v>
      </c>
      <c r="G294" s="446" t="s">
        <v>23</v>
      </c>
      <c r="H294" s="447" t="s">
        <v>24</v>
      </c>
    </row>
    <row r="295" spans="2:8" x14ac:dyDescent="0.25">
      <c r="B295" s="288" t="s">
        <v>613</v>
      </c>
      <c r="C295" s="316">
        <v>1</v>
      </c>
      <c r="D295" s="325">
        <v>100000</v>
      </c>
      <c r="E295" s="326">
        <v>1.8344</v>
      </c>
      <c r="F295" s="327">
        <f>+D295*C295*E295</f>
        <v>183440</v>
      </c>
      <c r="G295" s="316">
        <v>3</v>
      </c>
      <c r="H295" s="274">
        <f>F295/G295</f>
        <v>61146.666666666664</v>
      </c>
    </row>
    <row r="296" spans="2:8" x14ac:dyDescent="0.25">
      <c r="B296" s="288" t="s">
        <v>496</v>
      </c>
      <c r="C296" s="316">
        <v>1</v>
      </c>
      <c r="D296" s="325">
        <f>+D193</f>
        <v>58363.5</v>
      </c>
      <c r="E296" s="326">
        <v>1.8344</v>
      </c>
      <c r="F296" s="327">
        <f>+D296*C296*E296</f>
        <v>107062.00440000001</v>
      </c>
      <c r="G296" s="316">
        <v>3</v>
      </c>
      <c r="H296" s="274">
        <f>+F296/G296</f>
        <v>35687.334800000004</v>
      </c>
    </row>
    <row r="297" spans="2:8" x14ac:dyDescent="0.25">
      <c r="B297" s="438"/>
      <c r="C297" s="438"/>
      <c r="D297" s="442"/>
      <c r="E297" s="438"/>
      <c r="F297" s="442"/>
      <c r="G297" s="438"/>
      <c r="H297" s="448"/>
    </row>
    <row r="298" spans="2:8" x14ac:dyDescent="0.25">
      <c r="B298" s="217"/>
      <c r="C298" s="26"/>
      <c r="D298" s="26"/>
      <c r="E298" s="26"/>
      <c r="F298" s="215"/>
      <c r="G298" s="306" t="s">
        <v>25</v>
      </c>
      <c r="H298" s="328">
        <f>+SUM(H295:H297)</f>
        <v>96834.001466666668</v>
      </c>
    </row>
    <row r="299" spans="2:8" x14ac:dyDescent="0.25">
      <c r="B299" s="217"/>
      <c r="C299" s="26"/>
      <c r="D299" s="26"/>
      <c r="E299" s="26"/>
      <c r="F299" s="215"/>
      <c r="G299" s="256"/>
      <c r="H299" s="218"/>
    </row>
    <row r="300" spans="2:8" ht="15.6" x14ac:dyDescent="0.25">
      <c r="B300" s="258"/>
      <c r="C300" s="479" t="s">
        <v>645</v>
      </c>
      <c r="D300" s="477"/>
      <c r="E300" s="477"/>
      <c r="F300" s="477"/>
      <c r="G300" s="469" t="s">
        <v>41</v>
      </c>
      <c r="H300" s="254">
        <f>+H278+H287+H292+H298</f>
        <v>582017.40161333338</v>
      </c>
    </row>
    <row r="301" spans="2:8" ht="15.6" x14ac:dyDescent="0.25">
      <c r="B301" s="258"/>
      <c r="C301" s="479"/>
      <c r="D301" s="477"/>
      <c r="E301" s="477"/>
      <c r="F301" s="477"/>
      <c r="G301" s="255"/>
      <c r="H301" s="219"/>
    </row>
    <row r="302" spans="2:8" ht="15.6" x14ac:dyDescent="0.25">
      <c r="B302" s="258"/>
      <c r="C302" s="479"/>
      <c r="D302" s="477"/>
      <c r="E302" s="477"/>
      <c r="F302" s="477"/>
      <c r="G302" s="255"/>
      <c r="H302" s="219"/>
    </row>
    <row r="303" spans="2:8" ht="15.6" x14ac:dyDescent="0.25">
      <c r="B303" s="258"/>
      <c r="C303" s="475" t="s">
        <v>643</v>
      </c>
      <c r="D303" s="474"/>
      <c r="E303" s="477"/>
      <c r="F303" s="477"/>
      <c r="G303" s="255"/>
      <c r="H303" s="219"/>
    </row>
    <row r="304" spans="2:8" ht="15" x14ac:dyDescent="0.25">
      <c r="B304" s="262"/>
      <c r="C304" s="200" t="s">
        <v>590</v>
      </c>
      <c r="D304" s="474"/>
      <c r="E304" s="478"/>
      <c r="F304" s="478"/>
      <c r="G304" s="255"/>
      <c r="H304" s="219"/>
    </row>
    <row r="305" spans="2:8" ht="15" x14ac:dyDescent="0.25">
      <c r="B305" s="264"/>
      <c r="C305" s="261" t="s">
        <v>591</v>
      </c>
      <c r="D305" s="474"/>
      <c r="E305" s="478"/>
      <c r="F305" s="478"/>
      <c r="G305" s="255"/>
      <c r="H305" s="465"/>
    </row>
    <row r="306" spans="2:8" ht="15" x14ac:dyDescent="0.25">
      <c r="B306" s="265"/>
      <c r="C306" s="261" t="s">
        <v>644</v>
      </c>
      <c r="D306" s="474"/>
      <c r="E306" s="478"/>
      <c r="F306" s="478"/>
      <c r="G306" s="255"/>
      <c r="H306" s="465"/>
    </row>
    <row r="307" spans="2:8" x14ac:dyDescent="0.25">
      <c r="B307" s="267"/>
      <c r="C307" s="268"/>
      <c r="D307" s="259"/>
      <c r="E307" s="259"/>
      <c r="F307" s="259"/>
      <c r="G307" s="259"/>
      <c r="H307" s="468"/>
    </row>
    <row r="316" spans="2:8" ht="15.6" x14ac:dyDescent="0.25">
      <c r="B316" s="609" t="s">
        <v>320</v>
      </c>
      <c r="C316" s="609"/>
      <c r="D316" s="609"/>
      <c r="E316" s="609"/>
      <c r="F316" s="609"/>
      <c r="G316" s="609"/>
      <c r="H316" s="609"/>
    </row>
    <row r="317" spans="2:8" x14ac:dyDescent="0.25">
      <c r="B317" s="569" t="str">
        <f>+PRESUPUESTO!B1</f>
        <v>MANTENIMIENTO Y ADECUACIÓN DE INSTITUCIONES EDUCATIVAS OFICIALES, DEL MUNICIPIO DE LA APARTADA CORDOBA.</v>
      </c>
      <c r="C317" s="570"/>
      <c r="D317" s="570"/>
      <c r="E317" s="570"/>
      <c r="F317" s="570"/>
      <c r="G317" s="570"/>
      <c r="H317" s="571"/>
    </row>
    <row r="318" spans="2:8" x14ac:dyDescent="0.25">
      <c r="B318" s="572"/>
      <c r="C318" s="573"/>
      <c r="D318" s="573"/>
      <c r="E318" s="573"/>
      <c r="F318" s="573"/>
      <c r="G318" s="573"/>
      <c r="H318" s="574"/>
    </row>
    <row r="319" spans="2:8" x14ac:dyDescent="0.25">
      <c r="B319" s="575"/>
      <c r="C319" s="576"/>
      <c r="D319" s="576"/>
      <c r="E319" s="576"/>
      <c r="F319" s="576"/>
      <c r="G319" s="576"/>
      <c r="H319" s="577"/>
    </row>
    <row r="320" spans="2:8" x14ac:dyDescent="0.25">
      <c r="B320" s="578" t="str">
        <f>+PRESUPUESTO!C27</f>
        <v xml:space="preserve">S/I DE GRIFERIA PARA LAVAMANOS CERÁMICO BLANCO, INCLUYE TODOS SUS ACCESORIOS, HASTA SU CORRECTO FUNCIONAMIENTO. </v>
      </c>
      <c r="C320" s="579"/>
      <c r="D320" s="579"/>
      <c r="E320" s="579"/>
      <c r="F320" s="580"/>
      <c r="G320" s="587" t="s">
        <v>595</v>
      </c>
      <c r="H320" s="588"/>
    </row>
    <row r="321" spans="2:8" x14ac:dyDescent="0.25">
      <c r="B321" s="581"/>
      <c r="C321" s="582"/>
      <c r="D321" s="582"/>
      <c r="E321" s="582"/>
      <c r="F321" s="583"/>
      <c r="G321" s="589"/>
      <c r="H321" s="590"/>
    </row>
    <row r="322" spans="2:8" x14ac:dyDescent="0.25">
      <c r="B322" s="584"/>
      <c r="C322" s="585"/>
      <c r="D322" s="585"/>
      <c r="E322" s="585"/>
      <c r="F322" s="586"/>
      <c r="G322" s="591"/>
      <c r="H322" s="592"/>
    </row>
    <row r="323" spans="2:8" x14ac:dyDescent="0.25">
      <c r="B323" s="518" t="s">
        <v>0</v>
      </c>
      <c r="C323" s="515">
        <f>+PRESUPUESTO!B27</f>
        <v>2.7</v>
      </c>
      <c r="D323" s="516"/>
      <c r="E323" s="516"/>
      <c r="F323" s="516"/>
      <c r="G323" s="516"/>
      <c r="H323" s="517"/>
    </row>
    <row r="324" spans="2:8" x14ac:dyDescent="0.25">
      <c r="B324" s="214" t="s">
        <v>19</v>
      </c>
      <c r="C324" s="266"/>
      <c r="D324" s="266"/>
      <c r="E324" s="266"/>
      <c r="F324" s="296"/>
      <c r="G324" s="266"/>
      <c r="H324" s="216"/>
    </row>
    <row r="325" spans="2:8" x14ac:dyDescent="0.25">
      <c r="B325" s="602" t="s">
        <v>20</v>
      </c>
      <c r="C325" s="602"/>
      <c r="D325" s="297" t="s">
        <v>21</v>
      </c>
      <c r="E325" s="297" t="s">
        <v>22</v>
      </c>
      <c r="F325" s="298" t="s">
        <v>23</v>
      </c>
      <c r="G325" s="299" t="s">
        <v>24</v>
      </c>
      <c r="H325" s="300" t="s">
        <v>482</v>
      </c>
    </row>
    <row r="326" spans="2:8" x14ac:dyDescent="0.25">
      <c r="B326" s="605" t="s">
        <v>8</v>
      </c>
      <c r="C326" s="605"/>
      <c r="D326" s="301"/>
      <c r="E326" s="302"/>
      <c r="F326" s="303">
        <v>0.1</v>
      </c>
      <c r="G326" s="287">
        <f>+H348</f>
        <v>72625.501099999994</v>
      </c>
      <c r="H326" s="304">
        <f>+F326*G326</f>
        <v>7262.5501100000001</v>
      </c>
    </row>
    <row r="327" spans="2:8" x14ac:dyDescent="0.25">
      <c r="B327" s="604"/>
      <c r="C327" s="595"/>
      <c r="D327" s="301"/>
      <c r="E327" s="302"/>
      <c r="F327" s="289"/>
      <c r="G327" s="287"/>
      <c r="H327" s="304"/>
    </row>
    <row r="328" spans="2:8" x14ac:dyDescent="0.25">
      <c r="B328" s="605"/>
      <c r="C328" s="605"/>
      <c r="D328" s="301"/>
      <c r="E328" s="302"/>
      <c r="F328" s="289"/>
      <c r="G328" s="287"/>
      <c r="H328" s="304"/>
    </row>
    <row r="329" spans="2:8" x14ac:dyDescent="0.25">
      <c r="B329" s="305"/>
      <c r="C329" s="266"/>
      <c r="D329" s="266"/>
      <c r="E329" s="266"/>
      <c r="F329" s="296"/>
      <c r="G329" s="306" t="s">
        <v>25</v>
      </c>
      <c r="H329" s="307">
        <f>SUM(H326:H328)</f>
        <v>7262.5501100000001</v>
      </c>
    </row>
    <row r="330" spans="2:8" x14ac:dyDescent="0.25">
      <c r="B330" s="214" t="s">
        <v>26</v>
      </c>
      <c r="C330" s="266"/>
      <c r="D330" s="266"/>
      <c r="E330" s="266"/>
      <c r="F330" s="308"/>
      <c r="G330" s="308"/>
      <c r="H330" s="309"/>
    </row>
    <row r="331" spans="2:8" x14ac:dyDescent="0.25">
      <c r="B331" s="602" t="s">
        <v>20</v>
      </c>
      <c r="C331" s="602"/>
      <c r="D331" s="297" t="s">
        <v>27</v>
      </c>
      <c r="E331" s="297" t="s">
        <v>28</v>
      </c>
      <c r="F331" s="298" t="s">
        <v>29</v>
      </c>
      <c r="G331" s="299" t="s">
        <v>24</v>
      </c>
      <c r="H331" s="310" t="s">
        <v>482</v>
      </c>
    </row>
    <row r="332" spans="2:8" x14ac:dyDescent="0.25">
      <c r="B332" s="606" t="s">
        <v>615</v>
      </c>
      <c r="C332" s="606"/>
      <c r="D332" s="271" t="s">
        <v>72</v>
      </c>
      <c r="E332" s="272">
        <v>89900</v>
      </c>
      <c r="F332" s="273">
        <v>1</v>
      </c>
      <c r="G332" s="274">
        <f>E332*F332</f>
        <v>89900</v>
      </c>
      <c r="H332" s="275">
        <f>G332</f>
        <v>89900</v>
      </c>
    </row>
    <row r="333" spans="2:8" x14ac:dyDescent="0.25">
      <c r="B333" s="408" t="s">
        <v>616</v>
      </c>
      <c r="C333" s="409"/>
      <c r="D333" s="271" t="s">
        <v>72</v>
      </c>
      <c r="E333" s="272">
        <v>12000</v>
      </c>
      <c r="F333" s="273">
        <v>2</v>
      </c>
      <c r="G333" s="274">
        <f>E333*F333</f>
        <v>24000</v>
      </c>
      <c r="H333" s="275">
        <f>G333</f>
        <v>24000</v>
      </c>
    </row>
    <row r="334" spans="2:8" x14ac:dyDescent="0.25">
      <c r="B334" s="607" t="s">
        <v>617</v>
      </c>
      <c r="C334" s="608"/>
      <c r="D334" s="271" t="s">
        <v>72</v>
      </c>
      <c r="E334" s="272">
        <v>17800</v>
      </c>
      <c r="F334" s="273">
        <v>2</v>
      </c>
      <c r="G334" s="274">
        <f>E334*F334</f>
        <v>35600</v>
      </c>
      <c r="H334" s="275">
        <f>G334</f>
        <v>35600</v>
      </c>
    </row>
    <row r="335" spans="2:8" x14ac:dyDescent="0.25">
      <c r="B335" s="595" t="s">
        <v>618</v>
      </c>
      <c r="C335" s="595"/>
      <c r="D335" s="271" t="s">
        <v>72</v>
      </c>
      <c r="E335" s="272">
        <v>2000</v>
      </c>
      <c r="F335" s="273">
        <v>0.2</v>
      </c>
      <c r="G335" s="274">
        <f>E335*F335</f>
        <v>400</v>
      </c>
      <c r="H335" s="275">
        <f>G335</f>
        <v>400</v>
      </c>
    </row>
    <row r="336" spans="2:8" x14ac:dyDescent="0.25">
      <c r="B336" s="595" t="s">
        <v>502</v>
      </c>
      <c r="C336" s="595"/>
      <c r="D336" s="285" t="s">
        <v>72</v>
      </c>
      <c r="E336" s="286">
        <v>18000</v>
      </c>
      <c r="F336" s="289">
        <v>0.25</v>
      </c>
      <c r="G336" s="287">
        <f>E336*F336</f>
        <v>4500</v>
      </c>
      <c r="H336" s="288">
        <f>G336</f>
        <v>4500</v>
      </c>
    </row>
    <row r="337" spans="2:8" x14ac:dyDescent="0.25">
      <c r="B337" s="305"/>
      <c r="C337" s="266"/>
      <c r="D337" s="266"/>
      <c r="E337" s="266"/>
      <c r="F337" s="308"/>
      <c r="G337" s="306" t="s">
        <v>25</v>
      </c>
      <c r="H337" s="312">
        <f>SUM(H332:H336)</f>
        <v>154400</v>
      </c>
    </row>
    <row r="338" spans="2:8" x14ac:dyDescent="0.25">
      <c r="B338" s="214" t="s">
        <v>30</v>
      </c>
      <c r="C338" s="266"/>
      <c r="D338" s="266"/>
      <c r="E338" s="266"/>
      <c r="F338" s="308"/>
      <c r="G338" s="308"/>
      <c r="H338" s="304"/>
    </row>
    <row r="339" spans="2:8" x14ac:dyDescent="0.25">
      <c r="B339" s="602" t="s">
        <v>20</v>
      </c>
      <c r="C339" s="602"/>
      <c r="D339" s="297" t="s">
        <v>21</v>
      </c>
      <c r="E339" s="297" t="s">
        <v>127</v>
      </c>
      <c r="F339" s="298" t="s">
        <v>32</v>
      </c>
      <c r="G339" s="297" t="s">
        <v>24</v>
      </c>
      <c r="H339" s="313" t="s">
        <v>481</v>
      </c>
    </row>
    <row r="340" spans="2:8" x14ac:dyDescent="0.25">
      <c r="B340" s="603"/>
      <c r="C340" s="603"/>
      <c r="D340" s="314"/>
      <c r="E340" s="315"/>
      <c r="F340" s="274"/>
      <c r="G340" s="274"/>
      <c r="H340" s="304"/>
    </row>
    <row r="341" spans="2:8" x14ac:dyDescent="0.25">
      <c r="B341" s="603"/>
      <c r="C341" s="603"/>
      <c r="D341" s="314"/>
      <c r="E341" s="316"/>
      <c r="F341" s="317"/>
      <c r="G341" s="316"/>
      <c r="H341" s="318"/>
    </row>
    <row r="342" spans="2:8" x14ac:dyDescent="0.25">
      <c r="B342" s="305"/>
      <c r="C342" s="266"/>
      <c r="D342" s="266"/>
      <c r="E342" s="266"/>
      <c r="F342" s="296"/>
      <c r="G342" s="306" t="s">
        <v>25</v>
      </c>
      <c r="H342" s="319">
        <f>SUM(H340:H341)</f>
        <v>0</v>
      </c>
    </row>
    <row r="343" spans="2:8" x14ac:dyDescent="0.25">
      <c r="B343" s="214" t="s">
        <v>34</v>
      </c>
      <c r="C343" s="266"/>
      <c r="D343" s="266"/>
      <c r="E343" s="266"/>
      <c r="F343" s="296"/>
      <c r="G343" s="308"/>
      <c r="H343" s="320"/>
    </row>
    <row r="344" spans="2:8" x14ac:dyDescent="0.25">
      <c r="B344" s="321" t="s">
        <v>35</v>
      </c>
      <c r="C344" s="321" t="s">
        <v>29</v>
      </c>
      <c r="D344" s="321" t="s">
        <v>36</v>
      </c>
      <c r="E344" s="321" t="s">
        <v>37</v>
      </c>
      <c r="F344" s="322" t="s">
        <v>38</v>
      </c>
      <c r="G344" s="323" t="s">
        <v>23</v>
      </c>
      <c r="H344" s="324" t="s">
        <v>24</v>
      </c>
    </row>
    <row r="345" spans="2:8" x14ac:dyDescent="0.25">
      <c r="B345" s="288" t="s">
        <v>619</v>
      </c>
      <c r="C345" s="316">
        <v>1</v>
      </c>
      <c r="D345" s="325">
        <v>100000</v>
      </c>
      <c r="E345" s="326">
        <v>1.8344</v>
      </c>
      <c r="F345" s="327">
        <f>+D345*C345*E345</f>
        <v>183440</v>
      </c>
      <c r="G345" s="316">
        <v>4</v>
      </c>
      <c r="H345" s="274">
        <f>F345/G345</f>
        <v>45860</v>
      </c>
    </row>
    <row r="346" spans="2:8" x14ac:dyDescent="0.25">
      <c r="B346" s="288" t="s">
        <v>496</v>
      </c>
      <c r="C346" s="316">
        <v>1</v>
      </c>
      <c r="D346" s="325">
        <f>+D243</f>
        <v>58363.5</v>
      </c>
      <c r="E346" s="326">
        <v>1.8344</v>
      </c>
      <c r="F346" s="327">
        <f>+D346*C346*E346</f>
        <v>107062.00440000001</v>
      </c>
      <c r="G346" s="316">
        <v>4</v>
      </c>
      <c r="H346" s="274">
        <f>+F346/G346</f>
        <v>26765.501100000001</v>
      </c>
    </row>
    <row r="347" spans="2:8" x14ac:dyDescent="0.25">
      <c r="B347" s="288"/>
      <c r="C347" s="288"/>
      <c r="D347" s="317"/>
      <c r="E347" s="288"/>
      <c r="F347" s="317"/>
      <c r="G347" s="288"/>
      <c r="H347" s="327"/>
    </row>
    <row r="348" spans="2:8" x14ac:dyDescent="0.25">
      <c r="B348" s="305"/>
      <c r="C348" s="266"/>
      <c r="D348" s="266"/>
      <c r="E348" s="266"/>
      <c r="F348" s="296"/>
      <c r="G348" s="306" t="s">
        <v>25</v>
      </c>
      <c r="H348" s="328">
        <f>+SUM(H345:H347)</f>
        <v>72625.501099999994</v>
      </c>
    </row>
    <row r="349" spans="2:8" x14ac:dyDescent="0.25">
      <c r="B349" s="305"/>
      <c r="C349" s="266"/>
      <c r="D349" s="266"/>
      <c r="E349" s="266"/>
      <c r="F349" s="296"/>
      <c r="G349" s="449"/>
      <c r="H349" s="320"/>
    </row>
    <row r="350" spans="2:8" ht="15.6" x14ac:dyDescent="0.25">
      <c r="B350" s="258"/>
      <c r="C350" s="479" t="s">
        <v>645</v>
      </c>
      <c r="D350" s="477"/>
      <c r="E350" s="477"/>
      <c r="F350" s="477"/>
      <c r="G350" s="469" t="s">
        <v>41</v>
      </c>
      <c r="H350" s="254">
        <f>+H329+H337+H342+H348</f>
        <v>234288.05121000001</v>
      </c>
    </row>
    <row r="351" spans="2:8" ht="15.6" x14ac:dyDescent="0.25">
      <c r="B351" s="258"/>
      <c r="C351" s="479"/>
      <c r="D351" s="477"/>
      <c r="E351" s="477"/>
      <c r="F351" s="477"/>
      <c r="G351" s="255"/>
      <c r="H351" s="219"/>
    </row>
    <row r="352" spans="2:8" ht="15.6" x14ac:dyDescent="0.25">
      <c r="B352" s="258"/>
      <c r="C352" s="479"/>
      <c r="D352" s="477"/>
      <c r="E352" s="477"/>
      <c r="F352" s="477"/>
      <c r="G352" s="255"/>
      <c r="H352" s="219"/>
    </row>
    <row r="353" spans="2:8" ht="15.6" x14ac:dyDescent="0.25">
      <c r="B353" s="258"/>
      <c r="C353" s="475" t="s">
        <v>643</v>
      </c>
      <c r="D353" s="474"/>
      <c r="E353" s="477"/>
      <c r="F353" s="477"/>
      <c r="G353" s="255"/>
      <c r="H353" s="219"/>
    </row>
    <row r="354" spans="2:8" ht="15" x14ac:dyDescent="0.25">
      <c r="B354" s="262"/>
      <c r="C354" s="200" t="s">
        <v>590</v>
      </c>
      <c r="D354" s="474"/>
      <c r="E354" s="478"/>
      <c r="F354" s="478"/>
      <c r="G354" s="255"/>
      <c r="H354" s="219"/>
    </row>
    <row r="355" spans="2:8" ht="15" x14ac:dyDescent="0.25">
      <c r="B355" s="264"/>
      <c r="C355" s="261" t="s">
        <v>591</v>
      </c>
      <c r="D355" s="474"/>
      <c r="E355" s="478"/>
      <c r="F355" s="478"/>
      <c r="G355" s="255"/>
      <c r="H355" s="219"/>
    </row>
    <row r="356" spans="2:8" ht="15" x14ac:dyDescent="0.25">
      <c r="B356" s="265"/>
      <c r="C356" s="261" t="s">
        <v>644</v>
      </c>
      <c r="D356" s="474"/>
      <c r="E356" s="478"/>
      <c r="F356" s="478"/>
      <c r="G356" s="255"/>
      <c r="H356" s="465"/>
    </row>
    <row r="357" spans="2:8" x14ac:dyDescent="0.25">
      <c r="B357" s="267"/>
      <c r="C357" s="268"/>
      <c r="D357" s="259"/>
      <c r="E357" s="259"/>
      <c r="F357" s="259"/>
      <c r="G357" s="259"/>
      <c r="H357" s="468"/>
    </row>
    <row r="364" spans="2:8" hidden="1" x14ac:dyDescent="0.25"/>
    <row r="365" spans="2:8" ht="15.6" hidden="1" x14ac:dyDescent="0.25">
      <c r="B365" s="566" t="s">
        <v>320</v>
      </c>
      <c r="C365" s="567"/>
      <c r="D365" s="567"/>
      <c r="E365" s="567"/>
      <c r="F365" s="567"/>
      <c r="G365" s="567"/>
      <c r="H365" s="568"/>
    </row>
    <row r="366" spans="2:8" hidden="1" x14ac:dyDescent="0.25">
      <c r="B366" s="629" t="str">
        <f>+PRESUPUESTO!B1</f>
        <v>MANTENIMIENTO Y ADECUACIÓN DE INSTITUCIONES EDUCATIVAS OFICIALES, DEL MUNICIPIO DE LA APARTADA CORDOBA.</v>
      </c>
      <c r="C366" s="630"/>
      <c r="D366" s="630"/>
      <c r="E366" s="630"/>
      <c r="F366" s="630"/>
      <c r="G366" s="630"/>
      <c r="H366" s="631"/>
    </row>
    <row r="367" spans="2:8" hidden="1" x14ac:dyDescent="0.25">
      <c r="B367" s="632"/>
      <c r="C367" s="633"/>
      <c r="D367" s="633"/>
      <c r="E367" s="633"/>
      <c r="F367" s="633"/>
      <c r="G367" s="633"/>
      <c r="H367" s="634"/>
    </row>
    <row r="368" spans="2:8" hidden="1" x14ac:dyDescent="0.25">
      <c r="B368" s="635"/>
      <c r="C368" s="636"/>
      <c r="D368" s="636"/>
      <c r="E368" s="636"/>
      <c r="F368" s="636"/>
      <c r="G368" s="636"/>
      <c r="H368" s="637"/>
    </row>
    <row r="369" spans="2:8" hidden="1" x14ac:dyDescent="0.25">
      <c r="B369" s="578" t="e">
        <f>+PRESUPUESTO!#REF!</f>
        <v>#REF!</v>
      </c>
      <c r="C369" s="579"/>
      <c r="D369" s="579"/>
      <c r="E369" s="579"/>
      <c r="F369" s="580"/>
      <c r="G369" s="587" t="s">
        <v>627</v>
      </c>
      <c r="H369" s="588"/>
    </row>
    <row r="370" spans="2:8" hidden="1" x14ac:dyDescent="0.25">
      <c r="B370" s="581"/>
      <c r="C370" s="582"/>
      <c r="D370" s="582"/>
      <c r="E370" s="582"/>
      <c r="F370" s="583"/>
      <c r="G370" s="589"/>
      <c r="H370" s="590"/>
    </row>
    <row r="371" spans="2:8" hidden="1" x14ac:dyDescent="0.25">
      <c r="B371" s="584"/>
      <c r="C371" s="585"/>
      <c r="D371" s="585"/>
      <c r="E371" s="585"/>
      <c r="F371" s="586"/>
      <c r="G371" s="591"/>
      <c r="H371" s="592"/>
    </row>
    <row r="372" spans="2:8" hidden="1" x14ac:dyDescent="0.25">
      <c r="B372" s="518" t="s">
        <v>0</v>
      </c>
      <c r="C372" s="516"/>
      <c r="D372" s="516"/>
      <c r="E372" s="516"/>
      <c r="F372" s="516"/>
      <c r="G372" s="516"/>
      <c r="H372" s="517"/>
    </row>
    <row r="373" spans="2:8" hidden="1" x14ac:dyDescent="0.25">
      <c r="B373" s="214" t="s">
        <v>19</v>
      </c>
      <c r="C373" s="266"/>
      <c r="D373" s="266"/>
      <c r="E373" s="266"/>
      <c r="F373" s="296"/>
      <c r="G373" s="266"/>
      <c r="H373" s="216"/>
    </row>
    <row r="374" spans="2:8" hidden="1" x14ac:dyDescent="0.25">
      <c r="B374" s="560" t="s">
        <v>20</v>
      </c>
      <c r="C374" s="561"/>
      <c r="D374" s="297" t="s">
        <v>21</v>
      </c>
      <c r="E374" s="297" t="s">
        <v>22</v>
      </c>
      <c r="F374" s="298" t="s">
        <v>23</v>
      </c>
      <c r="G374" s="299" t="s">
        <v>24</v>
      </c>
      <c r="H374" s="300" t="s">
        <v>482</v>
      </c>
    </row>
    <row r="375" spans="2:8" hidden="1" x14ac:dyDescent="0.25">
      <c r="B375" s="562" t="s">
        <v>8</v>
      </c>
      <c r="C375" s="563"/>
      <c r="D375" s="301"/>
      <c r="E375" s="302"/>
      <c r="F375" s="303">
        <v>0.1</v>
      </c>
      <c r="G375" s="287">
        <f>+H395</f>
        <v>48417.000733333334</v>
      </c>
      <c r="H375" s="304">
        <f>+F375*G375</f>
        <v>4841.7000733333334</v>
      </c>
    </row>
    <row r="376" spans="2:8" hidden="1" x14ac:dyDescent="0.25">
      <c r="B376" s="600" t="s">
        <v>459</v>
      </c>
      <c r="C376" s="601"/>
      <c r="D376" s="301"/>
      <c r="E376" s="302">
        <v>2875</v>
      </c>
      <c r="F376" s="289">
        <v>0.5</v>
      </c>
      <c r="G376" s="287">
        <f>+E376/F376</f>
        <v>5750</v>
      </c>
      <c r="H376" s="304">
        <f t="shared" ref="H376" si="0">G376</f>
        <v>5750</v>
      </c>
    </row>
    <row r="377" spans="2:8" hidden="1" x14ac:dyDescent="0.25">
      <c r="B377" s="562"/>
      <c r="C377" s="563"/>
      <c r="D377" s="301"/>
      <c r="E377" s="302"/>
      <c r="F377" s="289"/>
      <c r="G377" s="287"/>
      <c r="H377" s="304"/>
    </row>
    <row r="378" spans="2:8" hidden="1" x14ac:dyDescent="0.25">
      <c r="B378" s="305"/>
      <c r="C378" s="266"/>
      <c r="D378" s="266"/>
      <c r="E378" s="266"/>
      <c r="F378" s="296"/>
      <c r="G378" s="306" t="s">
        <v>25</v>
      </c>
      <c r="H378" s="307">
        <f>SUM(H375:H377)</f>
        <v>10591.700073333333</v>
      </c>
    </row>
    <row r="379" spans="2:8" hidden="1" x14ac:dyDescent="0.25">
      <c r="B379" s="214" t="s">
        <v>26</v>
      </c>
      <c r="C379" s="266"/>
      <c r="D379" s="266"/>
      <c r="E379" s="266"/>
      <c r="F379" s="308"/>
      <c r="G379" s="308"/>
      <c r="H379" s="309"/>
    </row>
    <row r="380" spans="2:8" hidden="1" x14ac:dyDescent="0.25">
      <c r="B380" s="560" t="s">
        <v>20</v>
      </c>
      <c r="C380" s="561"/>
      <c r="D380" s="297" t="s">
        <v>27</v>
      </c>
      <c r="E380" s="297" t="s">
        <v>28</v>
      </c>
      <c r="F380" s="298" t="s">
        <v>29</v>
      </c>
      <c r="G380" s="299" t="s">
        <v>24</v>
      </c>
      <c r="H380" s="310" t="s">
        <v>482</v>
      </c>
    </row>
    <row r="381" spans="2:8" hidden="1" x14ac:dyDescent="0.25">
      <c r="B381" s="554" t="s">
        <v>491</v>
      </c>
      <c r="C381" s="555"/>
      <c r="D381" s="271" t="str">
        <f>+IF(B381=0,"",(VLOOKUP(B381,[8]MATERIALES!$B$6:$D$149,3,FALSE)))</f>
        <v>und</v>
      </c>
      <c r="E381" s="272">
        <v>92000</v>
      </c>
      <c r="F381" s="273">
        <v>1</v>
      </c>
      <c r="G381" s="274">
        <f t="shared" ref="G381:G382" si="1">E381*F381</f>
        <v>92000</v>
      </c>
      <c r="H381" s="275">
        <f>G381</f>
        <v>92000</v>
      </c>
    </row>
    <row r="382" spans="2:8" hidden="1" x14ac:dyDescent="0.25">
      <c r="B382" s="596" t="s">
        <v>477</v>
      </c>
      <c r="C382" s="597"/>
      <c r="D382" s="271" t="str">
        <f>+IF(B382=0,"",(VLOOKUP(B382,[8]MATERIALES!$B$6:$D$149,3,FALSE)))</f>
        <v>und</v>
      </c>
      <c r="E382" s="272">
        <v>24900</v>
      </c>
      <c r="F382" s="273">
        <v>0.1</v>
      </c>
      <c r="G382" s="274">
        <f t="shared" si="1"/>
        <v>2490</v>
      </c>
      <c r="H382" s="275">
        <f t="shared" ref="H382" si="2">G382</f>
        <v>2490</v>
      </c>
    </row>
    <row r="383" spans="2:8" hidden="1" x14ac:dyDescent="0.25">
      <c r="B383" s="596"/>
      <c r="C383" s="597"/>
      <c r="D383" s="285"/>
      <c r="E383" s="286"/>
      <c r="F383" s="289"/>
      <c r="G383" s="287"/>
      <c r="H383" s="288"/>
    </row>
    <row r="384" spans="2:8" hidden="1" x14ac:dyDescent="0.25">
      <c r="B384" s="305"/>
      <c r="C384" s="266"/>
      <c r="D384" s="266"/>
      <c r="E384" s="266"/>
      <c r="F384" s="308"/>
      <c r="G384" s="306" t="s">
        <v>25</v>
      </c>
      <c r="H384" s="312">
        <f>SUM(H381:H383)</f>
        <v>94490</v>
      </c>
    </row>
    <row r="385" spans="2:8" hidden="1" x14ac:dyDescent="0.25">
      <c r="B385" s="214" t="s">
        <v>30</v>
      </c>
      <c r="C385" s="266"/>
      <c r="D385" s="266"/>
      <c r="E385" s="266"/>
      <c r="F385" s="308"/>
      <c r="G385" s="308"/>
      <c r="H385" s="304"/>
    </row>
    <row r="386" spans="2:8" hidden="1" x14ac:dyDescent="0.25">
      <c r="B386" s="560" t="s">
        <v>20</v>
      </c>
      <c r="C386" s="561"/>
      <c r="D386" s="297" t="s">
        <v>21</v>
      </c>
      <c r="E386" s="297" t="s">
        <v>127</v>
      </c>
      <c r="F386" s="298" t="s">
        <v>32</v>
      </c>
      <c r="G386" s="297" t="s">
        <v>24</v>
      </c>
      <c r="H386" s="313" t="s">
        <v>481</v>
      </c>
    </row>
    <row r="387" spans="2:8" hidden="1" x14ac:dyDescent="0.25">
      <c r="B387" s="598"/>
      <c r="C387" s="599"/>
      <c r="D387" s="314"/>
      <c r="E387" s="315"/>
      <c r="F387" s="274"/>
      <c r="G387" s="274"/>
      <c r="H387" s="304"/>
    </row>
    <row r="388" spans="2:8" hidden="1" x14ac:dyDescent="0.25">
      <c r="B388" s="598"/>
      <c r="C388" s="599"/>
      <c r="D388" s="314"/>
      <c r="E388" s="316"/>
      <c r="F388" s="317"/>
      <c r="G388" s="316"/>
      <c r="H388" s="318"/>
    </row>
    <row r="389" spans="2:8" hidden="1" x14ac:dyDescent="0.25">
      <c r="B389" s="305"/>
      <c r="C389" s="266"/>
      <c r="D389" s="266"/>
      <c r="E389" s="266"/>
      <c r="F389" s="296"/>
      <c r="G389" s="306" t="s">
        <v>25</v>
      </c>
      <c r="H389" s="319">
        <f>SUM(H387:H388)</f>
        <v>0</v>
      </c>
    </row>
    <row r="390" spans="2:8" hidden="1" x14ac:dyDescent="0.25">
      <c r="B390" s="214" t="s">
        <v>34</v>
      </c>
      <c r="C390" s="266"/>
      <c r="D390" s="266"/>
      <c r="E390" s="266"/>
      <c r="F390" s="296"/>
      <c r="G390" s="308"/>
      <c r="H390" s="320"/>
    </row>
    <row r="391" spans="2:8" hidden="1" x14ac:dyDescent="0.25">
      <c r="B391" s="321" t="s">
        <v>35</v>
      </c>
      <c r="C391" s="321" t="s">
        <v>29</v>
      </c>
      <c r="D391" s="321" t="s">
        <v>36</v>
      </c>
      <c r="E391" s="321" t="s">
        <v>37</v>
      </c>
      <c r="F391" s="322" t="s">
        <v>38</v>
      </c>
      <c r="G391" s="323" t="s">
        <v>23</v>
      </c>
      <c r="H391" s="324" t="s">
        <v>24</v>
      </c>
    </row>
    <row r="392" spans="2:8" hidden="1" x14ac:dyDescent="0.25">
      <c r="B392" s="288" t="s">
        <v>626</v>
      </c>
      <c r="C392" s="316">
        <v>1</v>
      </c>
      <c r="D392" s="325">
        <v>100000</v>
      </c>
      <c r="E392" s="326">
        <v>1.8344</v>
      </c>
      <c r="F392" s="327">
        <f>+D392*C392*E392</f>
        <v>183440</v>
      </c>
      <c r="G392" s="316">
        <v>6</v>
      </c>
      <c r="H392" s="274">
        <f>F392/G392</f>
        <v>30573.333333333332</v>
      </c>
    </row>
    <row r="393" spans="2:8" hidden="1" x14ac:dyDescent="0.25">
      <c r="B393" s="288" t="s">
        <v>496</v>
      </c>
      <c r="C393" s="316">
        <v>1</v>
      </c>
      <c r="D393" s="325">
        <f>+D346</f>
        <v>58363.5</v>
      </c>
      <c r="E393" s="326">
        <v>1.8344</v>
      </c>
      <c r="F393" s="327">
        <f>+D393*C393*E393</f>
        <v>107062.00440000001</v>
      </c>
      <c r="G393" s="316">
        <v>6</v>
      </c>
      <c r="H393" s="274">
        <f>+F393/G393</f>
        <v>17843.667400000002</v>
      </c>
    </row>
    <row r="394" spans="2:8" hidden="1" x14ac:dyDescent="0.25">
      <c r="B394" s="288"/>
      <c r="C394" s="288"/>
      <c r="D394" s="317"/>
      <c r="E394" s="288"/>
      <c r="F394" s="317"/>
      <c r="G394" s="288"/>
      <c r="H394" s="327"/>
    </row>
    <row r="395" spans="2:8" hidden="1" x14ac:dyDescent="0.25">
      <c r="B395" s="305"/>
      <c r="C395" s="266"/>
      <c r="D395" s="266"/>
      <c r="E395" s="266"/>
      <c r="F395" s="296"/>
      <c r="G395" s="306" t="s">
        <v>25</v>
      </c>
      <c r="H395" s="328">
        <f>+SUM(H392:H394)</f>
        <v>48417.000733333334</v>
      </c>
    </row>
    <row r="396" spans="2:8" hidden="1" x14ac:dyDescent="0.25">
      <c r="B396" s="305"/>
      <c r="C396" s="266"/>
      <c r="D396" s="266"/>
      <c r="E396" s="266"/>
      <c r="F396" s="296"/>
      <c r="G396" s="449"/>
      <c r="H396" s="320"/>
    </row>
    <row r="397" spans="2:8" ht="15.6" hidden="1" x14ac:dyDescent="0.25">
      <c r="B397" s="258"/>
      <c r="C397" s="479" t="s">
        <v>645</v>
      </c>
      <c r="D397" s="477"/>
      <c r="E397" s="477"/>
      <c r="F397" s="477"/>
      <c r="G397" s="469" t="s">
        <v>41</v>
      </c>
      <c r="H397" s="254">
        <f>+H378+H384+H389+H395</f>
        <v>153498.70080666669</v>
      </c>
    </row>
    <row r="398" spans="2:8" ht="15.6" hidden="1" x14ac:dyDescent="0.25">
      <c r="B398" s="258"/>
      <c r="C398" s="479"/>
      <c r="D398" s="477"/>
      <c r="E398" s="477"/>
      <c r="F398" s="477"/>
      <c r="G398" s="255"/>
      <c r="H398" s="219"/>
    </row>
    <row r="399" spans="2:8" ht="15.6" hidden="1" x14ac:dyDescent="0.25">
      <c r="B399" s="258"/>
      <c r="C399" s="479"/>
      <c r="D399" s="477"/>
      <c r="E399" s="477"/>
      <c r="F399" s="477"/>
      <c r="G399" s="255"/>
      <c r="H399" s="219"/>
    </row>
    <row r="400" spans="2:8" ht="15.6" hidden="1" x14ac:dyDescent="0.25">
      <c r="B400" s="258"/>
      <c r="C400" s="475" t="s">
        <v>643</v>
      </c>
      <c r="D400" s="474"/>
      <c r="E400" s="477"/>
      <c r="F400" s="477"/>
      <c r="G400" s="255"/>
      <c r="H400" s="219"/>
    </row>
    <row r="401" spans="2:8" ht="15" hidden="1" x14ac:dyDescent="0.25">
      <c r="B401" s="262"/>
      <c r="C401" s="200" t="s">
        <v>590</v>
      </c>
      <c r="D401" s="474"/>
      <c r="E401" s="478"/>
      <c r="F401" s="478"/>
      <c r="G401" s="255"/>
      <c r="H401" s="219"/>
    </row>
    <row r="402" spans="2:8" ht="15" hidden="1" x14ac:dyDescent="0.25">
      <c r="B402" s="264"/>
      <c r="C402" s="261" t="s">
        <v>591</v>
      </c>
      <c r="D402" s="474"/>
      <c r="E402" s="478"/>
      <c r="F402" s="478"/>
      <c r="G402" s="255"/>
      <c r="H402" s="219"/>
    </row>
    <row r="403" spans="2:8" ht="15" hidden="1" x14ac:dyDescent="0.25">
      <c r="B403" s="265"/>
      <c r="C403" s="261" t="s">
        <v>644</v>
      </c>
      <c r="D403" s="474"/>
      <c r="E403" s="478"/>
      <c r="F403" s="478"/>
      <c r="G403" s="255"/>
      <c r="H403" s="219"/>
    </row>
    <row r="404" spans="2:8" hidden="1" x14ac:dyDescent="0.25">
      <c r="B404" s="265"/>
      <c r="C404" s="266"/>
      <c r="D404" s="255"/>
      <c r="E404" s="255"/>
      <c r="F404" s="255"/>
      <c r="G404" s="255"/>
      <c r="H404" s="219"/>
    </row>
    <row r="405" spans="2:8" hidden="1" x14ac:dyDescent="0.25">
      <c r="B405" s="265"/>
      <c r="C405" s="266"/>
      <c r="D405" s="255"/>
      <c r="E405" s="255"/>
      <c r="F405" s="255"/>
      <c r="G405" s="255"/>
      <c r="H405" s="219"/>
    </row>
    <row r="406" spans="2:8" hidden="1" x14ac:dyDescent="0.25">
      <c r="B406" s="267"/>
      <c r="C406" s="268"/>
      <c r="D406" s="259"/>
      <c r="E406" s="259"/>
      <c r="F406" s="259"/>
      <c r="G406" s="259"/>
      <c r="H406" s="260"/>
    </row>
    <row r="407" spans="2:8" hidden="1" x14ac:dyDescent="0.25"/>
    <row r="408" spans="2:8" hidden="1" x14ac:dyDescent="0.25"/>
    <row r="409" spans="2:8" hidden="1" x14ac:dyDescent="0.25"/>
    <row r="410" spans="2:8" hidden="1" x14ac:dyDescent="0.25"/>
    <row r="411" spans="2:8" hidden="1" x14ac:dyDescent="0.25"/>
    <row r="412" spans="2:8" hidden="1" x14ac:dyDescent="0.25"/>
    <row r="413" spans="2:8" ht="15.6" hidden="1" x14ac:dyDescent="0.25">
      <c r="B413" s="566" t="s">
        <v>320</v>
      </c>
      <c r="C413" s="567"/>
      <c r="D413" s="567"/>
      <c r="E413" s="567"/>
      <c r="F413" s="567"/>
      <c r="G413" s="567"/>
      <c r="H413" s="568"/>
    </row>
    <row r="414" spans="2:8" hidden="1" x14ac:dyDescent="0.25">
      <c r="B414" s="569" t="str">
        <f>+PRESUPUESTO!B1</f>
        <v>MANTENIMIENTO Y ADECUACIÓN DE INSTITUCIONES EDUCATIVAS OFICIALES, DEL MUNICIPIO DE LA APARTADA CORDOBA.</v>
      </c>
      <c r="C414" s="638"/>
      <c r="D414" s="638"/>
      <c r="E414" s="638"/>
      <c r="F414" s="638"/>
      <c r="G414" s="638"/>
      <c r="H414" s="639"/>
    </row>
    <row r="415" spans="2:8" hidden="1" x14ac:dyDescent="0.25">
      <c r="B415" s="640"/>
      <c r="C415" s="641"/>
      <c r="D415" s="641"/>
      <c r="E415" s="641"/>
      <c r="F415" s="641"/>
      <c r="G415" s="641"/>
      <c r="H415" s="642"/>
    </row>
    <row r="416" spans="2:8" hidden="1" x14ac:dyDescent="0.25">
      <c r="B416" s="643"/>
      <c r="C416" s="644"/>
      <c r="D416" s="644"/>
      <c r="E416" s="644"/>
      <c r="F416" s="644"/>
      <c r="G416" s="644"/>
      <c r="H416" s="645"/>
    </row>
    <row r="417" spans="2:8" hidden="1" x14ac:dyDescent="0.25">
      <c r="B417" s="578" t="e">
        <f>+PRESUPUESTO!#REF!</f>
        <v>#REF!</v>
      </c>
      <c r="C417" s="579"/>
      <c r="D417" s="579"/>
      <c r="E417" s="579"/>
      <c r="F417" s="580"/>
      <c r="G417" s="587" t="s">
        <v>606</v>
      </c>
      <c r="H417" s="588"/>
    </row>
    <row r="418" spans="2:8" hidden="1" x14ac:dyDescent="0.25">
      <c r="B418" s="581"/>
      <c r="C418" s="582"/>
      <c r="D418" s="582"/>
      <c r="E418" s="582"/>
      <c r="F418" s="583"/>
      <c r="G418" s="589"/>
      <c r="H418" s="590"/>
    </row>
    <row r="419" spans="2:8" hidden="1" x14ac:dyDescent="0.25">
      <c r="B419" s="584"/>
      <c r="C419" s="585"/>
      <c r="D419" s="585"/>
      <c r="E419" s="585"/>
      <c r="F419" s="586"/>
      <c r="G419" s="591"/>
      <c r="H419" s="592"/>
    </row>
    <row r="420" spans="2:8" hidden="1" x14ac:dyDescent="0.25">
      <c r="B420" s="518" t="s">
        <v>0</v>
      </c>
      <c r="C420" s="516"/>
      <c r="D420" s="516"/>
      <c r="E420" s="516"/>
      <c r="F420" s="516"/>
      <c r="G420" s="516"/>
      <c r="H420" s="517"/>
    </row>
    <row r="421" spans="2:8" hidden="1" x14ac:dyDescent="0.25">
      <c r="B421" s="214" t="s">
        <v>19</v>
      </c>
      <c r="C421" s="266"/>
      <c r="D421" s="266"/>
      <c r="E421" s="266"/>
      <c r="F421" s="296"/>
      <c r="G421" s="266"/>
      <c r="H421" s="216"/>
    </row>
    <row r="422" spans="2:8" hidden="1" x14ac:dyDescent="0.25">
      <c r="B422" s="560" t="s">
        <v>20</v>
      </c>
      <c r="C422" s="561"/>
      <c r="D422" s="297" t="s">
        <v>21</v>
      </c>
      <c r="E422" s="297" t="s">
        <v>22</v>
      </c>
      <c r="F422" s="298" t="s">
        <v>23</v>
      </c>
      <c r="G422" s="299" t="s">
        <v>24</v>
      </c>
      <c r="H422" s="300" t="s">
        <v>482</v>
      </c>
    </row>
    <row r="423" spans="2:8" hidden="1" x14ac:dyDescent="0.25">
      <c r="B423" s="562" t="s">
        <v>8</v>
      </c>
      <c r="C423" s="563"/>
      <c r="D423" s="301"/>
      <c r="E423" s="302"/>
      <c r="F423" s="303">
        <v>0.1</v>
      </c>
      <c r="G423" s="287">
        <f>+H443</f>
        <v>2783.6121143999999</v>
      </c>
      <c r="H423" s="304">
        <f>+F423*G423</f>
        <v>278.36121143999998</v>
      </c>
    </row>
    <row r="424" spans="2:8" hidden="1" x14ac:dyDescent="0.25">
      <c r="B424" s="600"/>
      <c r="C424" s="601"/>
      <c r="D424" s="301"/>
      <c r="E424" s="302"/>
      <c r="F424" s="289"/>
      <c r="G424" s="287"/>
      <c r="H424" s="304"/>
    </row>
    <row r="425" spans="2:8" hidden="1" x14ac:dyDescent="0.25">
      <c r="B425" s="562"/>
      <c r="C425" s="563"/>
      <c r="D425" s="301"/>
      <c r="E425" s="302"/>
      <c r="F425" s="289"/>
      <c r="G425" s="287"/>
      <c r="H425" s="304"/>
    </row>
    <row r="426" spans="2:8" hidden="1" x14ac:dyDescent="0.25">
      <c r="B426" s="305"/>
      <c r="C426" s="266"/>
      <c r="D426" s="266"/>
      <c r="E426" s="266"/>
      <c r="F426" s="296"/>
      <c r="G426" s="306" t="s">
        <v>25</v>
      </c>
      <c r="H426" s="307">
        <f>SUM(H423:H425)</f>
        <v>278.36121143999998</v>
      </c>
    </row>
    <row r="427" spans="2:8" hidden="1" x14ac:dyDescent="0.25">
      <c r="B427" s="214" t="s">
        <v>26</v>
      </c>
      <c r="C427" s="266"/>
      <c r="D427" s="266"/>
      <c r="E427" s="266"/>
      <c r="F427" s="308"/>
      <c r="G427" s="308"/>
      <c r="H427" s="309"/>
    </row>
    <row r="428" spans="2:8" hidden="1" x14ac:dyDescent="0.25">
      <c r="B428" s="560" t="s">
        <v>20</v>
      </c>
      <c r="C428" s="561"/>
      <c r="D428" s="297" t="s">
        <v>27</v>
      </c>
      <c r="E428" s="297" t="s">
        <v>28</v>
      </c>
      <c r="F428" s="298" t="s">
        <v>29</v>
      </c>
      <c r="G428" s="299" t="s">
        <v>24</v>
      </c>
      <c r="H428" s="310" t="s">
        <v>482</v>
      </c>
    </row>
    <row r="429" spans="2:8" hidden="1" x14ac:dyDescent="0.25">
      <c r="B429" s="554" t="s">
        <v>353</v>
      </c>
      <c r="C429" s="555"/>
      <c r="D429" s="271" t="str">
        <f>+IF(B429=0,"",(VLOOKUP(B429,[7]MATERIALES!$B$6:$D$149,3,FALSE)))</f>
        <v>Galón</v>
      </c>
      <c r="E429" s="272">
        <v>93900</v>
      </c>
      <c r="F429" s="273">
        <v>8.3333333333333329E-2</v>
      </c>
      <c r="G429" s="274">
        <f>E429*F429</f>
        <v>7825</v>
      </c>
      <c r="H429" s="275">
        <f>G429</f>
        <v>7825</v>
      </c>
    </row>
    <row r="430" spans="2:8" hidden="1" x14ac:dyDescent="0.25">
      <c r="B430" s="596"/>
      <c r="C430" s="597"/>
      <c r="D430" s="271"/>
      <c r="E430" s="272"/>
      <c r="F430" s="273"/>
      <c r="G430" s="274"/>
      <c r="H430" s="275"/>
    </row>
    <row r="431" spans="2:8" hidden="1" x14ac:dyDescent="0.25">
      <c r="B431" s="596" t="s">
        <v>628</v>
      </c>
      <c r="C431" s="597"/>
      <c r="D431" s="285" t="s">
        <v>72</v>
      </c>
      <c r="E431" s="286">
        <v>7500</v>
      </c>
      <c r="F431" s="289">
        <v>0.05</v>
      </c>
      <c r="G431" s="274">
        <f>E431*F431</f>
        <v>375</v>
      </c>
      <c r="H431" s="275">
        <f>G431</f>
        <v>375</v>
      </c>
    </row>
    <row r="432" spans="2:8" hidden="1" x14ac:dyDescent="0.25">
      <c r="B432" s="305"/>
      <c r="C432" s="266"/>
      <c r="D432" s="266"/>
      <c r="E432" s="266"/>
      <c r="F432" s="308"/>
      <c r="G432" s="306" t="s">
        <v>25</v>
      </c>
      <c r="H432" s="312">
        <f>SUM(H429:H431)</f>
        <v>8200</v>
      </c>
    </row>
    <row r="433" spans="2:8" hidden="1" x14ac:dyDescent="0.25">
      <c r="B433" s="214" t="s">
        <v>30</v>
      </c>
      <c r="C433" s="266"/>
      <c r="D433" s="266"/>
      <c r="E433" s="266"/>
      <c r="F433" s="308"/>
      <c r="G433" s="308"/>
      <c r="H433" s="304"/>
    </row>
    <row r="434" spans="2:8" hidden="1" x14ac:dyDescent="0.25">
      <c r="B434" s="560" t="s">
        <v>20</v>
      </c>
      <c r="C434" s="561"/>
      <c r="D434" s="297" t="s">
        <v>21</v>
      </c>
      <c r="E434" s="297" t="s">
        <v>127</v>
      </c>
      <c r="F434" s="298" t="s">
        <v>32</v>
      </c>
      <c r="G434" s="297" t="s">
        <v>24</v>
      </c>
      <c r="H434" s="313" t="s">
        <v>481</v>
      </c>
    </row>
    <row r="435" spans="2:8" hidden="1" x14ac:dyDescent="0.25">
      <c r="B435" s="598"/>
      <c r="C435" s="599"/>
      <c r="D435" s="314"/>
      <c r="E435" s="315"/>
      <c r="F435" s="274"/>
      <c r="G435" s="274"/>
      <c r="H435" s="304"/>
    </row>
    <row r="436" spans="2:8" hidden="1" x14ac:dyDescent="0.25">
      <c r="B436" s="598"/>
      <c r="C436" s="599"/>
      <c r="D436" s="314"/>
      <c r="E436" s="316"/>
      <c r="F436" s="317"/>
      <c r="G436" s="316"/>
      <c r="H436" s="318"/>
    </row>
    <row r="437" spans="2:8" hidden="1" x14ac:dyDescent="0.25">
      <c r="B437" s="305"/>
      <c r="C437" s="266"/>
      <c r="D437" s="266"/>
      <c r="E437" s="266"/>
      <c r="F437" s="296"/>
      <c r="G437" s="306" t="s">
        <v>25</v>
      </c>
      <c r="H437" s="319">
        <f>SUM(H435:H436)</f>
        <v>0</v>
      </c>
    </row>
    <row r="438" spans="2:8" hidden="1" x14ac:dyDescent="0.25">
      <c r="B438" s="214" t="s">
        <v>34</v>
      </c>
      <c r="C438" s="266"/>
      <c r="D438" s="266"/>
      <c r="E438" s="266"/>
      <c r="F438" s="296"/>
      <c r="G438" s="308"/>
      <c r="H438" s="320"/>
    </row>
    <row r="439" spans="2:8" hidden="1" x14ac:dyDescent="0.25">
      <c r="B439" s="321" t="s">
        <v>35</v>
      </c>
      <c r="C439" s="321" t="s">
        <v>29</v>
      </c>
      <c r="D439" s="321" t="s">
        <v>36</v>
      </c>
      <c r="E439" s="321" t="s">
        <v>37</v>
      </c>
      <c r="F439" s="322" t="s">
        <v>38</v>
      </c>
      <c r="G439" s="323" t="s">
        <v>23</v>
      </c>
      <c r="H439" s="324" t="s">
        <v>24</v>
      </c>
    </row>
    <row r="440" spans="2:8" hidden="1" x14ac:dyDescent="0.25">
      <c r="B440" s="288" t="s">
        <v>39</v>
      </c>
      <c r="C440" s="316">
        <v>1</v>
      </c>
      <c r="D440" s="325">
        <f>+D242</f>
        <v>93381.6</v>
      </c>
      <c r="E440" s="326">
        <v>1.8344</v>
      </c>
      <c r="F440" s="327">
        <f>+D440*C440*E440</f>
        <v>171299.20704000001</v>
      </c>
      <c r="G440" s="316">
        <v>100</v>
      </c>
      <c r="H440" s="274">
        <f>F440/G440</f>
        <v>1712.9920704000001</v>
      </c>
    </row>
    <row r="441" spans="2:8" hidden="1" x14ac:dyDescent="0.25">
      <c r="B441" s="288" t="s">
        <v>496</v>
      </c>
      <c r="C441" s="316">
        <v>1</v>
      </c>
      <c r="D441" s="325">
        <f>+D393</f>
        <v>58363.5</v>
      </c>
      <c r="E441" s="326">
        <v>1.8344</v>
      </c>
      <c r="F441" s="327">
        <f>+D441*C441*E441</f>
        <v>107062.00440000001</v>
      </c>
      <c r="G441" s="316">
        <v>100</v>
      </c>
      <c r="H441" s="274">
        <f>+F441/G441</f>
        <v>1070.620044</v>
      </c>
    </row>
    <row r="442" spans="2:8" hidden="1" x14ac:dyDescent="0.25">
      <c r="B442" s="288"/>
      <c r="C442" s="288"/>
      <c r="D442" s="317"/>
      <c r="E442" s="288"/>
      <c r="F442" s="317"/>
      <c r="G442" s="288"/>
      <c r="H442" s="327"/>
    </row>
    <row r="443" spans="2:8" hidden="1" x14ac:dyDescent="0.25">
      <c r="B443" s="305"/>
      <c r="C443" s="266"/>
      <c r="D443" s="266"/>
      <c r="E443" s="266"/>
      <c r="F443" s="296"/>
      <c r="G443" s="306" t="s">
        <v>25</v>
      </c>
      <c r="H443" s="328">
        <f>+SUM(H440:H442)</f>
        <v>2783.6121143999999</v>
      </c>
    </row>
    <row r="444" spans="2:8" hidden="1" x14ac:dyDescent="0.25">
      <c r="B444" s="305"/>
      <c r="C444" s="266"/>
      <c r="D444" s="266"/>
      <c r="E444" s="266"/>
      <c r="F444" s="296"/>
      <c r="G444" s="449"/>
      <c r="H444" s="320"/>
    </row>
    <row r="445" spans="2:8" ht="15.6" hidden="1" x14ac:dyDescent="0.25">
      <c r="B445" s="258"/>
      <c r="C445" s="479" t="s">
        <v>645</v>
      </c>
      <c r="D445" s="477"/>
      <c r="E445" s="477"/>
      <c r="F445" s="477"/>
      <c r="G445" s="469" t="s">
        <v>41</v>
      </c>
      <c r="H445" s="254">
        <f>+H426+H432+H437+H443</f>
        <v>11261.973325840001</v>
      </c>
    </row>
    <row r="446" spans="2:8" ht="15.6" hidden="1" x14ac:dyDescent="0.25">
      <c r="B446" s="258"/>
      <c r="C446" s="479"/>
      <c r="D446" s="477"/>
      <c r="E446" s="477"/>
      <c r="F446" s="477"/>
      <c r="G446" s="255"/>
      <c r="H446" s="219"/>
    </row>
    <row r="447" spans="2:8" ht="15.6" hidden="1" x14ac:dyDescent="0.25">
      <c r="B447" s="258"/>
      <c r="C447" s="479"/>
      <c r="D447" s="477"/>
      <c r="E447" s="477"/>
      <c r="F447" s="477"/>
      <c r="G447" s="255"/>
      <c r="H447" s="219"/>
    </row>
    <row r="448" spans="2:8" ht="15.6" hidden="1" x14ac:dyDescent="0.25">
      <c r="B448" s="258"/>
      <c r="C448" s="475" t="s">
        <v>643</v>
      </c>
      <c r="D448" s="474"/>
      <c r="E448" s="477"/>
      <c r="F448" s="477"/>
      <c r="G448" s="255"/>
      <c r="H448" s="219"/>
    </row>
    <row r="449" spans="2:8" ht="15" hidden="1" x14ac:dyDescent="0.25">
      <c r="B449" s="262"/>
      <c r="C449" s="200" t="s">
        <v>590</v>
      </c>
      <c r="D449" s="474"/>
      <c r="E449" s="478"/>
      <c r="F449" s="478"/>
      <c r="G449" s="255"/>
      <c r="H449" s="219"/>
    </row>
    <row r="450" spans="2:8" ht="15" hidden="1" x14ac:dyDescent="0.25">
      <c r="B450" s="264"/>
      <c r="C450" s="261" t="s">
        <v>591</v>
      </c>
      <c r="D450" s="474"/>
      <c r="E450" s="478"/>
      <c r="F450" s="478"/>
      <c r="G450" s="255"/>
      <c r="H450" s="219"/>
    </row>
    <row r="451" spans="2:8" ht="15" hidden="1" x14ac:dyDescent="0.25">
      <c r="B451" s="265"/>
      <c r="C451" s="261" t="s">
        <v>644</v>
      </c>
      <c r="D451" s="474"/>
      <c r="E451" s="478"/>
      <c r="F451" s="478"/>
      <c r="G451" s="255"/>
      <c r="H451" s="219"/>
    </row>
    <row r="452" spans="2:8" hidden="1" x14ac:dyDescent="0.25">
      <c r="B452" s="267"/>
      <c r="C452" s="268"/>
      <c r="D452" s="259"/>
      <c r="E452" s="259"/>
      <c r="F452" s="259"/>
      <c r="G452" s="259"/>
      <c r="H452" s="260"/>
    </row>
    <row r="453" spans="2:8" hidden="1" x14ac:dyDescent="0.25"/>
    <row r="454" spans="2:8" hidden="1" x14ac:dyDescent="0.25"/>
    <row r="455" spans="2:8" hidden="1" x14ac:dyDescent="0.25"/>
    <row r="456" spans="2:8" hidden="1" x14ac:dyDescent="0.25"/>
    <row r="457" spans="2:8" hidden="1" x14ac:dyDescent="0.25"/>
    <row r="458" spans="2:8" hidden="1" x14ac:dyDescent="0.25"/>
    <row r="459" spans="2:8" hidden="1" x14ac:dyDescent="0.25"/>
    <row r="460" spans="2:8" hidden="1" x14ac:dyDescent="0.25"/>
    <row r="461" spans="2:8" hidden="1" x14ac:dyDescent="0.25"/>
    <row r="462" spans="2:8" hidden="1" x14ac:dyDescent="0.25"/>
    <row r="463" spans="2:8" hidden="1" x14ac:dyDescent="0.25"/>
    <row r="464" spans="2:8" hidden="1" x14ac:dyDescent="0.25"/>
    <row r="465" spans="2:8" ht="15.6" hidden="1" x14ac:dyDescent="0.25">
      <c r="B465" s="566" t="s">
        <v>320</v>
      </c>
      <c r="C465" s="567"/>
      <c r="D465" s="567"/>
      <c r="E465" s="567"/>
      <c r="F465" s="567"/>
      <c r="G465" s="567"/>
      <c r="H465" s="568"/>
    </row>
    <row r="466" spans="2:8" hidden="1" x14ac:dyDescent="0.25">
      <c r="B466" s="569" t="str">
        <f>+PRESUPUESTO!B1</f>
        <v>MANTENIMIENTO Y ADECUACIÓN DE INSTITUCIONES EDUCATIVAS OFICIALES, DEL MUNICIPIO DE LA APARTADA CORDOBA.</v>
      </c>
      <c r="C466" s="638"/>
      <c r="D466" s="638"/>
      <c r="E466" s="638"/>
      <c r="F466" s="638"/>
      <c r="G466" s="638"/>
      <c r="H466" s="639"/>
    </row>
    <row r="467" spans="2:8" hidden="1" x14ac:dyDescent="0.25">
      <c r="B467" s="640"/>
      <c r="C467" s="641"/>
      <c r="D467" s="641"/>
      <c r="E467" s="641"/>
      <c r="F467" s="641"/>
      <c r="G467" s="641"/>
      <c r="H467" s="642"/>
    </row>
    <row r="468" spans="2:8" hidden="1" x14ac:dyDescent="0.25">
      <c r="B468" s="643"/>
      <c r="C468" s="644"/>
      <c r="D468" s="644"/>
      <c r="E468" s="644"/>
      <c r="F468" s="644"/>
      <c r="G468" s="644"/>
      <c r="H468" s="645"/>
    </row>
    <row r="469" spans="2:8" hidden="1" x14ac:dyDescent="0.25">
      <c r="B469" s="578" t="e">
        <f>+PRESUPUESTO!#REF!</f>
        <v>#REF!</v>
      </c>
      <c r="C469" s="579"/>
      <c r="D469" s="579"/>
      <c r="E469" s="579"/>
      <c r="F469" s="580"/>
      <c r="G469" s="587" t="s">
        <v>606</v>
      </c>
      <c r="H469" s="588"/>
    </row>
    <row r="470" spans="2:8" hidden="1" x14ac:dyDescent="0.25">
      <c r="B470" s="581"/>
      <c r="C470" s="582"/>
      <c r="D470" s="582"/>
      <c r="E470" s="582"/>
      <c r="F470" s="583"/>
      <c r="G470" s="589"/>
      <c r="H470" s="590"/>
    </row>
    <row r="471" spans="2:8" hidden="1" x14ac:dyDescent="0.25">
      <c r="B471" s="584"/>
      <c r="C471" s="585"/>
      <c r="D471" s="585"/>
      <c r="E471" s="585"/>
      <c r="F471" s="586"/>
      <c r="G471" s="591"/>
      <c r="H471" s="592"/>
    </row>
    <row r="472" spans="2:8" hidden="1" x14ac:dyDescent="0.25">
      <c r="B472" s="518" t="s">
        <v>0</v>
      </c>
      <c r="C472" s="516"/>
      <c r="D472" s="516"/>
      <c r="E472" s="516"/>
      <c r="F472" s="516"/>
      <c r="G472" s="516"/>
      <c r="H472" s="517"/>
    </row>
    <row r="473" spans="2:8" hidden="1" x14ac:dyDescent="0.25">
      <c r="B473" s="214" t="s">
        <v>19</v>
      </c>
      <c r="C473" s="266"/>
      <c r="D473" s="266"/>
      <c r="E473" s="266"/>
      <c r="F473" s="296"/>
      <c r="G473" s="266"/>
      <c r="H473" s="216"/>
    </row>
    <row r="474" spans="2:8" hidden="1" x14ac:dyDescent="0.25">
      <c r="B474" s="560" t="s">
        <v>20</v>
      </c>
      <c r="C474" s="561"/>
      <c r="D474" s="297" t="s">
        <v>21</v>
      </c>
      <c r="E474" s="297" t="s">
        <v>22</v>
      </c>
      <c r="F474" s="298" t="s">
        <v>23</v>
      </c>
      <c r="G474" s="299" t="s">
        <v>24</v>
      </c>
      <c r="H474" s="300" t="s">
        <v>482</v>
      </c>
    </row>
    <row r="475" spans="2:8" hidden="1" x14ac:dyDescent="0.25">
      <c r="B475" s="562" t="s">
        <v>8</v>
      </c>
      <c r="C475" s="563"/>
      <c r="D475" s="301"/>
      <c r="E475" s="302"/>
      <c r="F475" s="303">
        <v>0.1</v>
      </c>
      <c r="G475" s="287">
        <f>+H498</f>
        <v>6959.0302860000002</v>
      </c>
      <c r="H475" s="304">
        <f>+F475*G475</f>
        <v>695.90302860000008</v>
      </c>
    </row>
    <row r="476" spans="2:8" hidden="1" x14ac:dyDescent="0.25">
      <c r="B476" s="600"/>
      <c r="C476" s="601"/>
      <c r="D476" s="301"/>
      <c r="E476" s="302"/>
      <c r="F476" s="289"/>
      <c r="G476" s="287"/>
      <c r="H476" s="304"/>
    </row>
    <row r="477" spans="2:8" hidden="1" x14ac:dyDescent="0.25">
      <c r="B477" s="562"/>
      <c r="C477" s="563"/>
      <c r="D477" s="301"/>
      <c r="E477" s="302"/>
      <c r="F477" s="289"/>
      <c r="G477" s="287"/>
      <c r="H477" s="304"/>
    </row>
    <row r="478" spans="2:8" hidden="1" x14ac:dyDescent="0.25">
      <c r="B478" s="305"/>
      <c r="C478" s="266"/>
      <c r="D478" s="266"/>
      <c r="E478" s="266"/>
      <c r="F478" s="296"/>
      <c r="G478" s="306" t="s">
        <v>25</v>
      </c>
      <c r="H478" s="307">
        <f>SUM(H475:H477)</f>
        <v>695.90302860000008</v>
      </c>
    </row>
    <row r="479" spans="2:8" hidden="1" x14ac:dyDescent="0.25">
      <c r="B479" s="214" t="s">
        <v>26</v>
      </c>
      <c r="C479" s="266"/>
      <c r="D479" s="266"/>
      <c r="E479" s="266"/>
      <c r="F479" s="308"/>
      <c r="G479" s="308"/>
      <c r="H479" s="309"/>
    </row>
    <row r="480" spans="2:8" hidden="1" x14ac:dyDescent="0.25">
      <c r="B480" s="560" t="s">
        <v>20</v>
      </c>
      <c r="C480" s="561"/>
      <c r="D480" s="297" t="s">
        <v>27</v>
      </c>
      <c r="E480" s="297" t="s">
        <v>28</v>
      </c>
      <c r="F480" s="454" t="s">
        <v>29</v>
      </c>
      <c r="G480" s="299" t="s">
        <v>24</v>
      </c>
      <c r="H480" s="310" t="s">
        <v>482</v>
      </c>
    </row>
    <row r="481" spans="2:8" hidden="1" x14ac:dyDescent="0.25">
      <c r="B481" s="455" t="s">
        <v>629</v>
      </c>
      <c r="C481" s="456"/>
      <c r="D481" s="457" t="s">
        <v>463</v>
      </c>
      <c r="E481" s="451">
        <v>145350</v>
      </c>
      <c r="F481" s="452">
        <v>0.125</v>
      </c>
      <c r="G481" s="458">
        <f>+F481*E481</f>
        <v>18168.75</v>
      </c>
      <c r="H481" s="459">
        <f>+G481</f>
        <v>18168.75</v>
      </c>
    </row>
    <row r="482" spans="2:8" hidden="1" x14ac:dyDescent="0.25">
      <c r="B482" s="593" t="s">
        <v>630</v>
      </c>
      <c r="C482" s="594"/>
      <c r="D482" s="457" t="s">
        <v>499</v>
      </c>
      <c r="E482" s="451">
        <v>150</v>
      </c>
      <c r="F482" s="453">
        <v>3</v>
      </c>
      <c r="G482" s="458">
        <f>+F482*E482</f>
        <v>450</v>
      </c>
      <c r="H482" s="459">
        <f>+G482</f>
        <v>450</v>
      </c>
    </row>
    <row r="483" spans="2:8" hidden="1" x14ac:dyDescent="0.25">
      <c r="B483" s="596" t="s">
        <v>628</v>
      </c>
      <c r="C483" s="597"/>
      <c r="D483" s="285" t="s">
        <v>72</v>
      </c>
      <c r="E483" s="286">
        <v>7500</v>
      </c>
      <c r="F483" s="289">
        <v>0.05</v>
      </c>
      <c r="G483" s="274">
        <f>E483*F483</f>
        <v>375</v>
      </c>
      <c r="H483" s="275">
        <f>G483</f>
        <v>375</v>
      </c>
    </row>
    <row r="484" spans="2:8" hidden="1" x14ac:dyDescent="0.25">
      <c r="B484" s="554"/>
      <c r="C484" s="555"/>
      <c r="D484" s="271" t="str">
        <f>+IF(B484=0,"",(VLOOKUP(B484,[7]MATERIALES!$B$6:$D$149,3,FALSE)))</f>
        <v/>
      </c>
      <c r="E484" s="272"/>
      <c r="F484" s="273"/>
      <c r="G484" s="274"/>
      <c r="H484" s="459">
        <f>+G484</f>
        <v>0</v>
      </c>
    </row>
    <row r="485" spans="2:8" hidden="1" x14ac:dyDescent="0.25">
      <c r="B485" s="596" t="s">
        <v>631</v>
      </c>
      <c r="C485" s="597"/>
      <c r="D485" s="271" t="s">
        <v>501</v>
      </c>
      <c r="E485" s="272">
        <f>+SUM(G481:G483)</f>
        <v>18993.75</v>
      </c>
      <c r="F485" s="276">
        <v>0.05</v>
      </c>
      <c r="G485" s="274">
        <f>E485*F485</f>
        <v>949.6875</v>
      </c>
      <c r="H485" s="275">
        <f>G485</f>
        <v>949.6875</v>
      </c>
    </row>
    <row r="486" spans="2:8" hidden="1" x14ac:dyDescent="0.25">
      <c r="B486" s="596"/>
      <c r="C486" s="597"/>
      <c r="D486" s="285"/>
      <c r="E486" s="286"/>
      <c r="F486" s="289"/>
      <c r="G486" s="287"/>
      <c r="H486" s="288"/>
    </row>
    <row r="487" spans="2:8" hidden="1" x14ac:dyDescent="0.25">
      <c r="B487" s="305"/>
      <c r="C487" s="266"/>
      <c r="D487" s="266"/>
      <c r="E487" s="266"/>
      <c r="F487" s="308"/>
      <c r="G487" s="306" t="s">
        <v>25</v>
      </c>
      <c r="H487" s="312">
        <f>SUM(H481:H486)</f>
        <v>19943.4375</v>
      </c>
    </row>
    <row r="488" spans="2:8" hidden="1" x14ac:dyDescent="0.25">
      <c r="B488" s="214" t="s">
        <v>30</v>
      </c>
      <c r="C488" s="266"/>
      <c r="D488" s="266"/>
      <c r="E488" s="266"/>
      <c r="F488" s="308"/>
      <c r="G488" s="308"/>
      <c r="H488" s="304"/>
    </row>
    <row r="489" spans="2:8" hidden="1" x14ac:dyDescent="0.25">
      <c r="B489" s="560" t="s">
        <v>20</v>
      </c>
      <c r="C489" s="561"/>
      <c r="D489" s="297" t="s">
        <v>21</v>
      </c>
      <c r="E489" s="297" t="s">
        <v>127</v>
      </c>
      <c r="F489" s="298" t="s">
        <v>32</v>
      </c>
      <c r="G489" s="297" t="s">
        <v>24</v>
      </c>
      <c r="H489" s="313" t="s">
        <v>481</v>
      </c>
    </row>
    <row r="490" spans="2:8" hidden="1" x14ac:dyDescent="0.25">
      <c r="B490" s="598"/>
      <c r="C490" s="599"/>
      <c r="D490" s="314"/>
      <c r="E490" s="315"/>
      <c r="F490" s="274"/>
      <c r="G490" s="274"/>
      <c r="H490" s="304"/>
    </row>
    <row r="491" spans="2:8" hidden="1" x14ac:dyDescent="0.25">
      <c r="B491" s="598"/>
      <c r="C491" s="599"/>
      <c r="D491" s="314"/>
      <c r="E491" s="316"/>
      <c r="F491" s="317"/>
      <c r="G491" s="316"/>
      <c r="H491" s="318"/>
    </row>
    <row r="492" spans="2:8" hidden="1" x14ac:dyDescent="0.25">
      <c r="B492" s="305"/>
      <c r="C492" s="266"/>
      <c r="D492" s="266"/>
      <c r="E492" s="266"/>
      <c r="F492" s="296"/>
      <c r="G492" s="306" t="s">
        <v>25</v>
      </c>
      <c r="H492" s="319">
        <f>SUM(H490:H491)</f>
        <v>0</v>
      </c>
    </row>
    <row r="493" spans="2:8" hidden="1" x14ac:dyDescent="0.25">
      <c r="B493" s="214" t="s">
        <v>34</v>
      </c>
      <c r="C493" s="266"/>
      <c r="D493" s="266"/>
      <c r="E493" s="266"/>
      <c r="F493" s="296"/>
      <c r="G493" s="308"/>
      <c r="H493" s="320"/>
    </row>
    <row r="494" spans="2:8" hidden="1" x14ac:dyDescent="0.25">
      <c r="B494" s="321" t="s">
        <v>35</v>
      </c>
      <c r="C494" s="321" t="s">
        <v>29</v>
      </c>
      <c r="D494" s="321" t="s">
        <v>36</v>
      </c>
      <c r="E494" s="321" t="s">
        <v>37</v>
      </c>
      <c r="F494" s="322" t="s">
        <v>38</v>
      </c>
      <c r="G494" s="323" t="s">
        <v>23</v>
      </c>
      <c r="H494" s="324" t="s">
        <v>24</v>
      </c>
    </row>
    <row r="495" spans="2:8" hidden="1" x14ac:dyDescent="0.25">
      <c r="B495" s="288" t="s">
        <v>39</v>
      </c>
      <c r="C495" s="316">
        <v>1</v>
      </c>
      <c r="D495" s="325">
        <f>+D440</f>
        <v>93381.6</v>
      </c>
      <c r="E495" s="326">
        <v>1.8344</v>
      </c>
      <c r="F495" s="327">
        <f>+D495*C495*E495</f>
        <v>171299.20704000001</v>
      </c>
      <c r="G495" s="316">
        <v>40</v>
      </c>
      <c r="H495" s="274">
        <f>F495/G495</f>
        <v>4282.480176</v>
      </c>
    </row>
    <row r="496" spans="2:8" hidden="1" x14ac:dyDescent="0.25">
      <c r="B496" s="288" t="s">
        <v>496</v>
      </c>
      <c r="C496" s="316">
        <v>1</v>
      </c>
      <c r="D496" s="325">
        <f>+D441</f>
        <v>58363.5</v>
      </c>
      <c r="E496" s="326">
        <v>1.8344</v>
      </c>
      <c r="F496" s="327">
        <f>+D496*C496*E496</f>
        <v>107062.00440000001</v>
      </c>
      <c r="G496" s="316">
        <v>40</v>
      </c>
      <c r="H496" s="274">
        <f>+F496/G496</f>
        <v>2676.5501100000001</v>
      </c>
    </row>
    <row r="497" spans="2:8" hidden="1" x14ac:dyDescent="0.25">
      <c r="B497" s="288"/>
      <c r="C497" s="288"/>
      <c r="D497" s="317"/>
      <c r="E497" s="288"/>
      <c r="F497" s="317"/>
      <c r="G497" s="288"/>
      <c r="H497" s="327"/>
    </row>
    <row r="498" spans="2:8" hidden="1" x14ac:dyDescent="0.25">
      <c r="B498" s="305"/>
      <c r="C498" s="266"/>
      <c r="D498" s="266"/>
      <c r="E498" s="266"/>
      <c r="F498" s="296"/>
      <c r="G498" s="306" t="s">
        <v>25</v>
      </c>
      <c r="H498" s="328">
        <f>+SUM(H495:H497)</f>
        <v>6959.0302860000002</v>
      </c>
    </row>
    <row r="499" spans="2:8" hidden="1" x14ac:dyDescent="0.25">
      <c r="B499" s="305"/>
      <c r="C499" s="266"/>
      <c r="D499" s="266"/>
      <c r="E499" s="266"/>
      <c r="F499" s="296"/>
      <c r="G499" s="449"/>
      <c r="H499" s="320"/>
    </row>
    <row r="500" spans="2:8" ht="15.6" hidden="1" x14ac:dyDescent="0.25">
      <c r="B500" s="258"/>
      <c r="C500" s="479" t="s">
        <v>645</v>
      </c>
      <c r="D500" s="477"/>
      <c r="E500" s="477"/>
      <c r="F500" s="477"/>
      <c r="G500" s="469" t="s">
        <v>41</v>
      </c>
      <c r="H500" s="254">
        <f>+H478+H487+H492+H498</f>
        <v>27598.370814600003</v>
      </c>
    </row>
    <row r="501" spans="2:8" ht="15.6" hidden="1" x14ac:dyDescent="0.25">
      <c r="B501" s="258"/>
      <c r="C501" s="479"/>
      <c r="D501" s="477"/>
      <c r="E501" s="477"/>
      <c r="F501" s="477"/>
      <c r="G501" s="255"/>
      <c r="H501" s="470"/>
    </row>
    <row r="502" spans="2:8" ht="15.6" hidden="1" x14ac:dyDescent="0.25">
      <c r="B502" s="258"/>
      <c r="C502" s="479"/>
      <c r="D502" s="477"/>
      <c r="E502" s="477"/>
      <c r="F502" s="477"/>
      <c r="G502" s="255"/>
      <c r="H502" s="470"/>
    </row>
    <row r="503" spans="2:8" ht="15.6" hidden="1" x14ac:dyDescent="0.25">
      <c r="B503" s="258"/>
      <c r="C503" s="475" t="s">
        <v>643</v>
      </c>
      <c r="D503" s="474"/>
      <c r="E503" s="477"/>
      <c r="F503" s="477"/>
      <c r="G503" s="255"/>
      <c r="H503" s="219"/>
    </row>
    <row r="504" spans="2:8" ht="15" hidden="1" x14ac:dyDescent="0.25">
      <c r="B504" s="262"/>
      <c r="C504" s="200" t="s">
        <v>590</v>
      </c>
      <c r="D504" s="474"/>
      <c r="E504" s="478"/>
      <c r="F504" s="478"/>
      <c r="G504" s="255"/>
      <c r="H504" s="219"/>
    </row>
    <row r="505" spans="2:8" ht="15" hidden="1" x14ac:dyDescent="0.25">
      <c r="B505" s="264"/>
      <c r="C505" s="261" t="s">
        <v>591</v>
      </c>
      <c r="D505" s="474"/>
      <c r="E505" s="478"/>
      <c r="F505" s="478"/>
      <c r="G505" s="255"/>
      <c r="H505" s="219"/>
    </row>
    <row r="506" spans="2:8" ht="15" hidden="1" x14ac:dyDescent="0.25">
      <c r="B506" s="265"/>
      <c r="C506" s="261" t="s">
        <v>644</v>
      </c>
      <c r="D506" s="474"/>
      <c r="E506" s="478"/>
      <c r="F506" s="478"/>
      <c r="G506" s="255"/>
      <c r="H506" s="219"/>
    </row>
    <row r="507" spans="2:8" hidden="1" x14ac:dyDescent="0.25">
      <c r="B507" s="267"/>
      <c r="C507" s="268"/>
      <c r="D507" s="259"/>
      <c r="E507" s="259"/>
      <c r="F507" s="259"/>
      <c r="G507" s="259"/>
      <c r="H507" s="260"/>
    </row>
    <row r="508" spans="2:8" hidden="1" x14ac:dyDescent="0.25"/>
    <row r="509" spans="2:8" hidden="1" x14ac:dyDescent="0.25"/>
    <row r="510" spans="2:8" hidden="1" x14ac:dyDescent="0.25"/>
    <row r="511" spans="2:8" hidden="1" x14ac:dyDescent="0.25"/>
    <row r="512" spans="2:8" hidden="1" x14ac:dyDescent="0.25"/>
    <row r="513" spans="2:8" hidden="1" x14ac:dyDescent="0.25"/>
    <row r="514" spans="2:8" hidden="1" x14ac:dyDescent="0.25"/>
    <row r="515" spans="2:8" hidden="1" x14ac:dyDescent="0.25"/>
    <row r="516" spans="2:8" hidden="1" x14ac:dyDescent="0.25"/>
    <row r="517" spans="2:8" ht="15.6" hidden="1" x14ac:dyDescent="0.25">
      <c r="B517" s="566" t="s">
        <v>320</v>
      </c>
      <c r="C517" s="567"/>
      <c r="D517" s="567"/>
      <c r="E517" s="567"/>
      <c r="F517" s="567"/>
      <c r="G517" s="567"/>
      <c r="H517" s="568"/>
    </row>
    <row r="518" spans="2:8" hidden="1" x14ac:dyDescent="0.25">
      <c r="B518" s="569" t="str">
        <f>+PRESUPUESTO!B1</f>
        <v>MANTENIMIENTO Y ADECUACIÓN DE INSTITUCIONES EDUCATIVAS OFICIALES, DEL MUNICIPIO DE LA APARTADA CORDOBA.</v>
      </c>
      <c r="C518" s="638"/>
      <c r="D518" s="638"/>
      <c r="E518" s="638"/>
      <c r="F518" s="638"/>
      <c r="G518" s="638"/>
      <c r="H518" s="639"/>
    </row>
    <row r="519" spans="2:8" hidden="1" x14ac:dyDescent="0.25">
      <c r="B519" s="640"/>
      <c r="C519" s="641"/>
      <c r="D519" s="641"/>
      <c r="E519" s="641"/>
      <c r="F519" s="641"/>
      <c r="G519" s="641"/>
      <c r="H519" s="642"/>
    </row>
    <row r="520" spans="2:8" hidden="1" x14ac:dyDescent="0.25">
      <c r="B520" s="643"/>
      <c r="C520" s="644"/>
      <c r="D520" s="644"/>
      <c r="E520" s="644"/>
      <c r="F520" s="644"/>
      <c r="G520" s="644"/>
      <c r="H520" s="645"/>
    </row>
    <row r="521" spans="2:8" hidden="1" x14ac:dyDescent="0.25">
      <c r="B521" s="578" t="e">
        <f>+PRESUPUESTO!#REF!</f>
        <v>#REF!</v>
      </c>
      <c r="C521" s="579"/>
      <c r="D521" s="579"/>
      <c r="E521" s="579"/>
      <c r="F521" s="580"/>
      <c r="G521" s="587" t="s">
        <v>606</v>
      </c>
      <c r="H521" s="588"/>
    </row>
    <row r="522" spans="2:8" hidden="1" x14ac:dyDescent="0.25">
      <c r="B522" s="581"/>
      <c r="C522" s="582"/>
      <c r="D522" s="582"/>
      <c r="E522" s="582"/>
      <c r="F522" s="583"/>
      <c r="G522" s="589"/>
      <c r="H522" s="590"/>
    </row>
    <row r="523" spans="2:8" hidden="1" x14ac:dyDescent="0.25">
      <c r="B523" s="584"/>
      <c r="C523" s="585"/>
      <c r="D523" s="585"/>
      <c r="E523" s="585"/>
      <c r="F523" s="586"/>
      <c r="G523" s="591"/>
      <c r="H523" s="592"/>
    </row>
    <row r="524" spans="2:8" hidden="1" x14ac:dyDescent="0.25">
      <c r="B524" s="518" t="s">
        <v>0</v>
      </c>
      <c r="C524" s="516"/>
      <c r="D524" s="516"/>
      <c r="E524" s="516"/>
      <c r="F524" s="516"/>
      <c r="G524" s="516"/>
      <c r="H524" s="517"/>
    </row>
    <row r="525" spans="2:8" hidden="1" x14ac:dyDescent="0.25">
      <c r="B525" s="214" t="s">
        <v>19</v>
      </c>
      <c r="C525" s="266"/>
      <c r="D525" s="266"/>
      <c r="E525" s="266"/>
      <c r="F525" s="296"/>
      <c r="G525" s="266"/>
      <c r="H525" s="216"/>
    </row>
    <row r="526" spans="2:8" hidden="1" x14ac:dyDescent="0.25">
      <c r="B526" s="560" t="s">
        <v>20</v>
      </c>
      <c r="C526" s="561"/>
      <c r="D526" s="297" t="s">
        <v>21</v>
      </c>
      <c r="E526" s="297" t="s">
        <v>22</v>
      </c>
      <c r="F526" s="298" t="s">
        <v>23</v>
      </c>
      <c r="G526" s="299" t="s">
        <v>24</v>
      </c>
      <c r="H526" s="300" t="s">
        <v>482</v>
      </c>
    </row>
    <row r="527" spans="2:8" hidden="1" x14ac:dyDescent="0.25">
      <c r="B527" s="646" t="s">
        <v>8</v>
      </c>
      <c r="C527" s="647"/>
      <c r="D527" s="301"/>
      <c r="E527" s="302"/>
      <c r="F527" s="303">
        <v>0.1</v>
      </c>
      <c r="G527" s="287">
        <f>+H555</f>
        <v>17397.575714999999</v>
      </c>
      <c r="H527" s="304">
        <f>+F527*G527</f>
        <v>1739.7575715</v>
      </c>
    </row>
    <row r="528" spans="2:8" hidden="1" x14ac:dyDescent="0.25">
      <c r="B528" s="460" t="s">
        <v>632</v>
      </c>
      <c r="C528" s="461"/>
      <c r="D528" s="301"/>
      <c r="E528" s="427">
        <v>4200</v>
      </c>
      <c r="F528" s="289">
        <v>5</v>
      </c>
      <c r="G528" s="287">
        <f>+E528/F528</f>
        <v>840</v>
      </c>
      <c r="H528" s="304">
        <f>+G528</f>
        <v>840</v>
      </c>
    </row>
    <row r="529" spans="2:8" hidden="1" x14ac:dyDescent="0.25">
      <c r="B529" s="460" t="s">
        <v>633</v>
      </c>
      <c r="C529" s="461"/>
      <c r="D529" s="301"/>
      <c r="E529" s="427">
        <v>4600</v>
      </c>
      <c r="F529" s="289">
        <v>5</v>
      </c>
      <c r="G529" s="287">
        <f>+E529/F529</f>
        <v>920</v>
      </c>
      <c r="H529" s="304">
        <f>+G529</f>
        <v>920</v>
      </c>
    </row>
    <row r="530" spans="2:8" hidden="1" x14ac:dyDescent="0.25">
      <c r="B530" s="305"/>
      <c r="C530" s="266"/>
      <c r="D530" s="266"/>
      <c r="E530" s="266"/>
      <c r="F530" s="296"/>
      <c r="G530" s="306" t="s">
        <v>25</v>
      </c>
      <c r="H530" s="307">
        <f>SUM(H527:H529)</f>
        <v>3499.7575715000003</v>
      </c>
    </row>
    <row r="531" spans="2:8" hidden="1" x14ac:dyDescent="0.25">
      <c r="B531" s="214" t="s">
        <v>26</v>
      </c>
      <c r="C531" s="266"/>
      <c r="D531" s="266"/>
      <c r="E531" s="266"/>
      <c r="F531" s="308"/>
      <c r="G531" s="308"/>
      <c r="H531" s="309"/>
    </row>
    <row r="532" spans="2:8" hidden="1" x14ac:dyDescent="0.25">
      <c r="B532" s="560" t="s">
        <v>20</v>
      </c>
      <c r="C532" s="561"/>
      <c r="D532" s="297" t="s">
        <v>27</v>
      </c>
      <c r="E532" s="297" t="s">
        <v>28</v>
      </c>
      <c r="F532" s="298" t="s">
        <v>29</v>
      </c>
      <c r="G532" s="299" t="s">
        <v>24</v>
      </c>
      <c r="H532" s="310" t="s">
        <v>482</v>
      </c>
    </row>
    <row r="533" spans="2:8" hidden="1" x14ac:dyDescent="0.25">
      <c r="B533" s="554"/>
      <c r="C533" s="555"/>
      <c r="D533" s="271" t="str">
        <f>+IF(B533=0,"",(VLOOKUP(B533,[7]MATERIALES!$B$6:$D$149,3,FALSE)))</f>
        <v/>
      </c>
      <c r="E533" s="272"/>
      <c r="F533" s="273"/>
      <c r="G533" s="274">
        <f t="shared" ref="G533:G542" si="3">E533*F533</f>
        <v>0</v>
      </c>
      <c r="H533" s="275">
        <f>G533</f>
        <v>0</v>
      </c>
    </row>
    <row r="534" spans="2:8" hidden="1" x14ac:dyDescent="0.25">
      <c r="B534" s="556" t="s">
        <v>634</v>
      </c>
      <c r="C534" s="557"/>
      <c r="D534" s="462" t="s">
        <v>1</v>
      </c>
      <c r="E534" s="427">
        <v>3650</v>
      </c>
      <c r="F534" s="463">
        <v>0.35</v>
      </c>
      <c r="G534" s="274">
        <f t="shared" si="3"/>
        <v>1277.5</v>
      </c>
      <c r="H534" s="275">
        <f t="shared" ref="H534:H540" si="4">G534</f>
        <v>1277.5</v>
      </c>
    </row>
    <row r="535" spans="2:8" hidden="1" x14ac:dyDescent="0.25">
      <c r="B535" s="556" t="s">
        <v>635</v>
      </c>
      <c r="C535" s="557"/>
      <c r="D535" s="462" t="s">
        <v>1</v>
      </c>
      <c r="E535" s="427">
        <v>500</v>
      </c>
      <c r="F535" s="463">
        <v>5</v>
      </c>
      <c r="G535" s="274">
        <f t="shared" si="3"/>
        <v>2500</v>
      </c>
      <c r="H535" s="275">
        <f t="shared" si="4"/>
        <v>2500</v>
      </c>
    </row>
    <row r="536" spans="2:8" hidden="1" x14ac:dyDescent="0.25">
      <c r="B536" s="564" t="s">
        <v>636</v>
      </c>
      <c r="C536" s="565"/>
      <c r="D536" s="462" t="s">
        <v>1</v>
      </c>
      <c r="E536" s="427">
        <v>5200</v>
      </c>
      <c r="F536" s="463">
        <v>1.8</v>
      </c>
      <c r="G536" s="274">
        <f t="shared" si="3"/>
        <v>9360</v>
      </c>
      <c r="H536" s="275">
        <f t="shared" si="4"/>
        <v>9360</v>
      </c>
    </row>
    <row r="537" spans="2:8" hidden="1" x14ac:dyDescent="0.25">
      <c r="B537" s="410" t="s">
        <v>637</v>
      </c>
      <c r="C537" s="464"/>
      <c r="D537" s="462" t="s">
        <v>332</v>
      </c>
      <c r="E537" s="427">
        <v>15600</v>
      </c>
      <c r="F537" s="463">
        <v>7.0000000000000007E-2</v>
      </c>
      <c r="G537" s="274">
        <f t="shared" si="3"/>
        <v>1092</v>
      </c>
      <c r="H537" s="275">
        <f t="shared" si="4"/>
        <v>1092</v>
      </c>
    </row>
    <row r="538" spans="2:8" hidden="1" x14ac:dyDescent="0.25">
      <c r="B538" s="410" t="s">
        <v>638</v>
      </c>
      <c r="C538" s="464"/>
      <c r="D538" s="462" t="s">
        <v>1</v>
      </c>
      <c r="E538" s="427">
        <v>7900</v>
      </c>
      <c r="F538" s="463">
        <v>0.35</v>
      </c>
      <c r="G538" s="274">
        <f t="shared" si="3"/>
        <v>2765</v>
      </c>
      <c r="H538" s="275">
        <f t="shared" si="4"/>
        <v>2765</v>
      </c>
    </row>
    <row r="539" spans="2:8" hidden="1" x14ac:dyDescent="0.25">
      <c r="B539" s="556" t="s">
        <v>639</v>
      </c>
      <c r="C539" s="557"/>
      <c r="D539" s="462" t="s">
        <v>1</v>
      </c>
      <c r="E539" s="427">
        <f>(79692)/4</f>
        <v>19923</v>
      </c>
      <c r="F539" s="463">
        <v>1.2</v>
      </c>
      <c r="G539" s="274">
        <f t="shared" si="3"/>
        <v>23907.599999999999</v>
      </c>
      <c r="H539" s="275">
        <f t="shared" si="4"/>
        <v>23907.599999999999</v>
      </c>
    </row>
    <row r="540" spans="2:8" hidden="1" x14ac:dyDescent="0.25">
      <c r="B540" s="556" t="s">
        <v>640</v>
      </c>
      <c r="C540" s="557"/>
      <c r="D540" s="462" t="s">
        <v>1</v>
      </c>
      <c r="E540" s="427">
        <v>200</v>
      </c>
      <c r="F540" s="463">
        <v>20</v>
      </c>
      <c r="G540" s="274">
        <f t="shared" si="3"/>
        <v>4000</v>
      </c>
      <c r="H540" s="275">
        <f t="shared" si="4"/>
        <v>4000</v>
      </c>
    </row>
    <row r="541" spans="2:8" hidden="1" x14ac:dyDescent="0.25">
      <c r="B541" s="408"/>
      <c r="C541" s="409"/>
      <c r="D541" s="271"/>
      <c r="E541" s="272"/>
      <c r="F541" s="273"/>
      <c r="G541" s="274"/>
      <c r="H541" s="275"/>
    </row>
    <row r="542" spans="2:8" hidden="1" x14ac:dyDescent="0.25">
      <c r="B542" s="596" t="s">
        <v>605</v>
      </c>
      <c r="C542" s="597"/>
      <c r="D542" s="271" t="s">
        <v>501</v>
      </c>
      <c r="E542" s="272">
        <f>+SUM(G534:G541)</f>
        <v>44902.1</v>
      </c>
      <c r="F542" s="276">
        <v>0.05</v>
      </c>
      <c r="G542" s="274">
        <f t="shared" si="3"/>
        <v>2245.105</v>
      </c>
      <c r="H542" s="275">
        <f>G542</f>
        <v>2245.105</v>
      </c>
    </row>
    <row r="543" spans="2:8" hidden="1" x14ac:dyDescent="0.25">
      <c r="B543" s="596"/>
      <c r="C543" s="597"/>
      <c r="D543" s="285"/>
      <c r="E543" s="286"/>
      <c r="F543" s="289"/>
      <c r="G543" s="287"/>
      <c r="H543" s="288"/>
    </row>
    <row r="544" spans="2:8" hidden="1" x14ac:dyDescent="0.25">
      <c r="B544" s="305"/>
      <c r="C544" s="266"/>
      <c r="D544" s="266"/>
      <c r="E544" s="266"/>
      <c r="F544" s="308"/>
      <c r="G544" s="306" t="s">
        <v>25</v>
      </c>
      <c r="H544" s="312">
        <f>SUM(H533:H543)</f>
        <v>47147.205000000002</v>
      </c>
    </row>
    <row r="545" spans="2:8" hidden="1" x14ac:dyDescent="0.25">
      <c r="B545" s="214" t="s">
        <v>30</v>
      </c>
      <c r="C545" s="266"/>
      <c r="D545" s="266"/>
      <c r="E545" s="266"/>
      <c r="F545" s="308"/>
      <c r="G545" s="308"/>
      <c r="H545" s="304"/>
    </row>
    <row r="546" spans="2:8" hidden="1" x14ac:dyDescent="0.25">
      <c r="B546" s="560" t="s">
        <v>20</v>
      </c>
      <c r="C546" s="561"/>
      <c r="D546" s="297" t="s">
        <v>21</v>
      </c>
      <c r="E546" s="297" t="s">
        <v>127</v>
      </c>
      <c r="F546" s="298" t="s">
        <v>642</v>
      </c>
      <c r="G546" s="297" t="s">
        <v>24</v>
      </c>
      <c r="H546" s="313" t="s">
        <v>481</v>
      </c>
    </row>
    <row r="547" spans="2:8" hidden="1" x14ac:dyDescent="0.25">
      <c r="B547" s="598" t="s">
        <v>641</v>
      </c>
      <c r="C547" s="599"/>
      <c r="D547" s="314" t="s">
        <v>600</v>
      </c>
      <c r="E547" s="315">
        <v>1</v>
      </c>
      <c r="F547" s="274">
        <v>2000</v>
      </c>
      <c r="G547" s="274">
        <f>+E547*F547</f>
        <v>2000</v>
      </c>
      <c r="H547" s="304">
        <f>+G547</f>
        <v>2000</v>
      </c>
    </row>
    <row r="548" spans="2:8" hidden="1" x14ac:dyDescent="0.25">
      <c r="B548" s="598"/>
      <c r="C548" s="599"/>
      <c r="D548" s="314"/>
      <c r="E548" s="316"/>
      <c r="F548" s="317"/>
      <c r="G548" s="316"/>
      <c r="H548" s="318"/>
    </row>
    <row r="549" spans="2:8" hidden="1" x14ac:dyDescent="0.25">
      <c r="B549" s="305"/>
      <c r="C549" s="266"/>
      <c r="D549" s="266"/>
      <c r="E549" s="266"/>
      <c r="F549" s="296"/>
      <c r="G549" s="306" t="s">
        <v>25</v>
      </c>
      <c r="H549" s="319">
        <f>SUM(H547:H548)</f>
        <v>2000</v>
      </c>
    </row>
    <row r="550" spans="2:8" hidden="1" x14ac:dyDescent="0.25">
      <c r="B550" s="214" t="s">
        <v>34</v>
      </c>
      <c r="C550" s="266"/>
      <c r="D550" s="266"/>
      <c r="E550" s="266"/>
      <c r="F550" s="296"/>
      <c r="G550" s="308"/>
      <c r="H550" s="320"/>
    </row>
    <row r="551" spans="2:8" hidden="1" x14ac:dyDescent="0.25">
      <c r="B551" s="321" t="s">
        <v>35</v>
      </c>
      <c r="C551" s="321" t="s">
        <v>29</v>
      </c>
      <c r="D551" s="321" t="s">
        <v>36</v>
      </c>
      <c r="E551" s="321" t="s">
        <v>37</v>
      </c>
      <c r="F551" s="322" t="s">
        <v>38</v>
      </c>
      <c r="G551" s="323" t="s">
        <v>23</v>
      </c>
      <c r="H551" s="324" t="s">
        <v>24</v>
      </c>
    </row>
    <row r="552" spans="2:8" hidden="1" x14ac:dyDescent="0.25">
      <c r="B552" s="288" t="s">
        <v>39</v>
      </c>
      <c r="C552" s="316">
        <v>1</v>
      </c>
      <c r="D552" s="325">
        <f>+D495</f>
        <v>93381.6</v>
      </c>
      <c r="E552" s="326">
        <v>1.8344</v>
      </c>
      <c r="F552" s="327">
        <f>+D552*C552*E552</f>
        <v>171299.20704000001</v>
      </c>
      <c r="G552" s="316">
        <v>16</v>
      </c>
      <c r="H552" s="274">
        <f>F552/G552</f>
        <v>10706.200440000001</v>
      </c>
    </row>
    <row r="553" spans="2:8" hidden="1" x14ac:dyDescent="0.25">
      <c r="B553" s="288" t="s">
        <v>496</v>
      </c>
      <c r="C553" s="316">
        <v>1</v>
      </c>
      <c r="D553" s="325">
        <f>+D496</f>
        <v>58363.5</v>
      </c>
      <c r="E553" s="326">
        <v>1.8344</v>
      </c>
      <c r="F553" s="327">
        <f>+D553*C553*E553</f>
        <v>107062.00440000001</v>
      </c>
      <c r="G553" s="316">
        <v>16</v>
      </c>
      <c r="H553" s="274">
        <f>+F553/G553</f>
        <v>6691.3752750000003</v>
      </c>
    </row>
    <row r="554" spans="2:8" hidden="1" x14ac:dyDescent="0.25">
      <c r="B554" s="288"/>
      <c r="C554" s="288"/>
      <c r="D554" s="317"/>
      <c r="E554" s="288"/>
      <c r="F554" s="317"/>
      <c r="G554" s="288"/>
      <c r="H554" s="327"/>
    </row>
    <row r="555" spans="2:8" hidden="1" x14ac:dyDescent="0.25">
      <c r="B555" s="305"/>
      <c r="C555" s="266"/>
      <c r="D555" s="266"/>
      <c r="E555" s="266"/>
      <c r="F555" s="296"/>
      <c r="G555" s="306" t="s">
        <v>25</v>
      </c>
      <c r="H555" s="328">
        <f>+SUM(H552:H554)</f>
        <v>17397.575714999999</v>
      </c>
    </row>
    <row r="556" spans="2:8" hidden="1" x14ac:dyDescent="0.25">
      <c r="B556" s="305"/>
      <c r="C556" s="266"/>
      <c r="D556" s="266"/>
      <c r="E556" s="266"/>
      <c r="F556" s="296"/>
      <c r="G556" s="449"/>
      <c r="H556" s="320"/>
    </row>
    <row r="557" spans="2:8" ht="15.6" hidden="1" x14ac:dyDescent="0.25">
      <c r="B557" s="258"/>
      <c r="C557" s="479" t="s">
        <v>645</v>
      </c>
      <c r="D557" s="477"/>
      <c r="E557" s="477"/>
      <c r="F557" s="477"/>
      <c r="G557" s="469" t="s">
        <v>41</v>
      </c>
      <c r="H557" s="254">
        <f>+H530+H544+H549+H555</f>
        <v>70044.538286499999</v>
      </c>
    </row>
    <row r="558" spans="2:8" ht="15.6" hidden="1" x14ac:dyDescent="0.25">
      <c r="B558" s="258"/>
      <c r="C558" s="479"/>
      <c r="D558" s="477"/>
      <c r="E558" s="477"/>
      <c r="F558" s="477"/>
      <c r="G558" s="255"/>
      <c r="H558" s="465"/>
    </row>
    <row r="559" spans="2:8" ht="15.6" hidden="1" x14ac:dyDescent="0.25">
      <c r="B559" s="258"/>
      <c r="C559" s="479"/>
      <c r="D559" s="477"/>
      <c r="E559" s="477"/>
      <c r="F559" s="477"/>
      <c r="G559" s="255"/>
      <c r="H559" s="465"/>
    </row>
    <row r="560" spans="2:8" ht="15.6" hidden="1" x14ac:dyDescent="0.25">
      <c r="B560" s="258"/>
      <c r="C560" s="475" t="s">
        <v>643</v>
      </c>
      <c r="D560" s="474"/>
      <c r="E560" s="477"/>
      <c r="F560" s="477"/>
      <c r="G560" s="255"/>
      <c r="H560" s="465"/>
    </row>
    <row r="561" spans="2:8" ht="15" hidden="1" x14ac:dyDescent="0.25">
      <c r="B561" s="262"/>
      <c r="C561" s="200" t="s">
        <v>590</v>
      </c>
      <c r="D561" s="474"/>
      <c r="E561" s="478"/>
      <c r="F561" s="478"/>
      <c r="G561" s="255"/>
      <c r="H561" s="465"/>
    </row>
    <row r="562" spans="2:8" ht="15" hidden="1" x14ac:dyDescent="0.25">
      <c r="B562" s="264"/>
      <c r="C562" s="261" t="s">
        <v>591</v>
      </c>
      <c r="D562" s="474"/>
      <c r="E562" s="478"/>
      <c r="F562" s="478"/>
      <c r="G562" s="255"/>
      <c r="H562" s="465"/>
    </row>
    <row r="563" spans="2:8" ht="15" hidden="1" x14ac:dyDescent="0.25">
      <c r="B563" s="265"/>
      <c r="C563" s="261" t="s">
        <v>644</v>
      </c>
      <c r="D563" s="474"/>
      <c r="E563" s="478"/>
      <c r="F563" s="478"/>
      <c r="G563" s="255"/>
      <c r="H563" s="465"/>
    </row>
    <row r="564" spans="2:8" hidden="1" x14ac:dyDescent="0.25">
      <c r="B564" s="258"/>
      <c r="H564" s="465"/>
    </row>
    <row r="565" spans="2:8" hidden="1" x14ac:dyDescent="0.25">
      <c r="B565" s="466"/>
      <c r="C565" s="467"/>
      <c r="D565" s="467"/>
      <c r="E565" s="467"/>
      <c r="F565" s="467"/>
      <c r="G565" s="467"/>
      <c r="H565" s="468"/>
    </row>
    <row r="566" spans="2:8" hidden="1" x14ac:dyDescent="0.25"/>
    <row r="567" spans="2:8" hidden="1" x14ac:dyDescent="0.25"/>
    <row r="568" spans="2:8" hidden="1" x14ac:dyDescent="0.25"/>
    <row r="569" spans="2:8" hidden="1" x14ac:dyDescent="0.25"/>
    <row r="570" spans="2:8" hidden="1" x14ac:dyDescent="0.25"/>
    <row r="571" spans="2:8" hidden="1" x14ac:dyDescent="0.25"/>
    <row r="572" spans="2:8" hidden="1" x14ac:dyDescent="0.25"/>
  </sheetData>
  <mergeCells count="176">
    <mergeCell ref="B547:C547"/>
    <mergeCell ref="B548:C548"/>
    <mergeCell ref="B539:C539"/>
    <mergeCell ref="B540:C540"/>
    <mergeCell ref="B542:C542"/>
    <mergeCell ref="B543:C543"/>
    <mergeCell ref="B546:C546"/>
    <mergeCell ref="B532:C532"/>
    <mergeCell ref="B533:C533"/>
    <mergeCell ref="B534:C534"/>
    <mergeCell ref="B535:C535"/>
    <mergeCell ref="B536:C536"/>
    <mergeCell ref="B230:C230"/>
    <mergeCell ref="B231:C231"/>
    <mergeCell ref="B232:C232"/>
    <mergeCell ref="B233:C233"/>
    <mergeCell ref="B236:C236"/>
    <mergeCell ref="B521:F523"/>
    <mergeCell ref="G521:H523"/>
    <mergeCell ref="B526:C526"/>
    <mergeCell ref="B527:C527"/>
    <mergeCell ref="B489:C489"/>
    <mergeCell ref="B490:C490"/>
    <mergeCell ref="B491:C491"/>
    <mergeCell ref="B517:H517"/>
    <mergeCell ref="B518:H520"/>
    <mergeCell ref="B274:C274"/>
    <mergeCell ref="B275:C275"/>
    <mergeCell ref="B276:C276"/>
    <mergeCell ref="B277:C277"/>
    <mergeCell ref="B237:C237"/>
    <mergeCell ref="B238:C238"/>
    <mergeCell ref="B265:H265"/>
    <mergeCell ref="B266:H268"/>
    <mergeCell ref="B269:F271"/>
    <mergeCell ref="G269:H271"/>
    <mergeCell ref="G369:H371"/>
    <mergeCell ref="B369:F371"/>
    <mergeCell ref="B484:C484"/>
    <mergeCell ref="B480:C480"/>
    <mergeCell ref="B482:C482"/>
    <mergeCell ref="B483:C483"/>
    <mergeCell ref="B486:C486"/>
    <mergeCell ref="B485:C485"/>
    <mergeCell ref="B474:C474"/>
    <mergeCell ref="B475:C475"/>
    <mergeCell ref="B476:C476"/>
    <mergeCell ref="B477:C477"/>
    <mergeCell ref="B435:C435"/>
    <mergeCell ref="B436:C436"/>
    <mergeCell ref="B465:H465"/>
    <mergeCell ref="B466:H468"/>
    <mergeCell ref="B469:F471"/>
    <mergeCell ref="G469:H471"/>
    <mergeCell ref="B431:C431"/>
    <mergeCell ref="B434:C434"/>
    <mergeCell ref="B340:C340"/>
    <mergeCell ref="B341:C341"/>
    <mergeCell ref="B422:C422"/>
    <mergeCell ref="B423:C423"/>
    <mergeCell ref="B424:C424"/>
    <mergeCell ref="B425:C425"/>
    <mergeCell ref="B428:C428"/>
    <mergeCell ref="B429:C429"/>
    <mergeCell ref="B430:C430"/>
    <mergeCell ref="B413:H413"/>
    <mergeCell ref="B414:H416"/>
    <mergeCell ref="B417:F419"/>
    <mergeCell ref="G417:H419"/>
    <mergeCell ref="B388:C388"/>
    <mergeCell ref="B387:C387"/>
    <mergeCell ref="B386:C386"/>
    <mergeCell ref="B383:C383"/>
    <mergeCell ref="B382:C382"/>
    <mergeCell ref="B381:C381"/>
    <mergeCell ref="B380:C380"/>
    <mergeCell ref="B377:C377"/>
    <mergeCell ref="B376:C376"/>
    <mergeCell ref="B375:C375"/>
    <mergeCell ref="B374:C374"/>
    <mergeCell ref="B339:C339"/>
    <mergeCell ref="B331:C331"/>
    <mergeCell ref="B332:C332"/>
    <mergeCell ref="B334:C334"/>
    <mergeCell ref="B325:C325"/>
    <mergeCell ref="B326:C326"/>
    <mergeCell ref="B327:C327"/>
    <mergeCell ref="B328:C328"/>
    <mergeCell ref="B335:C335"/>
    <mergeCell ref="B336:C336"/>
    <mergeCell ref="B316:H316"/>
    <mergeCell ref="B317:H319"/>
    <mergeCell ref="B320:F322"/>
    <mergeCell ref="G320:H322"/>
    <mergeCell ref="B280:C280"/>
    <mergeCell ref="B281:C281"/>
    <mergeCell ref="B282:C282"/>
    <mergeCell ref="B283:C283"/>
    <mergeCell ref="B286:C286"/>
    <mergeCell ref="B284:C284"/>
    <mergeCell ref="B285:C285"/>
    <mergeCell ref="B289:C289"/>
    <mergeCell ref="B290:C290"/>
    <mergeCell ref="B291:C291"/>
    <mergeCell ref="B225:C225"/>
    <mergeCell ref="B226:C226"/>
    <mergeCell ref="B227:C227"/>
    <mergeCell ref="B186:C186"/>
    <mergeCell ref="B187:C187"/>
    <mergeCell ref="B215:H215"/>
    <mergeCell ref="B216:H218"/>
    <mergeCell ref="B219:F221"/>
    <mergeCell ref="G219:H221"/>
    <mergeCell ref="B188:C188"/>
    <mergeCell ref="B179:C179"/>
    <mergeCell ref="B180:C180"/>
    <mergeCell ref="B181:C181"/>
    <mergeCell ref="B182:C182"/>
    <mergeCell ref="B173:C173"/>
    <mergeCell ref="B174:C174"/>
    <mergeCell ref="B175:C175"/>
    <mergeCell ref="B176:C176"/>
    <mergeCell ref="B224:C224"/>
    <mergeCell ref="B183:C183"/>
    <mergeCell ref="B164:H164"/>
    <mergeCell ref="B165:H167"/>
    <mergeCell ref="B168:F170"/>
    <mergeCell ref="G168:H170"/>
    <mergeCell ref="B127:C127"/>
    <mergeCell ref="B128:C128"/>
    <mergeCell ref="B129:C129"/>
    <mergeCell ref="B130:C130"/>
    <mergeCell ref="B131:C131"/>
    <mergeCell ref="B136:C136"/>
    <mergeCell ref="B123:C123"/>
    <mergeCell ref="B124:C124"/>
    <mergeCell ref="B82:C82"/>
    <mergeCell ref="B112:H112"/>
    <mergeCell ref="B113:H115"/>
    <mergeCell ref="B116:F118"/>
    <mergeCell ref="G116:H118"/>
    <mergeCell ref="B134:C134"/>
    <mergeCell ref="B135:C135"/>
    <mergeCell ref="B80:C80"/>
    <mergeCell ref="B81:C81"/>
    <mergeCell ref="B68:C68"/>
    <mergeCell ref="B69:C69"/>
    <mergeCell ref="B70:C70"/>
    <mergeCell ref="B71:C71"/>
    <mergeCell ref="B74:C74"/>
    <mergeCell ref="B121:C121"/>
    <mergeCell ref="B122:C122"/>
    <mergeCell ref="B366:H368"/>
    <mergeCell ref="B365:H365"/>
    <mergeCell ref="B59:H59"/>
    <mergeCell ref="B60:H62"/>
    <mergeCell ref="B63:F65"/>
    <mergeCell ref="G63:H65"/>
    <mergeCell ref="B25:C25"/>
    <mergeCell ref="B8:H8"/>
    <mergeCell ref="B9:H11"/>
    <mergeCell ref="B12:F14"/>
    <mergeCell ref="G12:H14"/>
    <mergeCell ref="B17:C17"/>
    <mergeCell ref="B18:C18"/>
    <mergeCell ref="B19:C19"/>
    <mergeCell ref="B20:C20"/>
    <mergeCell ref="B23:C23"/>
    <mergeCell ref="B24:C24"/>
    <mergeCell ref="B26:C26"/>
    <mergeCell ref="B29:C29"/>
    <mergeCell ref="B30:C30"/>
    <mergeCell ref="B31:C31"/>
    <mergeCell ref="B75:C75"/>
    <mergeCell ref="B76:C76"/>
    <mergeCell ref="B77:C77"/>
  </mergeCells>
  <dataValidations disablePrompts="1" count="3">
    <dataValidation type="list" allowBlank="1" showInputMessage="1" showErrorMessage="1" sqref="B233:C233 B26:C26 B77:C77 B131:C131 B183:C183 B486:C486" xr:uid="{F8FD4A8F-01A7-4873-97D6-C85A150400DF}">
      <formula1>#REF!</formula1>
    </dataValidation>
    <dataValidation type="list" allowBlank="1" showInputMessage="1" showErrorMessage="1" sqref="B286:C286 B543:C543" xr:uid="{99364A56-66BF-4481-BD8A-C0823AC83B6C}">
      <formula1>$C$1:$C$45</formula1>
    </dataValidation>
    <dataValidation type="list" allowBlank="1" showInputMessage="1" showErrorMessage="1" sqref="B383:C383" xr:uid="{38524F75-CAE4-4B51-9A6C-5ED0D5AEA8CA}">
      <formula1>$C$1:$C$91</formula1>
    </dataValidation>
  </dataValidations>
  <pageMargins left="0.70866141732283472" right="0.70866141732283472" top="0.74803149606299213" bottom="0.74803149606299213" header="0.31496062992125984" footer="0.31496062992125984"/>
  <pageSetup scale="10" orientation="portrait" r:id="rId1"/>
  <ignoredErrors>
    <ignoredError sqref="H483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3367DE6-888B-4997-9F27-AB34DA812A8F}">
          <x14:formula1>
            <xm:f>MATERIALES!$B$5:$B$146</xm:f>
          </x14:formula1>
          <xm:sqref>B231:C232 B24:C25 B75:C76</xm:sqref>
        </x14:dataValidation>
        <x14:dataValidation type="list" allowBlank="1" showInputMessage="1" showErrorMessage="1" xr:uid="{4D3F7AD3-B4C5-443C-9DFE-C3C2120BC41F}">
          <x14:formula1>
            <xm:f>EQUIPOS!$B$6:$B$25</xm:f>
          </x14:formula1>
          <xm:sqref>B226:C226 B19:C19 B70:C70 B123:C123 B175:C175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C16F-2496-4493-8294-414502E9378A}">
  <sheetPr>
    <tabColor rgb="FF00B0F0"/>
    <pageSetUpPr fitToPage="1"/>
  </sheetPr>
  <dimension ref="B5:K104"/>
  <sheetViews>
    <sheetView showGridLines="0" zoomScale="57" zoomScaleNormal="77" workbookViewId="0">
      <selection activeCell="R28" sqref="R28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ht="14.25" customHeight="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ht="14.25" customHeight="1" x14ac:dyDescent="0.25">
      <c r="B10" s="572"/>
      <c r="C10" s="573"/>
      <c r="D10" s="573"/>
      <c r="E10" s="573"/>
      <c r="F10" s="573"/>
      <c r="G10" s="573"/>
      <c r="H10" s="574"/>
    </row>
    <row r="11" spans="2:11" ht="14.25" customHeight="1" x14ac:dyDescent="0.25">
      <c r="B11" s="575"/>
      <c r="C11" s="576"/>
      <c r="D11" s="576"/>
      <c r="E11" s="576"/>
      <c r="F11" s="576"/>
      <c r="G11" s="576"/>
      <c r="H11" s="577"/>
    </row>
    <row r="12" spans="2:11" x14ac:dyDescent="0.25">
      <c r="B12" s="578" t="str">
        <f>+PRESUPUESTO!C31</f>
        <v xml:space="preserve"> S/I DE CIELO RASO EN LAMINA PVC, PARA AULAS ESCOLARES </v>
      </c>
      <c r="C12" s="579"/>
      <c r="D12" s="579"/>
      <c r="E12" s="579"/>
      <c r="F12" s="580"/>
      <c r="G12" s="587" t="s">
        <v>606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+PRESUPUESTO!B30</f>
        <v>3.1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8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8" x14ac:dyDescent="0.25">
      <c r="B18" s="562" t="s">
        <v>8</v>
      </c>
      <c r="C18" s="563"/>
      <c r="D18" s="301"/>
      <c r="E18" s="302"/>
      <c r="F18" s="303">
        <v>0.1</v>
      </c>
      <c r="G18" s="287">
        <f>+H46</f>
        <v>18833.365404696928</v>
      </c>
      <c r="H18" s="304">
        <f>+F18*G18</f>
        <v>1883.3365404696929</v>
      </c>
    </row>
    <row r="19" spans="2:8" x14ac:dyDescent="0.25">
      <c r="B19" s="460" t="s">
        <v>632</v>
      </c>
      <c r="C19" s="461"/>
      <c r="D19" s="301"/>
      <c r="E19" s="427">
        <v>4200</v>
      </c>
      <c r="F19" s="289">
        <v>5</v>
      </c>
      <c r="G19" s="287">
        <f>+E19/F19</f>
        <v>840</v>
      </c>
      <c r="H19" s="304">
        <f>+G19</f>
        <v>840</v>
      </c>
    </row>
    <row r="20" spans="2:8" x14ac:dyDescent="0.25">
      <c r="B20" s="460" t="s">
        <v>633</v>
      </c>
      <c r="C20" s="461"/>
      <c r="D20" s="301"/>
      <c r="E20" s="427">
        <v>4600</v>
      </c>
      <c r="F20" s="289">
        <v>5</v>
      </c>
      <c r="G20" s="287">
        <f>+E20/F20</f>
        <v>920</v>
      </c>
      <c r="H20" s="304">
        <f>+G20</f>
        <v>920</v>
      </c>
    </row>
    <row r="21" spans="2:8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3643.3365404696929</v>
      </c>
    </row>
    <row r="22" spans="2:8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8" x14ac:dyDescent="0.25">
      <c r="B23" s="560" t="s">
        <v>20</v>
      </c>
      <c r="C23" s="561"/>
      <c r="D23" s="297" t="s">
        <v>27</v>
      </c>
      <c r="E23" s="297" t="s">
        <v>28</v>
      </c>
      <c r="F23" s="298" t="s">
        <v>29</v>
      </c>
      <c r="G23" s="299" t="s">
        <v>24</v>
      </c>
      <c r="H23" s="310" t="s">
        <v>482</v>
      </c>
    </row>
    <row r="24" spans="2:8" ht="27.6" customHeight="1" x14ac:dyDescent="0.25">
      <c r="B24" s="554"/>
      <c r="C24" s="555"/>
      <c r="D24" s="271" t="str">
        <f>+IF(B24=0,"",(VLOOKUP(B24,[7]MATERIALES!$B$6:$D$149,3,FALSE)))</f>
        <v/>
      </c>
      <c r="E24" s="272"/>
      <c r="F24" s="273"/>
      <c r="G24" s="274">
        <f t="shared" ref="G24:G33" si="0">E24*F24</f>
        <v>0</v>
      </c>
      <c r="H24" s="275">
        <f>G24</f>
        <v>0</v>
      </c>
    </row>
    <row r="25" spans="2:8" ht="22.5" customHeight="1" x14ac:dyDescent="0.25">
      <c r="B25" s="556" t="s">
        <v>634</v>
      </c>
      <c r="C25" s="557"/>
      <c r="D25" s="462" t="s">
        <v>1</v>
      </c>
      <c r="E25" s="427">
        <v>3650</v>
      </c>
      <c r="F25" s="463">
        <v>0.35</v>
      </c>
      <c r="G25" s="274">
        <f t="shared" si="0"/>
        <v>1277.5</v>
      </c>
      <c r="H25" s="275">
        <f t="shared" ref="H25:H31" si="1">G25</f>
        <v>1277.5</v>
      </c>
    </row>
    <row r="26" spans="2:8" ht="18.75" customHeight="1" x14ac:dyDescent="0.25">
      <c r="B26" s="556" t="s">
        <v>635</v>
      </c>
      <c r="C26" s="557"/>
      <c r="D26" s="462" t="s">
        <v>1</v>
      </c>
      <c r="E26" s="427">
        <v>500</v>
      </c>
      <c r="F26" s="463">
        <v>5</v>
      </c>
      <c r="G26" s="274">
        <f t="shared" si="0"/>
        <v>2500</v>
      </c>
      <c r="H26" s="275">
        <f t="shared" si="1"/>
        <v>2500</v>
      </c>
    </row>
    <row r="27" spans="2:8" x14ac:dyDescent="0.25">
      <c r="B27" s="564" t="s">
        <v>636</v>
      </c>
      <c r="C27" s="565"/>
      <c r="D27" s="462" t="s">
        <v>1</v>
      </c>
      <c r="E27" s="427">
        <v>5200</v>
      </c>
      <c r="F27" s="463">
        <v>1.8</v>
      </c>
      <c r="G27" s="274">
        <f t="shared" si="0"/>
        <v>9360</v>
      </c>
      <c r="H27" s="275">
        <f t="shared" si="1"/>
        <v>9360</v>
      </c>
    </row>
    <row r="28" spans="2:8" x14ac:dyDescent="0.25">
      <c r="B28" s="410" t="s">
        <v>637</v>
      </c>
      <c r="C28" s="464"/>
      <c r="D28" s="462" t="s">
        <v>332</v>
      </c>
      <c r="E28" s="427">
        <v>15600</v>
      </c>
      <c r="F28" s="463">
        <v>7.0000000000000007E-2</v>
      </c>
      <c r="G28" s="274">
        <f t="shared" si="0"/>
        <v>1092</v>
      </c>
      <c r="H28" s="275">
        <f t="shared" si="1"/>
        <v>1092</v>
      </c>
    </row>
    <row r="29" spans="2:8" x14ac:dyDescent="0.25">
      <c r="B29" s="410" t="s">
        <v>638</v>
      </c>
      <c r="C29" s="464"/>
      <c r="D29" s="462" t="s">
        <v>1</v>
      </c>
      <c r="E29" s="427">
        <v>7900</v>
      </c>
      <c r="F29" s="463">
        <v>0.35</v>
      </c>
      <c r="G29" s="274">
        <f t="shared" si="0"/>
        <v>2765</v>
      </c>
      <c r="H29" s="275">
        <f t="shared" si="1"/>
        <v>2765</v>
      </c>
    </row>
    <row r="30" spans="2:8" x14ac:dyDescent="0.25">
      <c r="B30" s="556" t="s">
        <v>639</v>
      </c>
      <c r="C30" s="557"/>
      <c r="D30" s="462" t="s">
        <v>1</v>
      </c>
      <c r="E30" s="427">
        <f>(79692)/4</f>
        <v>19923</v>
      </c>
      <c r="F30" s="463">
        <v>1.2</v>
      </c>
      <c r="G30" s="274">
        <f t="shared" si="0"/>
        <v>23907.599999999999</v>
      </c>
      <c r="H30" s="275">
        <f t="shared" si="1"/>
        <v>23907.599999999999</v>
      </c>
    </row>
    <row r="31" spans="2:8" x14ac:dyDescent="0.25">
      <c r="B31" s="558" t="s">
        <v>640</v>
      </c>
      <c r="C31" s="559"/>
      <c r="D31" s="462" t="s">
        <v>1</v>
      </c>
      <c r="E31" s="427">
        <v>200</v>
      </c>
      <c r="F31" s="463">
        <v>20</v>
      </c>
      <c r="G31" s="274">
        <f t="shared" si="0"/>
        <v>4000</v>
      </c>
      <c r="H31" s="275">
        <f t="shared" si="1"/>
        <v>4000</v>
      </c>
    </row>
    <row r="32" spans="2:8" x14ac:dyDescent="0.25">
      <c r="B32" s="408"/>
      <c r="C32" s="409"/>
      <c r="D32" s="271"/>
      <c r="E32" s="272"/>
      <c r="F32" s="273"/>
      <c r="G32" s="274"/>
      <c r="H32" s="275"/>
    </row>
    <row r="33" spans="2:11" x14ac:dyDescent="0.25">
      <c r="B33" s="596" t="s">
        <v>605</v>
      </c>
      <c r="C33" s="597"/>
      <c r="D33" s="271" t="s">
        <v>501</v>
      </c>
      <c r="E33" s="272">
        <f>+SUM(G25:G32)</f>
        <v>44902.1</v>
      </c>
      <c r="F33" s="276">
        <v>0.05</v>
      </c>
      <c r="G33" s="274">
        <f t="shared" si="0"/>
        <v>2245.105</v>
      </c>
      <c r="H33" s="275">
        <f>G33</f>
        <v>2245.105</v>
      </c>
    </row>
    <row r="34" spans="2:11" x14ac:dyDescent="0.25">
      <c r="B34" s="596"/>
      <c r="C34" s="597"/>
      <c r="D34" s="285"/>
      <c r="E34" s="286"/>
      <c r="F34" s="289"/>
      <c r="G34" s="287"/>
      <c r="H34" s="288"/>
    </row>
    <row r="35" spans="2:11" x14ac:dyDescent="0.25">
      <c r="B35" s="305"/>
      <c r="C35" s="266"/>
      <c r="D35" s="266"/>
      <c r="E35" s="266"/>
      <c r="F35" s="308"/>
      <c r="G35" s="306" t="s">
        <v>25</v>
      </c>
      <c r="H35" s="312">
        <f>SUM(H24:H34)</f>
        <v>47147.205000000002</v>
      </c>
    </row>
    <row r="36" spans="2:11" x14ac:dyDescent="0.25">
      <c r="B36" s="214" t="s">
        <v>30</v>
      </c>
      <c r="C36" s="266"/>
      <c r="D36" s="266"/>
      <c r="E36" s="266"/>
      <c r="F36" s="308"/>
      <c r="G36" s="308"/>
      <c r="H36" s="304"/>
    </row>
    <row r="37" spans="2:11" x14ac:dyDescent="0.25">
      <c r="B37" s="560" t="s">
        <v>20</v>
      </c>
      <c r="C37" s="561"/>
      <c r="D37" s="297" t="s">
        <v>21</v>
      </c>
      <c r="E37" s="297" t="s">
        <v>127</v>
      </c>
      <c r="F37" s="298" t="s">
        <v>642</v>
      </c>
      <c r="G37" s="297" t="s">
        <v>24</v>
      </c>
      <c r="H37" s="313" t="s">
        <v>481</v>
      </c>
    </row>
    <row r="38" spans="2:11" x14ac:dyDescent="0.25">
      <c r="B38" s="598" t="s">
        <v>641</v>
      </c>
      <c r="C38" s="599"/>
      <c r="D38" s="314" t="s">
        <v>600</v>
      </c>
      <c r="E38" s="315">
        <v>1</v>
      </c>
      <c r="F38" s="274">
        <v>1731.8299680533073</v>
      </c>
      <c r="G38" s="274">
        <f>+E38*F38</f>
        <v>1731.8299680533073</v>
      </c>
      <c r="H38" s="304">
        <f>+G38</f>
        <v>1731.8299680533073</v>
      </c>
      <c r="K38" s="257" t="s">
        <v>497</v>
      </c>
    </row>
    <row r="39" spans="2:11" x14ac:dyDescent="0.25">
      <c r="B39" s="598"/>
      <c r="C39" s="599"/>
      <c r="D39" s="314"/>
      <c r="E39" s="316"/>
      <c r="F39" s="317"/>
      <c r="G39" s="316"/>
      <c r="H39" s="318"/>
    </row>
    <row r="40" spans="2:11" x14ac:dyDescent="0.25">
      <c r="B40" s="305"/>
      <c r="C40" s="266"/>
      <c r="D40" s="266"/>
      <c r="E40" s="266"/>
      <c r="F40" s="296"/>
      <c r="G40" s="306" t="s">
        <v>25</v>
      </c>
      <c r="H40" s="319">
        <f>SUM(H38:H39)</f>
        <v>1731.8299680533073</v>
      </c>
    </row>
    <row r="41" spans="2:11" x14ac:dyDescent="0.25">
      <c r="B41" s="214" t="s">
        <v>34</v>
      </c>
      <c r="C41" s="266"/>
      <c r="D41" s="266"/>
      <c r="E41" s="266"/>
      <c r="F41" s="296"/>
      <c r="G41" s="308"/>
      <c r="H41" s="320"/>
    </row>
    <row r="42" spans="2:11" x14ac:dyDescent="0.25">
      <c r="B42" s="321" t="s">
        <v>35</v>
      </c>
      <c r="C42" s="321" t="s">
        <v>29</v>
      </c>
      <c r="D42" s="321" t="s">
        <v>36</v>
      </c>
      <c r="E42" s="321" t="s">
        <v>37</v>
      </c>
      <c r="F42" s="322" t="s">
        <v>38</v>
      </c>
      <c r="G42" s="323" t="s">
        <v>23</v>
      </c>
      <c r="H42" s="324" t="s">
        <v>24</v>
      </c>
      <c r="I42" s="257" t="s">
        <v>497</v>
      </c>
    </row>
    <row r="43" spans="2:11" x14ac:dyDescent="0.25">
      <c r="B43" s="288" t="s">
        <v>39</v>
      </c>
      <c r="C43" s="316">
        <v>1</v>
      </c>
      <c r="D43" s="325">
        <f>+'2. APU INST INDAPAZ 24 NOV'!D552</f>
        <v>93381.6</v>
      </c>
      <c r="E43" s="326">
        <v>1.8344</v>
      </c>
      <c r="F43" s="327">
        <f>+D43*C43*E43</f>
        <v>171299.20704000001</v>
      </c>
      <c r="G43" s="316">
        <v>14.780216146105168</v>
      </c>
      <c r="H43" s="274">
        <f>F43/G43</f>
        <v>11589.76332596734</v>
      </c>
    </row>
    <row r="44" spans="2:11" x14ac:dyDescent="0.25">
      <c r="B44" s="288" t="s">
        <v>496</v>
      </c>
      <c r="C44" s="316">
        <v>1</v>
      </c>
      <c r="D44" s="325">
        <f>+'2. APU INST INDAPAZ 24 NOV'!D553</f>
        <v>58363.5</v>
      </c>
      <c r="E44" s="326">
        <v>1.8344</v>
      </c>
      <c r="F44" s="327">
        <f>+D44*C44*E44</f>
        <v>107062.00440000001</v>
      </c>
      <c r="G44" s="316">
        <f>+G43</f>
        <v>14.780216146105168</v>
      </c>
      <c r="H44" s="274">
        <f>+F44/G44</f>
        <v>7243.6020787295874</v>
      </c>
    </row>
    <row r="45" spans="2:11" x14ac:dyDescent="0.25">
      <c r="B45" s="288"/>
      <c r="C45" s="288"/>
      <c r="D45" s="317"/>
      <c r="E45" s="288"/>
      <c r="F45" s="317"/>
      <c r="G45" s="288"/>
      <c r="H45" s="327"/>
    </row>
    <row r="46" spans="2:11" x14ac:dyDescent="0.25">
      <c r="B46" s="305"/>
      <c r="C46" s="266"/>
      <c r="D46" s="266"/>
      <c r="E46" s="266"/>
      <c r="F46" s="296"/>
      <c r="G46" s="306" t="s">
        <v>25</v>
      </c>
      <c r="H46" s="328">
        <f>+SUM(H43:H45)</f>
        <v>18833.365404696928</v>
      </c>
    </row>
    <row r="47" spans="2:11" x14ac:dyDescent="0.25">
      <c r="B47" s="305"/>
      <c r="C47" s="266"/>
      <c r="D47" s="266"/>
      <c r="E47" s="266"/>
      <c r="F47" s="296"/>
      <c r="G47" s="449"/>
      <c r="H47" s="320"/>
    </row>
    <row r="48" spans="2:11" ht="15.6" x14ac:dyDescent="0.25">
      <c r="B48" s="258"/>
      <c r="C48" s="479" t="s">
        <v>645</v>
      </c>
      <c r="D48" s="477"/>
      <c r="E48" s="477"/>
      <c r="F48" s="477"/>
      <c r="G48" s="469" t="s">
        <v>41</v>
      </c>
      <c r="H48" s="254">
        <f>+H21+H35+H40+H46</f>
        <v>71355.736913219938</v>
      </c>
    </row>
    <row r="49" spans="2:8" ht="15.6" x14ac:dyDescent="0.25">
      <c r="B49" s="258"/>
      <c r="C49" s="479"/>
      <c r="D49" s="477"/>
      <c r="E49" s="477"/>
      <c r="F49" s="477"/>
      <c r="G49" s="255"/>
      <c r="H49" s="465"/>
    </row>
    <row r="50" spans="2:8" ht="15.6" x14ac:dyDescent="0.25">
      <c r="B50" s="258"/>
      <c r="C50" s="479"/>
      <c r="D50" s="477"/>
      <c r="E50" s="477"/>
      <c r="F50" s="477"/>
      <c r="G50" s="255"/>
      <c r="H50" s="465"/>
    </row>
    <row r="51" spans="2:8" ht="15.6" x14ac:dyDescent="0.25">
      <c r="B51" s="258"/>
      <c r="C51" s="475" t="s">
        <v>643</v>
      </c>
      <c r="D51" s="474"/>
      <c r="E51" s="477"/>
      <c r="F51" s="477"/>
      <c r="G51" s="255"/>
      <c r="H51" s="465"/>
    </row>
    <row r="52" spans="2:8" ht="15" x14ac:dyDescent="0.25">
      <c r="B52" s="262"/>
      <c r="C52" s="200" t="s">
        <v>590</v>
      </c>
      <c r="D52" s="474"/>
      <c r="E52" s="478"/>
      <c r="F52" s="478"/>
      <c r="G52" s="255"/>
      <c r="H52" s="465"/>
    </row>
    <row r="53" spans="2:8" ht="15" x14ac:dyDescent="0.25">
      <c r="B53" s="264"/>
      <c r="C53" s="261" t="s">
        <v>591</v>
      </c>
      <c r="D53" s="474"/>
      <c r="E53" s="478"/>
      <c r="F53" s="478"/>
      <c r="G53" s="255"/>
      <c r="H53" s="465"/>
    </row>
    <row r="54" spans="2:8" ht="15" x14ac:dyDescent="0.25">
      <c r="B54" s="265"/>
      <c r="C54" s="261" t="s">
        <v>644</v>
      </c>
      <c r="D54" s="474"/>
      <c r="E54" s="478"/>
      <c r="F54" s="478"/>
      <c r="G54" s="255"/>
      <c r="H54" s="465"/>
    </row>
    <row r="55" spans="2:8" x14ac:dyDescent="0.25">
      <c r="B55" s="258"/>
      <c r="H55" s="465"/>
    </row>
    <row r="56" spans="2:8" x14ac:dyDescent="0.25">
      <c r="B56" s="466"/>
      <c r="C56" s="467"/>
      <c r="D56" s="467"/>
      <c r="E56" s="467"/>
      <c r="F56" s="467"/>
      <c r="G56" s="467"/>
      <c r="H56" s="468"/>
    </row>
    <row r="65" spans="2:8" ht="15.6" x14ac:dyDescent="0.25">
      <c r="B65" s="566" t="s">
        <v>320</v>
      </c>
      <c r="C65" s="567"/>
      <c r="D65" s="567"/>
      <c r="E65" s="567"/>
      <c r="F65" s="567"/>
      <c r="G65" s="567"/>
      <c r="H65" s="568"/>
    </row>
    <row r="66" spans="2:8" x14ac:dyDescent="0.25">
      <c r="B66" s="569" t="str">
        <f>+PRESUPUESTO!B1</f>
        <v>MANTENIMIENTO Y ADECUACIÓN DE INSTITUCIONES EDUCATIVAS OFICIALES, DEL MUNICIPIO DE LA APARTADA CORDOBA.</v>
      </c>
      <c r="C66" s="638"/>
      <c r="D66" s="638"/>
      <c r="E66" s="638"/>
      <c r="F66" s="638"/>
      <c r="G66" s="638"/>
      <c r="H66" s="639"/>
    </row>
    <row r="67" spans="2:8" x14ac:dyDescent="0.25">
      <c r="B67" s="640"/>
      <c r="C67" s="641"/>
      <c r="D67" s="641"/>
      <c r="E67" s="641"/>
      <c r="F67" s="641"/>
      <c r="G67" s="641"/>
      <c r="H67" s="642"/>
    </row>
    <row r="68" spans="2:8" x14ac:dyDescent="0.25">
      <c r="B68" s="643"/>
      <c r="C68" s="644"/>
      <c r="D68" s="644"/>
      <c r="E68" s="644"/>
      <c r="F68" s="644"/>
      <c r="G68" s="644"/>
      <c r="H68" s="645"/>
    </row>
    <row r="69" spans="2:8" x14ac:dyDescent="0.25">
      <c r="B69" s="578" t="str">
        <f>+PRESUPUESTO!C30</f>
        <v>DESMONTE DE CIELO RASO EN LAMINA DE DRYWALL, EN MAL ESTADO.</v>
      </c>
      <c r="C69" s="579"/>
      <c r="D69" s="579"/>
      <c r="E69" s="579"/>
      <c r="F69" s="580"/>
      <c r="G69" s="587" t="s">
        <v>646</v>
      </c>
      <c r="H69" s="588"/>
    </row>
    <row r="70" spans="2:8" x14ac:dyDescent="0.25">
      <c r="B70" s="581"/>
      <c r="C70" s="582"/>
      <c r="D70" s="582"/>
      <c r="E70" s="582"/>
      <c r="F70" s="583"/>
      <c r="G70" s="589"/>
      <c r="H70" s="590"/>
    </row>
    <row r="71" spans="2:8" x14ac:dyDescent="0.25">
      <c r="B71" s="584"/>
      <c r="C71" s="585"/>
      <c r="D71" s="585"/>
      <c r="E71" s="585"/>
      <c r="F71" s="586"/>
      <c r="G71" s="591"/>
      <c r="H71" s="592"/>
    </row>
    <row r="72" spans="2:8" x14ac:dyDescent="0.25">
      <c r="B72" s="518" t="s">
        <v>0</v>
      </c>
      <c r="C72" s="515">
        <f>+PRESUPUESTO!B31</f>
        <v>3.2</v>
      </c>
      <c r="D72" s="516"/>
      <c r="E72" s="516"/>
      <c r="F72" s="516"/>
      <c r="G72" s="516"/>
      <c r="H72" s="517"/>
    </row>
    <row r="73" spans="2:8" x14ac:dyDescent="0.25">
      <c r="B73" s="214" t="s">
        <v>19</v>
      </c>
      <c r="C73" s="266"/>
      <c r="D73" s="266"/>
      <c r="E73" s="266"/>
      <c r="F73" s="296"/>
      <c r="G73" s="266"/>
      <c r="H73" s="216"/>
    </row>
    <row r="74" spans="2:8" x14ac:dyDescent="0.25">
      <c r="B74" s="560" t="s">
        <v>20</v>
      </c>
      <c r="C74" s="561"/>
      <c r="D74" s="297" t="s">
        <v>21</v>
      </c>
      <c r="E74" s="297" t="s">
        <v>22</v>
      </c>
      <c r="F74" s="298" t="s">
        <v>23</v>
      </c>
      <c r="G74" s="299" t="s">
        <v>24</v>
      </c>
      <c r="H74" s="300" t="s">
        <v>482</v>
      </c>
    </row>
    <row r="75" spans="2:8" x14ac:dyDescent="0.25">
      <c r="B75" s="562" t="s">
        <v>8</v>
      </c>
      <c r="C75" s="563"/>
      <c r="D75" s="301"/>
      <c r="E75" s="302"/>
      <c r="F75" s="303">
        <v>0.1</v>
      </c>
      <c r="G75" s="287">
        <f>+H95</f>
        <v>11012.091881142856</v>
      </c>
      <c r="H75" s="304">
        <f>+F75*G75</f>
        <v>1101.2091881142858</v>
      </c>
    </row>
    <row r="76" spans="2:8" x14ac:dyDescent="0.25">
      <c r="B76" s="600"/>
      <c r="C76" s="601"/>
      <c r="D76" s="301"/>
      <c r="E76" s="302"/>
      <c r="F76" s="289"/>
      <c r="G76" s="287"/>
      <c r="H76" s="304"/>
    </row>
    <row r="77" spans="2:8" x14ac:dyDescent="0.25">
      <c r="B77" s="562"/>
      <c r="C77" s="563"/>
      <c r="D77" s="301"/>
      <c r="E77" s="302"/>
      <c r="F77" s="289"/>
      <c r="G77" s="287"/>
      <c r="H77" s="304"/>
    </row>
    <row r="78" spans="2:8" x14ac:dyDescent="0.25">
      <c r="B78" s="305"/>
      <c r="C78" s="266"/>
      <c r="D78" s="266"/>
      <c r="E78" s="266"/>
      <c r="F78" s="296"/>
      <c r="G78" s="306" t="s">
        <v>25</v>
      </c>
      <c r="H78" s="307">
        <f>SUM(H75:H77)</f>
        <v>1101.2091881142858</v>
      </c>
    </row>
    <row r="79" spans="2:8" x14ac:dyDescent="0.25">
      <c r="B79" s="214" t="s">
        <v>26</v>
      </c>
      <c r="C79" s="266"/>
      <c r="D79" s="266"/>
      <c r="E79" s="266"/>
      <c r="F79" s="308"/>
      <c r="G79" s="308"/>
      <c r="H79" s="309"/>
    </row>
    <row r="80" spans="2:8" x14ac:dyDescent="0.25">
      <c r="B80" s="560" t="s">
        <v>20</v>
      </c>
      <c r="C80" s="561"/>
      <c r="D80" s="297" t="s">
        <v>27</v>
      </c>
      <c r="E80" s="297" t="s">
        <v>29</v>
      </c>
      <c r="F80" s="298" t="s">
        <v>598</v>
      </c>
      <c r="G80" s="299" t="s">
        <v>597</v>
      </c>
      <c r="H80" s="310" t="s">
        <v>482</v>
      </c>
    </row>
    <row r="81" spans="2:8" x14ac:dyDescent="0.25">
      <c r="B81" s="554"/>
      <c r="C81" s="555"/>
      <c r="D81" s="285"/>
      <c r="E81" s="311"/>
      <c r="F81" s="289"/>
      <c r="G81" s="274"/>
      <c r="H81" s="275"/>
    </row>
    <row r="82" spans="2:8" x14ac:dyDescent="0.25">
      <c r="B82" s="596"/>
      <c r="C82" s="597"/>
      <c r="D82" s="285"/>
      <c r="E82" s="272"/>
      <c r="F82" s="289"/>
      <c r="G82" s="274"/>
      <c r="H82" s="275"/>
    </row>
    <row r="83" spans="2:8" x14ac:dyDescent="0.25">
      <c r="B83" s="596"/>
      <c r="C83" s="597"/>
      <c r="D83" s="285"/>
      <c r="E83" s="286"/>
      <c r="F83" s="303"/>
      <c r="G83" s="287"/>
      <c r="H83" s="275"/>
    </row>
    <row r="84" spans="2:8" x14ac:dyDescent="0.25">
      <c r="B84" s="305"/>
      <c r="C84" s="266"/>
      <c r="D84" s="266"/>
      <c r="E84" s="266"/>
      <c r="F84" s="308"/>
      <c r="G84" s="306" t="s">
        <v>25</v>
      </c>
      <c r="H84" s="312">
        <f>SUM(H81:H83)</f>
        <v>0</v>
      </c>
    </row>
    <row r="85" spans="2:8" x14ac:dyDescent="0.25">
      <c r="B85" s="214" t="s">
        <v>30</v>
      </c>
      <c r="C85" s="266"/>
      <c r="D85" s="266"/>
      <c r="E85" s="266"/>
      <c r="F85" s="308"/>
      <c r="G85" s="308"/>
      <c r="H85" s="304"/>
    </row>
    <row r="86" spans="2:8" x14ac:dyDescent="0.25">
      <c r="B86" s="560" t="s">
        <v>20</v>
      </c>
      <c r="C86" s="561"/>
      <c r="D86" s="297" t="s">
        <v>21</v>
      </c>
      <c r="E86" s="297" t="s">
        <v>127</v>
      </c>
      <c r="F86" s="298" t="s">
        <v>32</v>
      </c>
      <c r="G86" s="297" t="s">
        <v>24</v>
      </c>
      <c r="H86" s="313" t="s">
        <v>481</v>
      </c>
    </row>
    <row r="87" spans="2:8" x14ac:dyDescent="0.25">
      <c r="B87" s="598"/>
      <c r="C87" s="599"/>
      <c r="D87" s="314"/>
      <c r="E87" s="315"/>
      <c r="F87" s="274"/>
      <c r="G87" s="274">
        <f>+E87*F87</f>
        <v>0</v>
      </c>
      <c r="H87" s="304">
        <f>+G87</f>
        <v>0</v>
      </c>
    </row>
    <row r="88" spans="2:8" x14ac:dyDescent="0.25">
      <c r="B88" s="598"/>
      <c r="C88" s="599"/>
      <c r="D88" s="314"/>
      <c r="E88" s="316"/>
      <c r="F88" s="317"/>
      <c r="G88" s="316"/>
      <c r="H88" s="318"/>
    </row>
    <row r="89" spans="2:8" x14ac:dyDescent="0.25">
      <c r="B89" s="305"/>
      <c r="C89" s="266"/>
      <c r="D89" s="266"/>
      <c r="E89" s="266"/>
      <c r="F89" s="296"/>
      <c r="G89" s="306" t="s">
        <v>25</v>
      </c>
      <c r="H89" s="319">
        <f>+H87</f>
        <v>0</v>
      </c>
    </row>
    <row r="90" spans="2:8" x14ac:dyDescent="0.25">
      <c r="B90" s="214" t="s">
        <v>34</v>
      </c>
      <c r="C90" s="266"/>
      <c r="D90" s="266"/>
      <c r="E90" s="266"/>
      <c r="F90" s="296"/>
      <c r="G90" s="308"/>
      <c r="H90" s="320"/>
    </row>
    <row r="91" spans="2:8" x14ac:dyDescent="0.25">
      <c r="B91" s="321" t="s">
        <v>35</v>
      </c>
      <c r="C91" s="321" t="s">
        <v>29</v>
      </c>
      <c r="D91" s="321" t="s">
        <v>36</v>
      </c>
      <c r="E91" s="321" t="s">
        <v>37</v>
      </c>
      <c r="F91" s="322" t="s">
        <v>38</v>
      </c>
      <c r="G91" s="323" t="s">
        <v>23</v>
      </c>
      <c r="H91" s="324" t="s">
        <v>24</v>
      </c>
    </row>
    <row r="92" spans="2:8" x14ac:dyDescent="0.25">
      <c r="B92" s="288" t="s">
        <v>39</v>
      </c>
      <c r="C92" s="316">
        <v>1</v>
      </c>
      <c r="D92" s="325">
        <v>93381.6</v>
      </c>
      <c r="E92" s="326">
        <v>1.8344</v>
      </c>
      <c r="F92" s="327">
        <f>+D92*C92*E92</f>
        <v>171299.20704000001</v>
      </c>
      <c r="G92" s="316">
        <v>35</v>
      </c>
      <c r="H92" s="274">
        <f>F92/G92</f>
        <v>4894.2630582857146</v>
      </c>
    </row>
    <row r="93" spans="2:8" x14ac:dyDescent="0.25">
      <c r="B93" s="288" t="s">
        <v>496</v>
      </c>
      <c r="C93" s="316">
        <v>2</v>
      </c>
      <c r="D93" s="325">
        <v>58363.5</v>
      </c>
      <c r="E93" s="326">
        <v>1.8344</v>
      </c>
      <c r="F93" s="327">
        <f>+D93*C93*E93</f>
        <v>214124.00880000001</v>
      </c>
      <c r="G93" s="316">
        <v>35</v>
      </c>
      <c r="H93" s="274">
        <f>+F93/G93</f>
        <v>6117.8288228571428</v>
      </c>
    </row>
    <row r="94" spans="2:8" x14ac:dyDescent="0.25">
      <c r="B94" s="288"/>
      <c r="C94" s="288"/>
      <c r="D94" s="317"/>
      <c r="E94" s="288"/>
      <c r="F94" s="317"/>
      <c r="G94" s="288"/>
      <c r="H94" s="327"/>
    </row>
    <row r="95" spans="2:8" x14ac:dyDescent="0.25">
      <c r="B95" s="305"/>
      <c r="C95" s="266"/>
      <c r="D95" s="266"/>
      <c r="E95" s="266"/>
      <c r="F95" s="296"/>
      <c r="G95" s="306" t="s">
        <v>25</v>
      </c>
      <c r="H95" s="328">
        <f>+SUM(H92:H94)</f>
        <v>11012.091881142856</v>
      </c>
    </row>
    <row r="96" spans="2:8" x14ac:dyDescent="0.25">
      <c r="B96" s="217"/>
      <c r="C96" s="26"/>
      <c r="D96" s="26"/>
      <c r="E96" s="26"/>
      <c r="F96" s="215"/>
      <c r="G96" s="256"/>
      <c r="H96" s="218"/>
    </row>
    <row r="97" spans="2:8" ht="15.6" x14ac:dyDescent="0.25">
      <c r="B97" s="258"/>
      <c r="C97" s="479" t="s">
        <v>645</v>
      </c>
      <c r="D97" s="477"/>
      <c r="E97" s="477"/>
      <c r="F97" s="477"/>
      <c r="G97" s="469" t="s">
        <v>41</v>
      </c>
      <c r="H97" s="254">
        <f>+H78+H84+H89+H95</f>
        <v>12113.301069257142</v>
      </c>
    </row>
    <row r="98" spans="2:8" ht="15.6" x14ac:dyDescent="0.25">
      <c r="B98" s="258"/>
      <c r="C98" s="479"/>
      <c r="D98" s="477"/>
      <c r="E98" s="477"/>
      <c r="F98" s="477"/>
      <c r="G98" s="255"/>
      <c r="H98" s="219"/>
    </row>
    <row r="99" spans="2:8" ht="15.6" x14ac:dyDescent="0.25">
      <c r="B99" s="258"/>
      <c r="C99" s="479"/>
      <c r="D99" s="477"/>
      <c r="E99" s="477"/>
      <c r="F99" s="477"/>
      <c r="G99" s="255"/>
      <c r="H99" s="219"/>
    </row>
    <row r="100" spans="2:8" ht="15.6" x14ac:dyDescent="0.25">
      <c r="B100" s="258"/>
      <c r="C100" s="475" t="s">
        <v>643</v>
      </c>
      <c r="D100" s="474"/>
      <c r="E100" s="477"/>
      <c r="F100" s="477"/>
      <c r="G100" s="255"/>
      <c r="H100" s="219"/>
    </row>
    <row r="101" spans="2:8" ht="15" x14ac:dyDescent="0.25">
      <c r="B101" s="262"/>
      <c r="C101" s="200" t="s">
        <v>590</v>
      </c>
      <c r="D101" s="474"/>
      <c r="E101" s="478"/>
      <c r="F101" s="478"/>
      <c r="G101" s="255"/>
      <c r="H101" s="219"/>
    </row>
    <row r="102" spans="2:8" ht="15" x14ac:dyDescent="0.25">
      <c r="B102" s="264"/>
      <c r="C102" s="261" t="s">
        <v>591</v>
      </c>
      <c r="D102" s="474"/>
      <c r="E102" s="478"/>
      <c r="F102" s="478"/>
      <c r="G102" s="255"/>
      <c r="H102" s="219"/>
    </row>
    <row r="103" spans="2:8" ht="15" x14ac:dyDescent="0.25">
      <c r="B103" s="265"/>
      <c r="C103" s="261" t="s">
        <v>644</v>
      </c>
      <c r="D103" s="474"/>
      <c r="E103" s="478"/>
      <c r="F103" s="478"/>
      <c r="G103" s="255"/>
      <c r="H103" s="219"/>
    </row>
    <row r="104" spans="2:8" x14ac:dyDescent="0.25">
      <c r="B104" s="267"/>
      <c r="C104" s="268"/>
      <c r="D104" s="259"/>
      <c r="E104" s="259"/>
      <c r="F104" s="259"/>
      <c r="G104" s="259"/>
      <c r="H104" s="260"/>
    </row>
  </sheetData>
  <mergeCells count="33">
    <mergeCell ref="B8:H8"/>
    <mergeCell ref="B9:H11"/>
    <mergeCell ref="B12:F14"/>
    <mergeCell ref="G12:H14"/>
    <mergeCell ref="B34:C34"/>
    <mergeCell ref="B25:C25"/>
    <mergeCell ref="B30:C30"/>
    <mergeCell ref="B31:C31"/>
    <mergeCell ref="B27:C27"/>
    <mergeCell ref="B33:C33"/>
    <mergeCell ref="B65:H65"/>
    <mergeCell ref="B66:H68"/>
    <mergeCell ref="B69:F71"/>
    <mergeCell ref="G69:H71"/>
    <mergeCell ref="B17:C17"/>
    <mergeCell ref="B18:C18"/>
    <mergeCell ref="B23:C23"/>
    <mergeCell ref="B24:C24"/>
    <mergeCell ref="B26:C26"/>
    <mergeCell ref="B37:C37"/>
    <mergeCell ref="B38:C38"/>
    <mergeCell ref="B39:C39"/>
    <mergeCell ref="B74:C74"/>
    <mergeCell ref="B75:C75"/>
    <mergeCell ref="B76:C76"/>
    <mergeCell ref="B77:C77"/>
    <mergeCell ref="B80:C80"/>
    <mergeCell ref="B88:C88"/>
    <mergeCell ref="B81:C81"/>
    <mergeCell ref="B82:C82"/>
    <mergeCell ref="B83:C83"/>
    <mergeCell ref="B86:C86"/>
    <mergeCell ref="B87:C87"/>
  </mergeCells>
  <dataValidations count="2">
    <dataValidation type="list" allowBlank="1" showInputMessage="1" showErrorMessage="1" sqref="B34:C34" xr:uid="{37D658F9-59DE-49FE-B5A5-BBAFE2297B1E}">
      <formula1>$C$1:$C$45</formula1>
    </dataValidation>
    <dataValidation type="list" allowBlank="1" showInputMessage="1" showErrorMessage="1" sqref="B83:C83" xr:uid="{7A3B33B5-5CAF-435E-87C1-C6F99199B003}">
      <formula1>#REF!</formula1>
    </dataValidation>
  </dataValidations>
  <pageMargins left="0.70866141732283472" right="0.70866141732283472" top="0.74803149606299213" bottom="0.74803149606299213" header="0.31496062992125984" footer="0.31496062992125984"/>
  <pageSetup scale="4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AC5DF6-CD8D-4459-9C46-5ABB9F5DF362}">
          <x14:formula1>
            <xm:f>EQUIPOS!$B$6:$B$25</xm:f>
          </x14:formula1>
          <xm:sqref>B76:C76</xm:sqref>
        </x14:dataValidation>
        <x14:dataValidation type="list" allowBlank="1" showInputMessage="1" showErrorMessage="1" xr:uid="{6809DB4F-D3D7-4BC9-9565-3E1A985D0673}">
          <x14:formula1>
            <xm:f>MATERIALES!$B$5:$B$146</xm:f>
          </x14:formula1>
          <xm:sqref>B81:C82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9B634-9356-457F-8E5D-21C827AE54B0}">
  <sheetPr>
    <tabColor rgb="FF00B0F0"/>
    <pageSetUpPr fitToPage="1"/>
  </sheetPr>
  <dimension ref="B5:K569"/>
  <sheetViews>
    <sheetView showGridLines="0" zoomScale="77" zoomScaleNormal="77" workbookViewId="0">
      <selection activeCell="D478" sqref="D478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ht="14.25" customHeight="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ht="14.25" customHeight="1" x14ac:dyDescent="0.25">
      <c r="B10" s="572"/>
      <c r="C10" s="573"/>
      <c r="D10" s="573"/>
      <c r="E10" s="573"/>
      <c r="F10" s="573"/>
      <c r="G10" s="573"/>
      <c r="H10" s="574"/>
    </row>
    <row r="11" spans="2:11" ht="14.25" customHeight="1" x14ac:dyDescent="0.25">
      <c r="B11" s="575"/>
      <c r="C11" s="576"/>
      <c r="D11" s="576"/>
      <c r="E11" s="576"/>
      <c r="F11" s="576"/>
      <c r="G11" s="576"/>
      <c r="H11" s="577"/>
    </row>
    <row r="12" spans="2:11" x14ac:dyDescent="0.25">
      <c r="B12" s="578" t="str">
        <f>+PRESUPUESTO!C34</f>
        <v>DESMONTE DE CUBIERTA EN TEJA DE ETENIT  EN MAL ESTADO, PARA COMEDOR.</v>
      </c>
      <c r="C12" s="579"/>
      <c r="D12" s="579"/>
      <c r="E12" s="579"/>
      <c r="F12" s="580"/>
      <c r="G12" s="587" t="s">
        <v>606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+PRESUPUESTO!B34</f>
        <v>4.0999999999999996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8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8" x14ac:dyDescent="0.25">
      <c r="B18" s="562" t="s">
        <v>8</v>
      </c>
      <c r="C18" s="563"/>
      <c r="D18" s="301"/>
      <c r="E18" s="302"/>
      <c r="F18" s="303">
        <v>0.1</v>
      </c>
      <c r="G18" s="287">
        <f>+H38</f>
        <v>11134.4484576</v>
      </c>
      <c r="H18" s="304">
        <f>+F18*G18</f>
        <v>1113.4448457599999</v>
      </c>
    </row>
    <row r="19" spans="2:8" x14ac:dyDescent="0.25">
      <c r="B19" s="600" t="s">
        <v>459</v>
      </c>
      <c r="C19" s="601"/>
      <c r="D19" s="301"/>
      <c r="E19" s="302">
        <v>2850</v>
      </c>
      <c r="F19" s="289">
        <v>0.5</v>
      </c>
      <c r="G19" s="473">
        <f>+E19*F19</f>
        <v>1425</v>
      </c>
      <c r="H19" s="304">
        <f>+G19</f>
        <v>1425</v>
      </c>
    </row>
    <row r="20" spans="2:8" x14ac:dyDescent="0.25">
      <c r="B20" s="562"/>
      <c r="C20" s="563"/>
      <c r="D20" s="301"/>
      <c r="E20" s="302"/>
      <c r="F20" s="289"/>
      <c r="G20" s="287"/>
      <c r="H20" s="304"/>
    </row>
    <row r="21" spans="2:8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2538.4448457600001</v>
      </c>
    </row>
    <row r="22" spans="2:8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8" x14ac:dyDescent="0.25">
      <c r="B23" s="560" t="s">
        <v>20</v>
      </c>
      <c r="C23" s="561"/>
      <c r="D23" s="297" t="s">
        <v>27</v>
      </c>
      <c r="E23" s="297" t="s">
        <v>28</v>
      </c>
      <c r="F23" s="298" t="s">
        <v>29</v>
      </c>
      <c r="G23" s="299" t="s">
        <v>24</v>
      </c>
      <c r="H23" s="310" t="s">
        <v>482</v>
      </c>
    </row>
    <row r="24" spans="2:8" ht="27.6" customHeight="1" x14ac:dyDescent="0.25">
      <c r="B24" s="554"/>
      <c r="C24" s="555"/>
      <c r="D24" s="271" t="str">
        <f>+IF(B24=0,"",(VLOOKUP(B24,[7]MATERIALES!$B$6:$D$149,3,FALSE)))</f>
        <v/>
      </c>
      <c r="E24" s="272"/>
      <c r="F24" s="273"/>
      <c r="G24" s="274">
        <f>E24*F24</f>
        <v>0</v>
      </c>
      <c r="H24" s="275">
        <f>G24</f>
        <v>0</v>
      </c>
    </row>
    <row r="25" spans="2:8" ht="22.5" customHeight="1" x14ac:dyDescent="0.25">
      <c r="B25" s="596"/>
      <c r="C25" s="597"/>
      <c r="D25" s="271" t="str">
        <f>+IF(B25=0,"",(VLOOKUP(B25,[7]MATERIALES!$B$6:$D$149,3,FALSE)))</f>
        <v/>
      </c>
      <c r="E25" s="272"/>
      <c r="F25" s="273"/>
      <c r="G25" s="274">
        <f>E25*F25</f>
        <v>0</v>
      </c>
      <c r="H25" s="275">
        <f>G25</f>
        <v>0</v>
      </c>
    </row>
    <row r="26" spans="2:8" ht="18.75" customHeight="1" x14ac:dyDescent="0.25">
      <c r="B26" s="596"/>
      <c r="C26" s="597"/>
      <c r="D26" s="285"/>
      <c r="E26" s="286"/>
      <c r="F26" s="289"/>
      <c r="G26" s="287"/>
      <c r="H26" s="288"/>
    </row>
    <row r="27" spans="2:8" x14ac:dyDescent="0.25">
      <c r="B27" s="305"/>
      <c r="C27" s="266"/>
      <c r="D27" s="266"/>
      <c r="E27" s="266"/>
      <c r="F27" s="308"/>
      <c r="G27" s="306" t="s">
        <v>25</v>
      </c>
      <c r="H27" s="312">
        <f>SUM(H24:H26)</f>
        <v>0</v>
      </c>
    </row>
    <row r="28" spans="2:8" x14ac:dyDescent="0.25">
      <c r="B28" s="214" t="s">
        <v>30</v>
      </c>
      <c r="C28" s="266"/>
      <c r="D28" s="266"/>
      <c r="E28" s="266"/>
      <c r="F28" s="308"/>
      <c r="G28" s="308"/>
      <c r="H28" s="304"/>
    </row>
    <row r="29" spans="2:8" x14ac:dyDescent="0.25">
      <c r="B29" s="560" t="s">
        <v>20</v>
      </c>
      <c r="C29" s="561"/>
      <c r="D29" s="297" t="s">
        <v>21</v>
      </c>
      <c r="E29" s="297" t="s">
        <v>127</v>
      </c>
      <c r="F29" s="298" t="s">
        <v>32</v>
      </c>
      <c r="G29" s="297" t="s">
        <v>24</v>
      </c>
      <c r="H29" s="313" t="s">
        <v>481</v>
      </c>
    </row>
    <row r="30" spans="2:8" x14ac:dyDescent="0.25">
      <c r="B30" s="598"/>
      <c r="C30" s="599"/>
      <c r="D30" s="314"/>
      <c r="E30" s="315"/>
      <c r="F30" s="274"/>
      <c r="G30" s="274"/>
      <c r="H30" s="304"/>
    </row>
    <row r="31" spans="2:8" x14ac:dyDescent="0.25">
      <c r="B31" s="598"/>
      <c r="C31" s="599"/>
      <c r="D31" s="314"/>
      <c r="E31" s="316"/>
      <c r="F31" s="317"/>
      <c r="G31" s="316"/>
      <c r="H31" s="318"/>
    </row>
    <row r="32" spans="2:8" x14ac:dyDescent="0.25">
      <c r="B32" s="305"/>
      <c r="C32" s="266"/>
      <c r="D32" s="266"/>
      <c r="E32" s="266"/>
      <c r="F32" s="296"/>
      <c r="G32" s="306" t="s">
        <v>25</v>
      </c>
      <c r="H32" s="319">
        <f>SUM(H30:H31)</f>
        <v>0</v>
      </c>
    </row>
    <row r="33" spans="2:11" x14ac:dyDescent="0.25">
      <c r="B33" s="214" t="s">
        <v>34</v>
      </c>
      <c r="C33" s="266"/>
      <c r="D33" s="266"/>
      <c r="E33" s="266"/>
      <c r="F33" s="296"/>
      <c r="G33" s="308"/>
      <c r="H33" s="320"/>
    </row>
    <row r="34" spans="2:11" x14ac:dyDescent="0.25">
      <c r="B34" s="321" t="s">
        <v>35</v>
      </c>
      <c r="C34" s="321" t="s">
        <v>29</v>
      </c>
      <c r="D34" s="321" t="s">
        <v>36</v>
      </c>
      <c r="E34" s="321" t="s">
        <v>37</v>
      </c>
      <c r="F34" s="322" t="s">
        <v>38</v>
      </c>
      <c r="G34" s="323" t="s">
        <v>23</v>
      </c>
      <c r="H34" s="324" t="s">
        <v>24</v>
      </c>
    </row>
    <row r="35" spans="2:11" x14ac:dyDescent="0.25">
      <c r="B35" s="288" t="s">
        <v>39</v>
      </c>
      <c r="C35" s="316">
        <v>1</v>
      </c>
      <c r="D35" s="325">
        <f>+'2. APU INST INDAPAZ 24 NOV'!D552</f>
        <v>93381.6</v>
      </c>
      <c r="E35" s="326">
        <v>1.8344</v>
      </c>
      <c r="F35" s="327">
        <f>+D35*C35*E35</f>
        <v>171299.20704000001</v>
      </c>
      <c r="G35" s="316">
        <v>25</v>
      </c>
      <c r="H35" s="274">
        <f>F35/G35</f>
        <v>6851.9682816000004</v>
      </c>
    </row>
    <row r="36" spans="2:11" x14ac:dyDescent="0.25">
      <c r="B36" s="288" t="s">
        <v>496</v>
      </c>
      <c r="C36" s="316">
        <v>1</v>
      </c>
      <c r="D36" s="325">
        <f>+'2. APU INST INDAPAZ 24 NOV'!D553</f>
        <v>58363.5</v>
      </c>
      <c r="E36" s="326">
        <v>1.8344</v>
      </c>
      <c r="F36" s="327">
        <f>+D36*C36*E36</f>
        <v>107062.00440000001</v>
      </c>
      <c r="G36" s="316">
        <v>25</v>
      </c>
      <c r="H36" s="274">
        <f>+F36/G36</f>
        <v>4282.480176</v>
      </c>
    </row>
    <row r="37" spans="2:11" x14ac:dyDescent="0.25">
      <c r="B37" s="288"/>
      <c r="C37" s="288"/>
      <c r="D37" s="317"/>
      <c r="E37" s="288"/>
      <c r="F37" s="317"/>
      <c r="G37" s="288"/>
      <c r="H37" s="327"/>
    </row>
    <row r="38" spans="2:11" x14ac:dyDescent="0.25">
      <c r="B38" s="305"/>
      <c r="C38" s="266"/>
      <c r="D38" s="266"/>
      <c r="E38" s="266"/>
      <c r="F38" s="296"/>
      <c r="G38" s="306" t="s">
        <v>25</v>
      </c>
      <c r="H38" s="328">
        <f>+SUM(H35:H37)</f>
        <v>11134.4484576</v>
      </c>
      <c r="K38" s="257" t="s">
        <v>497</v>
      </c>
    </row>
    <row r="39" spans="2:11" x14ac:dyDescent="0.25">
      <c r="B39" s="305"/>
      <c r="C39" s="266"/>
      <c r="D39" s="266"/>
      <c r="E39" s="266"/>
      <c r="F39" s="296"/>
      <c r="G39" s="449"/>
      <c r="H39" s="320"/>
    </row>
    <row r="40" spans="2:11" x14ac:dyDescent="0.25">
      <c r="B40" s="265"/>
      <c r="C40" s="266"/>
      <c r="D40" s="648" t="s">
        <v>41</v>
      </c>
      <c r="E40" s="648"/>
      <c r="F40" s="648"/>
      <c r="G40" s="649"/>
      <c r="H40" s="254">
        <f>+H21+H27+H32+H38</f>
        <v>13672.893303360001</v>
      </c>
    </row>
    <row r="41" spans="2:11" ht="15.6" x14ac:dyDescent="0.25">
      <c r="B41" s="258"/>
      <c r="C41" s="479"/>
      <c r="D41" s="477"/>
      <c r="E41" s="477"/>
      <c r="F41" s="477"/>
      <c r="G41" s="255"/>
      <c r="H41" s="219"/>
    </row>
    <row r="42" spans="2:11" ht="15.6" x14ac:dyDescent="0.25">
      <c r="B42" s="258"/>
      <c r="C42" s="479"/>
      <c r="D42" s="477"/>
      <c r="E42" s="477"/>
      <c r="F42" s="477"/>
      <c r="G42" s="255"/>
      <c r="H42" s="219"/>
      <c r="I42" s="257" t="s">
        <v>497</v>
      </c>
    </row>
    <row r="43" spans="2:11" ht="15.6" x14ac:dyDescent="0.25">
      <c r="B43" s="258"/>
      <c r="C43" s="475" t="s">
        <v>643</v>
      </c>
      <c r="D43" s="474"/>
      <c r="E43" s="477"/>
      <c r="F43" s="477"/>
      <c r="G43" s="255"/>
      <c r="H43" s="219"/>
    </row>
    <row r="44" spans="2:11" ht="15" x14ac:dyDescent="0.25">
      <c r="B44" s="262"/>
      <c r="C44" s="200" t="s">
        <v>590</v>
      </c>
      <c r="D44" s="474"/>
      <c r="E44" s="478"/>
      <c r="F44" s="478"/>
      <c r="G44" s="255"/>
      <c r="H44" s="219"/>
    </row>
    <row r="45" spans="2:11" ht="15" x14ac:dyDescent="0.25">
      <c r="B45" s="264"/>
      <c r="C45" s="261" t="s">
        <v>591</v>
      </c>
      <c r="D45" s="474"/>
      <c r="E45" s="478"/>
      <c r="F45" s="478"/>
      <c r="G45" s="255"/>
      <c r="H45" s="219"/>
    </row>
    <row r="46" spans="2:11" ht="15" x14ac:dyDescent="0.25">
      <c r="B46" s="265"/>
      <c r="C46" s="261" t="s">
        <v>644</v>
      </c>
      <c r="D46" s="474"/>
      <c r="E46" s="478"/>
      <c r="F46" s="478"/>
      <c r="G46" s="255"/>
      <c r="H46" s="219"/>
    </row>
    <row r="47" spans="2:11" x14ac:dyDescent="0.25">
      <c r="B47" s="267"/>
      <c r="C47" s="268"/>
      <c r="D47" s="259"/>
      <c r="E47" s="259"/>
      <c r="F47" s="259"/>
      <c r="G47" s="259"/>
      <c r="H47" s="260"/>
    </row>
    <row r="59" spans="2:8" ht="15.6" x14ac:dyDescent="0.25">
      <c r="B59" s="566" t="s">
        <v>320</v>
      </c>
      <c r="C59" s="567"/>
      <c r="D59" s="567"/>
      <c r="E59" s="567"/>
      <c r="F59" s="567"/>
      <c r="G59" s="567"/>
      <c r="H59" s="568"/>
    </row>
    <row r="60" spans="2:8" x14ac:dyDescent="0.25">
      <c r="B60" s="569" t="str">
        <f>+PRESUPUESTO!B1</f>
        <v>MANTENIMIENTO Y ADECUACIÓN DE INSTITUCIONES EDUCATIVAS OFICIALES, DEL MUNICIPIO DE LA APARTADA CORDOBA.</v>
      </c>
      <c r="C60" s="570"/>
      <c r="D60" s="570"/>
      <c r="E60" s="570"/>
      <c r="F60" s="570"/>
      <c r="G60" s="570"/>
      <c r="H60" s="571"/>
    </row>
    <row r="61" spans="2:8" x14ac:dyDescent="0.25">
      <c r="B61" s="572"/>
      <c r="C61" s="573"/>
      <c r="D61" s="573"/>
      <c r="E61" s="573"/>
      <c r="F61" s="573"/>
      <c r="G61" s="573"/>
      <c r="H61" s="574"/>
    </row>
    <row r="62" spans="2:8" x14ac:dyDescent="0.25">
      <c r="B62" s="575"/>
      <c r="C62" s="576"/>
      <c r="D62" s="576"/>
      <c r="E62" s="576"/>
      <c r="F62" s="576"/>
      <c r="G62" s="576"/>
      <c r="H62" s="577"/>
    </row>
    <row r="63" spans="2:8" x14ac:dyDescent="0.25">
      <c r="B63" s="578" t="str">
        <f>+PRESUPUESTO!C35</f>
        <v>S/I DE TEJA ARQUITECTONICA TJ AZUL 1,01M X 6 M  CAL 31 0,25MM, INCLUYE TODOS SUS ACCESORIOS PARA SU DEBIDA INSTALACIÓN.</v>
      </c>
      <c r="C63" s="579"/>
      <c r="D63" s="579"/>
      <c r="E63" s="579"/>
      <c r="F63" s="580"/>
      <c r="G63" s="587" t="s">
        <v>606</v>
      </c>
      <c r="H63" s="588"/>
    </row>
    <row r="64" spans="2:8" x14ac:dyDescent="0.25">
      <c r="B64" s="581"/>
      <c r="C64" s="582"/>
      <c r="D64" s="582"/>
      <c r="E64" s="582"/>
      <c r="F64" s="583"/>
      <c r="G64" s="589"/>
      <c r="H64" s="590"/>
    </row>
    <row r="65" spans="2:8" x14ac:dyDescent="0.25">
      <c r="B65" s="584"/>
      <c r="C65" s="585"/>
      <c r="D65" s="585"/>
      <c r="E65" s="585"/>
      <c r="F65" s="586"/>
      <c r="G65" s="591"/>
      <c r="H65" s="592"/>
    </row>
    <row r="66" spans="2:8" x14ac:dyDescent="0.25">
      <c r="B66" s="518" t="s">
        <v>0</v>
      </c>
      <c r="C66" s="515">
        <f>+PRESUPUESTO!B35</f>
        <v>4.2</v>
      </c>
      <c r="D66" s="516"/>
      <c r="E66" s="516"/>
      <c r="F66" s="516"/>
      <c r="G66" s="516"/>
      <c r="H66" s="517"/>
    </row>
    <row r="67" spans="2:8" x14ac:dyDescent="0.25">
      <c r="B67" s="214" t="s">
        <v>19</v>
      </c>
      <c r="C67" s="266"/>
      <c r="D67" s="266"/>
      <c r="E67" s="266"/>
      <c r="F67" s="296"/>
      <c r="G67" s="266"/>
      <c r="H67" s="216"/>
    </row>
    <row r="68" spans="2:8" x14ac:dyDescent="0.25">
      <c r="B68" s="560" t="s">
        <v>20</v>
      </c>
      <c r="C68" s="561"/>
      <c r="D68" s="297" t="s">
        <v>21</v>
      </c>
      <c r="E68" s="297" t="s">
        <v>22</v>
      </c>
      <c r="F68" s="298" t="s">
        <v>23</v>
      </c>
      <c r="G68" s="299" t="s">
        <v>24</v>
      </c>
      <c r="H68" s="300" t="s">
        <v>482</v>
      </c>
    </row>
    <row r="69" spans="2:8" x14ac:dyDescent="0.25">
      <c r="B69" s="562" t="s">
        <v>8</v>
      </c>
      <c r="C69" s="563"/>
      <c r="D69" s="301"/>
      <c r="E69" s="302"/>
      <c r="F69" s="303">
        <v>0.1</v>
      </c>
      <c r="G69" s="287">
        <f>+H94</f>
        <v>19271.160792000002</v>
      </c>
      <c r="H69" s="304">
        <f>+F69*G69</f>
        <v>1927.1160792000003</v>
      </c>
    </row>
    <row r="70" spans="2:8" x14ac:dyDescent="0.25">
      <c r="B70" s="600"/>
      <c r="C70" s="601"/>
      <c r="D70" s="301"/>
      <c r="E70" s="302"/>
      <c r="F70" s="289"/>
      <c r="G70" s="287"/>
      <c r="H70" s="304"/>
    </row>
    <row r="71" spans="2:8" x14ac:dyDescent="0.25">
      <c r="B71" s="562"/>
      <c r="C71" s="563"/>
      <c r="D71" s="301"/>
      <c r="E71" s="302"/>
      <c r="F71" s="289"/>
      <c r="G71" s="287"/>
      <c r="H71" s="304"/>
    </row>
    <row r="72" spans="2:8" x14ac:dyDescent="0.25">
      <c r="B72" s="305"/>
      <c r="C72" s="266"/>
      <c r="D72" s="266"/>
      <c r="E72" s="266"/>
      <c r="F72" s="296"/>
      <c r="G72" s="306" t="s">
        <v>25</v>
      </c>
      <c r="H72" s="307">
        <f>SUM(H69:H71)</f>
        <v>1927.1160792000003</v>
      </c>
    </row>
    <row r="73" spans="2:8" x14ac:dyDescent="0.25">
      <c r="B73" s="214" t="s">
        <v>26</v>
      </c>
      <c r="C73" s="266"/>
      <c r="D73" s="266"/>
      <c r="E73" s="266"/>
      <c r="F73" s="308"/>
      <c r="G73" s="308"/>
      <c r="H73" s="309"/>
    </row>
    <row r="74" spans="2:8" x14ac:dyDescent="0.25">
      <c r="B74" s="560" t="s">
        <v>20</v>
      </c>
      <c r="C74" s="561"/>
      <c r="D74" s="297" t="s">
        <v>27</v>
      </c>
      <c r="E74" s="297" t="s">
        <v>28</v>
      </c>
      <c r="F74" s="298" t="s">
        <v>29</v>
      </c>
      <c r="G74" s="299" t="s">
        <v>24</v>
      </c>
      <c r="H74" s="310" t="s">
        <v>482</v>
      </c>
    </row>
    <row r="75" spans="2:8" x14ac:dyDescent="0.25">
      <c r="B75" s="650" t="s">
        <v>647</v>
      </c>
      <c r="C75" s="650"/>
      <c r="D75" s="271" t="s">
        <v>45</v>
      </c>
      <c r="E75" s="272">
        <v>22350</v>
      </c>
      <c r="F75" s="273">
        <v>1</v>
      </c>
      <c r="G75" s="274">
        <f>E75*F75</f>
        <v>22350</v>
      </c>
      <c r="H75" s="275">
        <f>G75</f>
        <v>22350</v>
      </c>
    </row>
    <row r="76" spans="2:8" x14ac:dyDescent="0.25">
      <c r="B76" s="596" t="s">
        <v>648</v>
      </c>
      <c r="C76" s="597"/>
      <c r="D76" s="271" t="s">
        <v>72</v>
      </c>
      <c r="E76" s="272">
        <v>1750</v>
      </c>
      <c r="F76" s="273">
        <v>6</v>
      </c>
      <c r="G76" s="274">
        <f>E76*F76</f>
        <v>10500</v>
      </c>
      <c r="H76" s="275">
        <f>G76</f>
        <v>10500</v>
      </c>
    </row>
    <row r="77" spans="2:8" ht="26.4" x14ac:dyDescent="0.25">
      <c r="B77" s="340" t="s">
        <v>649</v>
      </c>
      <c r="C77" s="341"/>
      <c r="D77" s="271" t="s">
        <v>5</v>
      </c>
      <c r="E77" s="272">
        <v>3500</v>
      </c>
      <c r="F77" s="273">
        <v>2</v>
      </c>
      <c r="G77" s="274">
        <f>E77*F77</f>
        <v>7000</v>
      </c>
      <c r="H77" s="275">
        <f>G77</f>
        <v>7000</v>
      </c>
    </row>
    <row r="78" spans="2:8" x14ac:dyDescent="0.25">
      <c r="B78" s="340" t="s">
        <v>650</v>
      </c>
      <c r="C78" s="341"/>
      <c r="D78" s="271" t="s">
        <v>72</v>
      </c>
      <c r="E78" s="272">
        <v>7500</v>
      </c>
      <c r="F78" s="273">
        <v>0.33</v>
      </c>
      <c r="G78" s="274">
        <f>E78*F78</f>
        <v>2475</v>
      </c>
      <c r="H78" s="275">
        <f>G78</f>
        <v>2475</v>
      </c>
    </row>
    <row r="79" spans="2:8" x14ac:dyDescent="0.25">
      <c r="B79" s="480"/>
      <c r="C79" s="481"/>
      <c r="D79" s="271"/>
      <c r="E79" s="272"/>
      <c r="F79" s="273"/>
      <c r="G79" s="274"/>
      <c r="H79" s="275"/>
    </row>
    <row r="80" spans="2:8" x14ac:dyDescent="0.25">
      <c r="B80" s="480"/>
      <c r="C80" s="481"/>
      <c r="D80" s="271"/>
      <c r="E80" s="272"/>
      <c r="F80" s="273"/>
      <c r="G80" s="274"/>
      <c r="H80" s="275"/>
    </row>
    <row r="81" spans="2:8" x14ac:dyDescent="0.25">
      <c r="B81" s="596" t="s">
        <v>506</v>
      </c>
      <c r="C81" s="597"/>
      <c r="D81" s="271" t="s">
        <v>501</v>
      </c>
      <c r="E81" s="272">
        <f>+SUM(G75:G78)</f>
        <v>42325</v>
      </c>
      <c r="F81" s="276">
        <v>0.05</v>
      </c>
      <c r="G81" s="274">
        <f>E81*F81</f>
        <v>2116.25</v>
      </c>
      <c r="H81" s="275">
        <f>G81</f>
        <v>2116.25</v>
      </c>
    </row>
    <row r="82" spans="2:8" x14ac:dyDescent="0.25">
      <c r="B82" s="596"/>
      <c r="C82" s="597"/>
      <c r="D82" s="285"/>
      <c r="E82" s="286"/>
      <c r="F82" s="289"/>
      <c r="G82" s="287"/>
      <c r="H82" s="288"/>
    </row>
    <row r="83" spans="2:8" x14ac:dyDescent="0.25">
      <c r="B83" s="305"/>
      <c r="C83" s="266"/>
      <c r="D83" s="266"/>
      <c r="E83" s="266"/>
      <c r="F83" s="308"/>
      <c r="G83" s="306" t="s">
        <v>25</v>
      </c>
      <c r="H83" s="312">
        <f>SUM(H75:H82)</f>
        <v>44441.25</v>
      </c>
    </row>
    <row r="84" spans="2:8" x14ac:dyDescent="0.25">
      <c r="B84" s="214" t="s">
        <v>30</v>
      </c>
      <c r="C84" s="266"/>
      <c r="D84" s="266"/>
      <c r="E84" s="266"/>
      <c r="F84" s="308"/>
      <c r="G84" s="308"/>
      <c r="H84" s="304"/>
    </row>
    <row r="85" spans="2:8" x14ac:dyDescent="0.25">
      <c r="B85" s="560" t="s">
        <v>20</v>
      </c>
      <c r="C85" s="561"/>
      <c r="D85" s="297" t="s">
        <v>21</v>
      </c>
      <c r="E85" s="297" t="s">
        <v>127</v>
      </c>
      <c r="F85" s="298" t="s">
        <v>653</v>
      </c>
      <c r="G85" s="297" t="s">
        <v>24</v>
      </c>
      <c r="H85" s="313" t="s">
        <v>481</v>
      </c>
    </row>
    <row r="86" spans="2:8" x14ac:dyDescent="0.25">
      <c r="B86" s="598" t="s">
        <v>651</v>
      </c>
      <c r="C86" s="599"/>
      <c r="D86" s="314" t="s">
        <v>652</v>
      </c>
      <c r="E86" s="315">
        <v>6</v>
      </c>
      <c r="F86" s="274">
        <v>2000</v>
      </c>
      <c r="G86" s="274">
        <f>+E86*F86</f>
        <v>12000</v>
      </c>
      <c r="H86" s="304">
        <f>+G86</f>
        <v>12000</v>
      </c>
    </row>
    <row r="87" spans="2:8" x14ac:dyDescent="0.25">
      <c r="B87" s="598"/>
      <c r="C87" s="599"/>
      <c r="D87" s="314"/>
      <c r="E87" s="316"/>
      <c r="F87" s="317"/>
      <c r="G87" s="316"/>
      <c r="H87" s="318"/>
    </row>
    <row r="88" spans="2:8" x14ac:dyDescent="0.25">
      <c r="B88" s="305"/>
      <c r="C88" s="266"/>
      <c r="D88" s="266"/>
      <c r="E88" s="266"/>
      <c r="F88" s="296"/>
      <c r="G88" s="306" t="s">
        <v>25</v>
      </c>
      <c r="H88" s="319">
        <f>SUM(H86:H87)</f>
        <v>12000</v>
      </c>
    </row>
    <row r="89" spans="2:8" x14ac:dyDescent="0.25">
      <c r="B89" s="214" t="s">
        <v>34</v>
      </c>
      <c r="C89" s="266"/>
      <c r="D89" s="266"/>
      <c r="E89" s="266"/>
      <c r="F89" s="296"/>
      <c r="G89" s="308"/>
      <c r="H89" s="320"/>
    </row>
    <row r="90" spans="2:8" x14ac:dyDescent="0.25">
      <c r="B90" s="321" t="s">
        <v>35</v>
      </c>
      <c r="C90" s="321" t="s">
        <v>29</v>
      </c>
      <c r="D90" s="321" t="s">
        <v>36</v>
      </c>
      <c r="E90" s="321" t="s">
        <v>37</v>
      </c>
      <c r="F90" s="322" t="s">
        <v>38</v>
      </c>
      <c r="G90" s="323" t="s">
        <v>23</v>
      </c>
      <c r="H90" s="324" t="s">
        <v>24</v>
      </c>
    </row>
    <row r="91" spans="2:8" x14ac:dyDescent="0.25">
      <c r="B91" s="288" t="s">
        <v>39</v>
      </c>
      <c r="C91" s="316">
        <v>1</v>
      </c>
      <c r="D91" s="325">
        <v>93381.6</v>
      </c>
      <c r="E91" s="326">
        <v>1.8344</v>
      </c>
      <c r="F91" s="327">
        <f>+D91*C91*E91</f>
        <v>171299.20704000001</v>
      </c>
      <c r="G91" s="338">
        <v>20</v>
      </c>
      <c r="H91" s="274">
        <f>F91/G91</f>
        <v>8564.9603520000001</v>
      </c>
    </row>
    <row r="92" spans="2:8" x14ac:dyDescent="0.25">
      <c r="B92" s="288" t="s">
        <v>496</v>
      </c>
      <c r="C92" s="316">
        <v>2</v>
      </c>
      <c r="D92" s="325">
        <v>58363.5</v>
      </c>
      <c r="E92" s="326">
        <v>1.8344</v>
      </c>
      <c r="F92" s="327">
        <f>+D92*C92*E92</f>
        <v>214124.00880000001</v>
      </c>
      <c r="G92" s="338">
        <f>+G91</f>
        <v>20</v>
      </c>
      <c r="H92" s="274">
        <f>+F92/G92</f>
        <v>10706.200440000001</v>
      </c>
    </row>
    <row r="93" spans="2:8" x14ac:dyDescent="0.25">
      <c r="B93" s="288"/>
      <c r="C93" s="288"/>
      <c r="D93" s="317"/>
      <c r="E93" s="288"/>
      <c r="F93" s="317"/>
      <c r="G93" s="288"/>
      <c r="H93" s="327"/>
    </row>
    <row r="94" spans="2:8" x14ac:dyDescent="0.25">
      <c r="B94" s="305"/>
      <c r="C94" s="266"/>
      <c r="D94" s="266"/>
      <c r="E94" s="266"/>
      <c r="F94" s="296"/>
      <c r="G94" s="306" t="s">
        <v>25</v>
      </c>
      <c r="H94" s="328">
        <f>+SUM(H91:H93)</f>
        <v>19271.160792000002</v>
      </c>
    </row>
    <row r="95" spans="2:8" x14ac:dyDescent="0.25">
      <c r="B95" s="305"/>
      <c r="C95" s="266"/>
      <c r="D95" s="266"/>
      <c r="E95" s="266"/>
      <c r="F95" s="296"/>
      <c r="G95" s="449"/>
      <c r="H95" s="320"/>
    </row>
    <row r="96" spans="2:8" x14ac:dyDescent="0.25">
      <c r="B96" s="265"/>
      <c r="C96" s="266"/>
      <c r="D96" s="648" t="s">
        <v>41</v>
      </c>
      <c r="E96" s="648"/>
      <c r="F96" s="648"/>
      <c r="G96" s="649"/>
      <c r="H96" s="254">
        <f>+H72+H83+H88+H94</f>
        <v>77639.526871200011</v>
      </c>
    </row>
    <row r="97" spans="2:8" ht="15.6" x14ac:dyDescent="0.25">
      <c r="B97" s="258"/>
      <c r="C97" s="479"/>
      <c r="D97" s="477"/>
      <c r="E97" s="477"/>
      <c r="F97" s="477"/>
      <c r="G97" s="255"/>
      <c r="H97" s="219"/>
    </row>
    <row r="98" spans="2:8" ht="15.6" x14ac:dyDescent="0.25">
      <c r="B98" s="258"/>
      <c r="C98" s="479"/>
      <c r="D98" s="477"/>
      <c r="E98" s="477"/>
      <c r="F98" s="477"/>
      <c r="G98" s="255"/>
      <c r="H98" s="219"/>
    </row>
    <row r="99" spans="2:8" ht="15.6" x14ac:dyDescent="0.25">
      <c r="B99" s="258"/>
      <c r="C99" s="475" t="s">
        <v>643</v>
      </c>
      <c r="D99" s="474"/>
      <c r="E99" s="477"/>
      <c r="F99" s="477"/>
      <c r="G99" s="255"/>
      <c r="H99" s="219"/>
    </row>
    <row r="100" spans="2:8" ht="15" x14ac:dyDescent="0.25">
      <c r="B100" s="262"/>
      <c r="C100" s="200" t="s">
        <v>590</v>
      </c>
      <c r="D100" s="474"/>
      <c r="E100" s="478"/>
      <c r="F100" s="478"/>
      <c r="G100" s="255"/>
      <c r="H100" s="219"/>
    </row>
    <row r="101" spans="2:8" ht="15" x14ac:dyDescent="0.25">
      <c r="B101" s="264"/>
      <c r="C101" s="261" t="s">
        <v>591</v>
      </c>
      <c r="D101" s="474"/>
      <c r="E101" s="478"/>
      <c r="F101" s="478"/>
      <c r="G101" s="255"/>
      <c r="H101" s="219"/>
    </row>
    <row r="102" spans="2:8" ht="15" x14ac:dyDescent="0.25">
      <c r="B102" s="265"/>
      <c r="C102" s="261" t="s">
        <v>644</v>
      </c>
      <c r="D102" s="474"/>
      <c r="E102" s="478"/>
      <c r="F102" s="478"/>
      <c r="G102" s="255"/>
      <c r="H102" s="219"/>
    </row>
    <row r="103" spans="2:8" x14ac:dyDescent="0.25">
      <c r="B103" s="265"/>
      <c r="C103" s="266"/>
      <c r="D103" s="255"/>
      <c r="E103" s="255"/>
      <c r="F103" s="255"/>
      <c r="G103" s="255"/>
      <c r="H103" s="219"/>
    </row>
    <row r="104" spans="2:8" x14ac:dyDescent="0.25">
      <c r="B104" s="267"/>
      <c r="C104" s="268"/>
      <c r="D104" s="259"/>
      <c r="E104" s="259"/>
      <c r="F104" s="259"/>
      <c r="G104" s="259"/>
      <c r="H104" s="260"/>
    </row>
    <row r="117" spans="2:8" ht="15.6" x14ac:dyDescent="0.25">
      <c r="B117" s="566" t="s">
        <v>320</v>
      </c>
      <c r="C117" s="567"/>
      <c r="D117" s="567"/>
      <c r="E117" s="567"/>
      <c r="F117" s="567"/>
      <c r="G117" s="567"/>
      <c r="H117" s="568"/>
    </row>
    <row r="118" spans="2:8" x14ac:dyDescent="0.25">
      <c r="B118" s="569" t="str">
        <f>+PRESUPUESTO!B1</f>
        <v>MANTENIMIENTO Y ADECUACIÓN DE INSTITUCIONES EDUCATIVAS OFICIALES, DEL MUNICIPIO DE LA APARTADA CORDOBA.</v>
      </c>
      <c r="C118" s="570"/>
      <c r="D118" s="570"/>
      <c r="E118" s="570"/>
      <c r="F118" s="570"/>
      <c r="G118" s="570"/>
      <c r="H118" s="571"/>
    </row>
    <row r="119" spans="2:8" x14ac:dyDescent="0.25">
      <c r="B119" s="572"/>
      <c r="C119" s="573"/>
      <c r="D119" s="573"/>
      <c r="E119" s="573"/>
      <c r="F119" s="573"/>
      <c r="G119" s="573"/>
      <c r="H119" s="574"/>
    </row>
    <row r="120" spans="2:8" x14ac:dyDescent="0.25">
      <c r="B120" s="575"/>
      <c r="C120" s="576"/>
      <c r="D120" s="576"/>
      <c r="E120" s="576"/>
      <c r="F120" s="576"/>
      <c r="G120" s="576"/>
      <c r="H120" s="577"/>
    </row>
    <row r="121" spans="2:8" x14ac:dyDescent="0.25">
      <c r="B121" s="578" t="str">
        <f>+PRESUPUESTO!C36</f>
        <v>S/I DE CABALLETE AZUL 0,40X0,107M KLAR U PVC</v>
      </c>
      <c r="C121" s="579"/>
      <c r="D121" s="579"/>
      <c r="E121" s="579"/>
      <c r="F121" s="580"/>
      <c r="G121" s="587" t="s">
        <v>655</v>
      </c>
      <c r="H121" s="588"/>
    </row>
    <row r="122" spans="2:8" x14ac:dyDescent="0.25">
      <c r="B122" s="581"/>
      <c r="C122" s="582"/>
      <c r="D122" s="582"/>
      <c r="E122" s="582"/>
      <c r="F122" s="583"/>
      <c r="G122" s="589"/>
      <c r="H122" s="590"/>
    </row>
    <row r="123" spans="2:8" x14ac:dyDescent="0.25">
      <c r="B123" s="584"/>
      <c r="C123" s="585"/>
      <c r="D123" s="585"/>
      <c r="E123" s="585"/>
      <c r="F123" s="586"/>
      <c r="G123" s="591"/>
      <c r="H123" s="592"/>
    </row>
    <row r="124" spans="2:8" x14ac:dyDescent="0.25">
      <c r="B124" s="518" t="s">
        <v>0</v>
      </c>
      <c r="C124" s="515">
        <f>+PRESUPUESTO!B36</f>
        <v>4.3</v>
      </c>
      <c r="D124" s="516"/>
      <c r="E124" s="516"/>
      <c r="F124" s="516"/>
      <c r="G124" s="516"/>
      <c r="H124" s="517"/>
    </row>
    <row r="125" spans="2:8" x14ac:dyDescent="0.25">
      <c r="B125" s="214" t="s">
        <v>19</v>
      </c>
      <c r="C125" s="266"/>
      <c r="D125" s="266"/>
      <c r="E125" s="266"/>
      <c r="F125" s="296"/>
      <c r="G125" s="266"/>
      <c r="H125" s="216"/>
    </row>
    <row r="126" spans="2:8" x14ac:dyDescent="0.25">
      <c r="B126" s="560" t="s">
        <v>20</v>
      </c>
      <c r="C126" s="561"/>
      <c r="D126" s="297" t="s">
        <v>21</v>
      </c>
      <c r="E126" s="297" t="s">
        <v>22</v>
      </c>
      <c r="F126" s="298" t="s">
        <v>23</v>
      </c>
      <c r="G126" s="299" t="s">
        <v>24</v>
      </c>
      <c r="H126" s="300" t="s">
        <v>482</v>
      </c>
    </row>
    <row r="127" spans="2:8" x14ac:dyDescent="0.25">
      <c r="B127" s="562" t="s">
        <v>8</v>
      </c>
      <c r="C127" s="563"/>
      <c r="D127" s="301"/>
      <c r="E127" s="302"/>
      <c r="F127" s="303">
        <v>0.1</v>
      </c>
      <c r="G127" s="287">
        <f>+H149</f>
        <v>13918.060572</v>
      </c>
      <c r="H127" s="304">
        <f>+F127*G127</f>
        <v>1391.8060572000002</v>
      </c>
    </row>
    <row r="128" spans="2:8" x14ac:dyDescent="0.25">
      <c r="B128" s="600"/>
      <c r="C128" s="601"/>
      <c r="D128" s="301"/>
      <c r="E128" s="302"/>
      <c r="F128" s="289"/>
      <c r="G128" s="287"/>
      <c r="H128" s="304"/>
    </row>
    <row r="129" spans="2:8" x14ac:dyDescent="0.25">
      <c r="B129" s="562"/>
      <c r="C129" s="563"/>
      <c r="D129" s="301"/>
      <c r="E129" s="302"/>
      <c r="F129" s="289"/>
      <c r="G129" s="287"/>
      <c r="H129" s="304"/>
    </row>
    <row r="130" spans="2:8" x14ac:dyDescent="0.25">
      <c r="B130" s="305"/>
      <c r="C130" s="266"/>
      <c r="D130" s="266"/>
      <c r="E130" s="266"/>
      <c r="F130" s="296"/>
      <c r="G130" s="306" t="s">
        <v>25</v>
      </c>
      <c r="H130" s="307">
        <f>SUM(H127:H129)</f>
        <v>1391.8060572000002</v>
      </c>
    </row>
    <row r="131" spans="2:8" x14ac:dyDescent="0.25">
      <c r="B131" s="214" t="s">
        <v>26</v>
      </c>
      <c r="C131" s="266"/>
      <c r="D131" s="266"/>
      <c r="E131" s="266"/>
      <c r="F131" s="308"/>
      <c r="G131" s="308"/>
      <c r="H131" s="309"/>
    </row>
    <row r="132" spans="2:8" x14ac:dyDescent="0.25">
      <c r="B132" s="560" t="s">
        <v>20</v>
      </c>
      <c r="C132" s="561"/>
      <c r="D132" s="297" t="s">
        <v>27</v>
      </c>
      <c r="E132" s="297" t="s">
        <v>28</v>
      </c>
      <c r="F132" s="298" t="s">
        <v>29</v>
      </c>
      <c r="G132" s="299" t="s">
        <v>24</v>
      </c>
      <c r="H132" s="310" t="s">
        <v>482</v>
      </c>
    </row>
    <row r="133" spans="2:8" x14ac:dyDescent="0.25">
      <c r="B133" s="318" t="s">
        <v>654</v>
      </c>
      <c r="C133" s="339"/>
      <c r="D133" s="271" t="s">
        <v>5</v>
      </c>
      <c r="E133" s="311">
        <v>52400</v>
      </c>
      <c r="F133" s="289">
        <v>1</v>
      </c>
      <c r="G133" s="274">
        <f>+E133*F133</f>
        <v>52400</v>
      </c>
      <c r="H133" s="275">
        <f>+G133</f>
        <v>52400</v>
      </c>
    </row>
    <row r="134" spans="2:8" x14ac:dyDescent="0.25">
      <c r="B134" s="596" t="s">
        <v>648</v>
      </c>
      <c r="C134" s="597"/>
      <c r="D134" s="271" t="s">
        <v>72</v>
      </c>
      <c r="E134" s="272">
        <v>1750</v>
      </c>
      <c r="F134" s="273">
        <v>4</v>
      </c>
      <c r="G134" s="274">
        <f>E134*F134</f>
        <v>7000</v>
      </c>
      <c r="H134" s="275">
        <f>G134</f>
        <v>7000</v>
      </c>
    </row>
    <row r="135" spans="2:8" ht="26.4" x14ac:dyDescent="0.25">
      <c r="B135" s="340" t="s">
        <v>649</v>
      </c>
      <c r="C135" s="341"/>
      <c r="D135" s="271" t="s">
        <v>5</v>
      </c>
      <c r="E135" s="272">
        <v>3500</v>
      </c>
      <c r="F135" s="273">
        <v>2</v>
      </c>
      <c r="G135" s="274">
        <f>E135*F135</f>
        <v>7000</v>
      </c>
      <c r="H135" s="275">
        <f>G135</f>
        <v>7000</v>
      </c>
    </row>
    <row r="136" spans="2:8" x14ac:dyDescent="0.25">
      <c r="B136" s="340" t="s">
        <v>650</v>
      </c>
      <c r="C136" s="341"/>
      <c r="D136" s="271" t="s">
        <v>72</v>
      </c>
      <c r="E136" s="272">
        <v>7500</v>
      </c>
      <c r="F136" s="273">
        <v>0.25</v>
      </c>
      <c r="G136" s="274">
        <f>E136*F136</f>
        <v>1875</v>
      </c>
      <c r="H136" s="275">
        <f>G136</f>
        <v>1875</v>
      </c>
    </row>
    <row r="137" spans="2:8" x14ac:dyDescent="0.25">
      <c r="B137" s="596"/>
      <c r="C137" s="597"/>
      <c r="D137" s="285"/>
      <c r="E137" s="286"/>
      <c r="F137" s="289"/>
      <c r="G137" s="287"/>
      <c r="H137" s="288"/>
    </row>
    <row r="138" spans="2:8" x14ac:dyDescent="0.25">
      <c r="B138" s="305"/>
      <c r="C138" s="266"/>
      <c r="D138" s="266"/>
      <c r="E138" s="266"/>
      <c r="F138" s="308"/>
      <c r="G138" s="306" t="s">
        <v>25</v>
      </c>
      <c r="H138" s="312">
        <f>SUM(H133:H137)</f>
        <v>68275</v>
      </c>
    </row>
    <row r="139" spans="2:8" x14ac:dyDescent="0.25">
      <c r="B139" s="214" t="s">
        <v>30</v>
      </c>
      <c r="C139" s="266"/>
      <c r="D139" s="266"/>
      <c r="E139" s="266"/>
      <c r="F139" s="308"/>
      <c r="G139" s="308"/>
      <c r="H139" s="304"/>
    </row>
    <row r="140" spans="2:8" x14ac:dyDescent="0.25">
      <c r="B140" s="560" t="s">
        <v>20</v>
      </c>
      <c r="C140" s="561"/>
      <c r="D140" s="297" t="s">
        <v>21</v>
      </c>
      <c r="E140" s="297" t="s">
        <v>127</v>
      </c>
      <c r="F140" s="298" t="s">
        <v>656</v>
      </c>
      <c r="G140" s="297" t="s">
        <v>24</v>
      </c>
      <c r="H140" s="313" t="s">
        <v>481</v>
      </c>
    </row>
    <row r="141" spans="2:8" x14ac:dyDescent="0.25">
      <c r="B141" s="598" t="s">
        <v>651</v>
      </c>
      <c r="C141" s="599"/>
      <c r="D141" s="314" t="s">
        <v>652</v>
      </c>
      <c r="E141" s="315">
        <v>6</v>
      </c>
      <c r="F141" s="274">
        <v>1500</v>
      </c>
      <c r="G141" s="274">
        <f>+E141*F141</f>
        <v>9000</v>
      </c>
      <c r="H141" s="304">
        <f>+G141</f>
        <v>9000</v>
      </c>
    </row>
    <row r="142" spans="2:8" x14ac:dyDescent="0.25">
      <c r="B142" s="598"/>
      <c r="C142" s="599"/>
      <c r="D142" s="314"/>
      <c r="E142" s="316"/>
      <c r="F142" s="317"/>
      <c r="G142" s="316"/>
      <c r="H142" s="318"/>
    </row>
    <row r="143" spans="2:8" x14ac:dyDescent="0.25">
      <c r="B143" s="305"/>
      <c r="C143" s="266"/>
      <c r="D143" s="266"/>
      <c r="E143" s="266"/>
      <c r="F143" s="296"/>
      <c r="G143" s="306" t="s">
        <v>25</v>
      </c>
      <c r="H143" s="319">
        <f>SUM(H141:H142)</f>
        <v>9000</v>
      </c>
    </row>
    <row r="144" spans="2:8" x14ac:dyDescent="0.25">
      <c r="B144" s="214" t="s">
        <v>34</v>
      </c>
      <c r="C144" s="266"/>
      <c r="D144" s="266"/>
      <c r="E144" s="266"/>
      <c r="F144" s="296"/>
      <c r="G144" s="308"/>
      <c r="H144" s="320"/>
    </row>
    <row r="145" spans="2:8" x14ac:dyDescent="0.25">
      <c r="B145" s="321" t="s">
        <v>35</v>
      </c>
      <c r="C145" s="321" t="s">
        <v>29</v>
      </c>
      <c r="D145" s="321" t="s">
        <v>36</v>
      </c>
      <c r="E145" s="321" t="s">
        <v>37</v>
      </c>
      <c r="F145" s="322" t="s">
        <v>38</v>
      </c>
      <c r="G145" s="323" t="s">
        <v>23</v>
      </c>
      <c r="H145" s="324" t="s">
        <v>24</v>
      </c>
    </row>
    <row r="146" spans="2:8" x14ac:dyDescent="0.25">
      <c r="B146" s="288" t="s">
        <v>39</v>
      </c>
      <c r="C146" s="316">
        <v>1</v>
      </c>
      <c r="D146" s="325">
        <f>+D91</f>
        <v>93381.6</v>
      </c>
      <c r="E146" s="326">
        <v>1.8344</v>
      </c>
      <c r="F146" s="327">
        <f>+D146*C146*E146</f>
        <v>171299.20704000001</v>
      </c>
      <c r="G146" s="342">
        <v>20</v>
      </c>
      <c r="H146" s="274">
        <f>F146/G146</f>
        <v>8564.9603520000001</v>
      </c>
    </row>
    <row r="147" spans="2:8" x14ac:dyDescent="0.25">
      <c r="B147" s="288" t="s">
        <v>496</v>
      </c>
      <c r="C147" s="316">
        <v>1</v>
      </c>
      <c r="D147" s="325">
        <f>+D92</f>
        <v>58363.5</v>
      </c>
      <c r="E147" s="326">
        <v>1.8344</v>
      </c>
      <c r="F147" s="327">
        <f>+D147*C147*E147</f>
        <v>107062.00440000001</v>
      </c>
      <c r="G147" s="342">
        <v>20</v>
      </c>
      <c r="H147" s="274">
        <f>+F147/G147</f>
        <v>5353.1002200000003</v>
      </c>
    </row>
    <row r="148" spans="2:8" x14ac:dyDescent="0.25">
      <c r="B148" s="288"/>
      <c r="C148" s="288"/>
      <c r="D148" s="317"/>
      <c r="E148" s="288"/>
      <c r="F148" s="317"/>
      <c r="G148" s="288"/>
      <c r="H148" s="327"/>
    </row>
    <row r="149" spans="2:8" x14ac:dyDescent="0.25">
      <c r="B149" s="305"/>
      <c r="C149" s="266"/>
      <c r="D149" s="266"/>
      <c r="E149" s="266"/>
      <c r="F149" s="296"/>
      <c r="G149" s="306" t="s">
        <v>25</v>
      </c>
      <c r="H149" s="328">
        <f>+SUM(H146:H148)</f>
        <v>13918.060572</v>
      </c>
    </row>
    <row r="150" spans="2:8" x14ac:dyDescent="0.25">
      <c r="B150" s="305"/>
      <c r="C150" s="266"/>
      <c r="D150" s="266"/>
      <c r="E150" s="266"/>
      <c r="F150" s="296"/>
      <c r="G150" s="449"/>
      <c r="H150" s="320"/>
    </row>
    <row r="151" spans="2:8" x14ac:dyDescent="0.25">
      <c r="B151" s="265"/>
      <c r="C151" s="266"/>
      <c r="D151" s="648" t="s">
        <v>41</v>
      </c>
      <c r="E151" s="648"/>
      <c r="F151" s="648"/>
      <c r="G151" s="649"/>
      <c r="H151" s="254">
        <f>+H130+H138+H143+H149</f>
        <v>92584.866629199998</v>
      </c>
    </row>
    <row r="152" spans="2:8" ht="15.6" x14ac:dyDescent="0.25">
      <c r="B152" s="258"/>
      <c r="C152" s="475" t="s">
        <v>643</v>
      </c>
      <c r="D152" s="474"/>
      <c r="E152" s="477"/>
      <c r="F152" s="477"/>
      <c r="G152" s="255"/>
      <c r="H152" s="219"/>
    </row>
    <row r="153" spans="2:8" ht="15" x14ac:dyDescent="0.25">
      <c r="B153" s="262"/>
      <c r="C153" s="200" t="s">
        <v>590</v>
      </c>
      <c r="D153" s="474"/>
      <c r="E153" s="478"/>
      <c r="F153" s="478"/>
      <c r="G153" s="255"/>
      <c r="H153" s="219"/>
    </row>
    <row r="154" spans="2:8" ht="15" x14ac:dyDescent="0.25">
      <c r="B154" s="264"/>
      <c r="C154" s="261" t="s">
        <v>591</v>
      </c>
      <c r="D154" s="474"/>
      <c r="E154" s="478"/>
      <c r="F154" s="478"/>
      <c r="G154" s="255"/>
      <c r="H154" s="219"/>
    </row>
    <row r="155" spans="2:8" ht="15" x14ac:dyDescent="0.25">
      <c r="B155" s="265"/>
      <c r="C155" s="261" t="s">
        <v>644</v>
      </c>
      <c r="D155" s="474"/>
      <c r="E155" s="478"/>
      <c r="F155" s="478"/>
      <c r="G155" s="255"/>
      <c r="H155" s="219"/>
    </row>
    <row r="156" spans="2:8" x14ac:dyDescent="0.25">
      <c r="B156" s="267"/>
      <c r="C156" s="268"/>
      <c r="D156" s="259"/>
      <c r="E156" s="259"/>
      <c r="F156" s="259"/>
      <c r="G156" s="259"/>
      <c r="H156" s="260"/>
    </row>
    <row r="169" spans="2:8" ht="15.6" x14ac:dyDescent="0.25">
      <c r="B169" s="566" t="s">
        <v>320</v>
      </c>
      <c r="C169" s="567"/>
      <c r="D169" s="567"/>
      <c r="E169" s="567"/>
      <c r="F169" s="567"/>
      <c r="G169" s="567"/>
      <c r="H169" s="568"/>
    </row>
    <row r="170" spans="2:8" x14ac:dyDescent="0.25">
      <c r="B170" s="569" t="str">
        <f>+PRESUPUESTO!B1</f>
        <v>MANTENIMIENTO Y ADECUACIÓN DE INSTITUCIONES EDUCATIVAS OFICIALES, DEL MUNICIPIO DE LA APARTADA CORDOBA.</v>
      </c>
      <c r="C170" s="570"/>
      <c r="D170" s="570"/>
      <c r="E170" s="570"/>
      <c r="F170" s="570"/>
      <c r="G170" s="570"/>
      <c r="H170" s="571"/>
    </row>
    <row r="171" spans="2:8" x14ac:dyDescent="0.25">
      <c r="B171" s="572"/>
      <c r="C171" s="573"/>
      <c r="D171" s="573"/>
      <c r="E171" s="573"/>
      <c r="F171" s="573"/>
      <c r="G171" s="573"/>
      <c r="H171" s="574"/>
    </row>
    <row r="172" spans="2:8" x14ac:dyDescent="0.25">
      <c r="B172" s="575"/>
      <c r="C172" s="576"/>
      <c r="D172" s="576"/>
      <c r="E172" s="576"/>
      <c r="F172" s="576"/>
      <c r="G172" s="576"/>
      <c r="H172" s="577"/>
    </row>
    <row r="173" spans="2:8" x14ac:dyDescent="0.25">
      <c r="B173" s="578" t="str">
        <f>+PRESUPUESTO!C37</f>
        <v xml:space="preserve">S/I DE CIELO RASO EN LAMINA PVC, EN COMEDOR Y AULAS </v>
      </c>
      <c r="C173" s="579"/>
      <c r="D173" s="579"/>
      <c r="E173" s="579"/>
      <c r="F173" s="580"/>
      <c r="G173" s="587" t="s">
        <v>606</v>
      </c>
      <c r="H173" s="588"/>
    </row>
    <row r="174" spans="2:8" x14ac:dyDescent="0.25">
      <c r="B174" s="581"/>
      <c r="C174" s="582"/>
      <c r="D174" s="582"/>
      <c r="E174" s="582"/>
      <c r="F174" s="583"/>
      <c r="G174" s="589"/>
      <c r="H174" s="590"/>
    </row>
    <row r="175" spans="2:8" x14ac:dyDescent="0.25">
      <c r="B175" s="584"/>
      <c r="C175" s="585"/>
      <c r="D175" s="585"/>
      <c r="E175" s="585"/>
      <c r="F175" s="586"/>
      <c r="G175" s="591"/>
      <c r="H175" s="592"/>
    </row>
    <row r="176" spans="2:8" x14ac:dyDescent="0.25">
      <c r="B176" s="518" t="s">
        <v>0</v>
      </c>
      <c r="C176" s="515">
        <f>+PRESUPUESTO!B37</f>
        <v>4.4000000000000004</v>
      </c>
      <c r="D176" s="516"/>
      <c r="E176" s="516"/>
      <c r="F176" s="516"/>
      <c r="G176" s="516"/>
      <c r="H176" s="517"/>
    </row>
    <row r="177" spans="2:8" x14ac:dyDescent="0.25">
      <c r="B177" s="214" t="s">
        <v>19</v>
      </c>
      <c r="C177" s="266"/>
      <c r="D177" s="266"/>
      <c r="E177" s="266"/>
      <c r="F177" s="296"/>
      <c r="G177" s="266"/>
      <c r="H177" s="216"/>
    </row>
    <row r="178" spans="2:8" x14ac:dyDescent="0.25">
      <c r="B178" s="560" t="s">
        <v>20</v>
      </c>
      <c r="C178" s="561"/>
      <c r="D178" s="297" t="s">
        <v>21</v>
      </c>
      <c r="E178" s="297" t="s">
        <v>22</v>
      </c>
      <c r="F178" s="298" t="s">
        <v>23</v>
      </c>
      <c r="G178" s="299" t="s">
        <v>24</v>
      </c>
      <c r="H178" s="300" t="s">
        <v>482</v>
      </c>
    </row>
    <row r="179" spans="2:8" x14ac:dyDescent="0.25">
      <c r="B179" s="562" t="s">
        <v>8</v>
      </c>
      <c r="C179" s="563"/>
      <c r="D179" s="301"/>
      <c r="E179" s="302"/>
      <c r="F179" s="303">
        <v>0.1</v>
      </c>
      <c r="G179" s="287">
        <f>+H207</f>
        <v>17397.575714999999</v>
      </c>
      <c r="H179" s="304">
        <f>+F179*G179</f>
        <v>1739.7575715</v>
      </c>
    </row>
    <row r="180" spans="2:8" x14ac:dyDescent="0.25">
      <c r="B180" s="460" t="s">
        <v>632</v>
      </c>
      <c r="C180" s="461"/>
      <c r="D180" s="301"/>
      <c r="E180" s="427">
        <v>4200</v>
      </c>
      <c r="F180" s="289">
        <v>5</v>
      </c>
      <c r="G180" s="287">
        <f>+E180/F180</f>
        <v>840</v>
      </c>
      <c r="H180" s="304">
        <f>+G180</f>
        <v>840</v>
      </c>
    </row>
    <row r="181" spans="2:8" x14ac:dyDescent="0.25">
      <c r="B181" s="460" t="s">
        <v>633</v>
      </c>
      <c r="C181" s="461"/>
      <c r="D181" s="301"/>
      <c r="E181" s="427">
        <v>4600</v>
      </c>
      <c r="F181" s="289">
        <v>5</v>
      </c>
      <c r="G181" s="287">
        <f>+E181/F181</f>
        <v>920</v>
      </c>
      <c r="H181" s="304">
        <f>+G181</f>
        <v>920</v>
      </c>
    </row>
    <row r="182" spans="2:8" x14ac:dyDescent="0.25">
      <c r="B182" s="305"/>
      <c r="C182" s="266"/>
      <c r="D182" s="266"/>
      <c r="E182" s="266"/>
      <c r="F182" s="296"/>
      <c r="G182" s="306" t="s">
        <v>25</v>
      </c>
      <c r="H182" s="307">
        <f>SUM(H179:H181)</f>
        <v>3499.7575715000003</v>
      </c>
    </row>
    <row r="183" spans="2:8" x14ac:dyDescent="0.25">
      <c r="B183" s="214" t="s">
        <v>26</v>
      </c>
      <c r="C183" s="266"/>
      <c r="D183" s="266"/>
      <c r="E183" s="266"/>
      <c r="F183" s="308"/>
      <c r="G183" s="308"/>
      <c r="H183" s="309"/>
    </row>
    <row r="184" spans="2:8" x14ac:dyDescent="0.25">
      <c r="B184" s="560" t="s">
        <v>20</v>
      </c>
      <c r="C184" s="561"/>
      <c r="D184" s="297" t="s">
        <v>27</v>
      </c>
      <c r="E184" s="297" t="s">
        <v>28</v>
      </c>
      <c r="F184" s="298" t="s">
        <v>29</v>
      </c>
      <c r="G184" s="299" t="s">
        <v>24</v>
      </c>
      <c r="H184" s="310" t="s">
        <v>482</v>
      </c>
    </row>
    <row r="185" spans="2:8" x14ac:dyDescent="0.25">
      <c r="B185" s="554"/>
      <c r="C185" s="555"/>
      <c r="D185" s="271" t="str">
        <f>+IF(B185=0,"",(VLOOKUP(B185,[7]MATERIALES!$B$6:$D$149,3,FALSE)))</f>
        <v/>
      </c>
      <c r="E185" s="272"/>
      <c r="F185" s="273"/>
      <c r="G185" s="274">
        <f t="shared" ref="G185:G194" si="0">E185*F185</f>
        <v>0</v>
      </c>
      <c r="H185" s="275">
        <f>G185</f>
        <v>0</v>
      </c>
    </row>
    <row r="186" spans="2:8" x14ac:dyDescent="0.25">
      <c r="B186" s="556" t="s">
        <v>634</v>
      </c>
      <c r="C186" s="557"/>
      <c r="D186" s="462" t="s">
        <v>1</v>
      </c>
      <c r="E186" s="427">
        <v>3650</v>
      </c>
      <c r="F186" s="463">
        <v>0.35</v>
      </c>
      <c r="G186" s="274">
        <f t="shared" si="0"/>
        <v>1277.5</v>
      </c>
      <c r="H186" s="275">
        <f t="shared" ref="H186:H192" si="1">G186</f>
        <v>1277.5</v>
      </c>
    </row>
    <row r="187" spans="2:8" x14ac:dyDescent="0.25">
      <c r="B187" s="556" t="s">
        <v>635</v>
      </c>
      <c r="C187" s="557"/>
      <c r="D187" s="462" t="s">
        <v>1</v>
      </c>
      <c r="E187" s="427">
        <v>500</v>
      </c>
      <c r="F187" s="463">
        <v>5</v>
      </c>
      <c r="G187" s="274">
        <f t="shared" si="0"/>
        <v>2500</v>
      </c>
      <c r="H187" s="275">
        <f t="shared" si="1"/>
        <v>2500</v>
      </c>
    </row>
    <row r="188" spans="2:8" x14ac:dyDescent="0.25">
      <c r="B188" s="564" t="s">
        <v>636</v>
      </c>
      <c r="C188" s="565"/>
      <c r="D188" s="462" t="s">
        <v>1</v>
      </c>
      <c r="E188" s="427">
        <v>5200</v>
      </c>
      <c r="F188" s="463">
        <v>1.8</v>
      </c>
      <c r="G188" s="274">
        <f t="shared" si="0"/>
        <v>9360</v>
      </c>
      <c r="H188" s="275">
        <f t="shared" si="1"/>
        <v>9360</v>
      </c>
    </row>
    <row r="189" spans="2:8" x14ac:dyDescent="0.25">
      <c r="B189" s="410" t="s">
        <v>637</v>
      </c>
      <c r="C189" s="464"/>
      <c r="D189" s="462" t="s">
        <v>332</v>
      </c>
      <c r="E189" s="427">
        <v>15600</v>
      </c>
      <c r="F189" s="463">
        <v>7.0000000000000007E-2</v>
      </c>
      <c r="G189" s="274">
        <f t="shared" si="0"/>
        <v>1092</v>
      </c>
      <c r="H189" s="275">
        <f t="shared" si="1"/>
        <v>1092</v>
      </c>
    </row>
    <row r="190" spans="2:8" x14ac:dyDescent="0.25">
      <c r="B190" s="410" t="s">
        <v>638</v>
      </c>
      <c r="C190" s="464"/>
      <c r="D190" s="462" t="s">
        <v>1</v>
      </c>
      <c r="E190" s="427">
        <v>7900</v>
      </c>
      <c r="F190" s="463">
        <v>0.35</v>
      </c>
      <c r="G190" s="274">
        <f t="shared" si="0"/>
        <v>2765</v>
      </c>
      <c r="H190" s="275">
        <f t="shared" si="1"/>
        <v>2765</v>
      </c>
    </row>
    <row r="191" spans="2:8" x14ac:dyDescent="0.25">
      <c r="B191" s="556" t="s">
        <v>639</v>
      </c>
      <c r="C191" s="557"/>
      <c r="D191" s="462" t="s">
        <v>1</v>
      </c>
      <c r="E191" s="427">
        <f>(79692)/4</f>
        <v>19923</v>
      </c>
      <c r="F191" s="463">
        <v>1.2</v>
      </c>
      <c r="G191" s="274">
        <f t="shared" si="0"/>
        <v>23907.599999999999</v>
      </c>
      <c r="H191" s="275">
        <f t="shared" si="1"/>
        <v>23907.599999999999</v>
      </c>
    </row>
    <row r="192" spans="2:8" x14ac:dyDescent="0.25">
      <c r="B192" s="558" t="s">
        <v>640</v>
      </c>
      <c r="C192" s="559"/>
      <c r="D192" s="462" t="s">
        <v>1</v>
      </c>
      <c r="E192" s="427">
        <v>200</v>
      </c>
      <c r="F192" s="463">
        <v>20</v>
      </c>
      <c r="G192" s="274">
        <f t="shared" si="0"/>
        <v>4000</v>
      </c>
      <c r="H192" s="275">
        <f t="shared" si="1"/>
        <v>4000</v>
      </c>
    </row>
    <row r="193" spans="2:8" x14ac:dyDescent="0.25">
      <c r="B193" s="408"/>
      <c r="C193" s="409"/>
      <c r="D193" s="271"/>
      <c r="E193" s="272"/>
      <c r="F193" s="273"/>
      <c r="G193" s="274"/>
      <c r="H193" s="275"/>
    </row>
    <row r="194" spans="2:8" x14ac:dyDescent="0.25">
      <c r="B194" s="596" t="s">
        <v>605</v>
      </c>
      <c r="C194" s="597"/>
      <c r="D194" s="271" t="s">
        <v>501</v>
      </c>
      <c r="E194" s="272">
        <f>+SUM(G186:G193)</f>
        <v>44902.1</v>
      </c>
      <c r="F194" s="276">
        <v>0.05</v>
      </c>
      <c r="G194" s="274">
        <f t="shared" si="0"/>
        <v>2245.105</v>
      </c>
      <c r="H194" s="275">
        <f>G194</f>
        <v>2245.105</v>
      </c>
    </row>
    <row r="195" spans="2:8" x14ac:dyDescent="0.25">
      <c r="B195" s="596"/>
      <c r="C195" s="597"/>
      <c r="D195" s="285"/>
      <c r="E195" s="286"/>
      <c r="F195" s="289"/>
      <c r="G195" s="287"/>
      <c r="H195" s="288"/>
    </row>
    <row r="196" spans="2:8" x14ac:dyDescent="0.25">
      <c r="B196" s="305"/>
      <c r="C196" s="266"/>
      <c r="D196" s="266"/>
      <c r="E196" s="266"/>
      <c r="F196" s="308"/>
      <c r="G196" s="306" t="s">
        <v>25</v>
      </c>
      <c r="H196" s="312">
        <f>SUM(H185:H195)</f>
        <v>47147.205000000002</v>
      </c>
    </row>
    <row r="197" spans="2:8" x14ac:dyDescent="0.25">
      <c r="B197" s="214" t="s">
        <v>30</v>
      </c>
      <c r="C197" s="266"/>
      <c r="D197" s="266"/>
      <c r="E197" s="266"/>
      <c r="F197" s="308"/>
      <c r="G197" s="308"/>
      <c r="H197" s="304"/>
    </row>
    <row r="198" spans="2:8" x14ac:dyDescent="0.25">
      <c r="B198" s="560" t="s">
        <v>20</v>
      </c>
      <c r="C198" s="561"/>
      <c r="D198" s="297" t="s">
        <v>21</v>
      </c>
      <c r="E198" s="297" t="s">
        <v>127</v>
      </c>
      <c r="F198" s="298" t="s">
        <v>642</v>
      </c>
      <c r="G198" s="297" t="s">
        <v>24</v>
      </c>
      <c r="H198" s="313" t="s">
        <v>481</v>
      </c>
    </row>
    <row r="199" spans="2:8" x14ac:dyDescent="0.25">
      <c r="B199" s="598" t="s">
        <v>641</v>
      </c>
      <c r="C199" s="599"/>
      <c r="D199" s="314" t="s">
        <v>600</v>
      </c>
      <c r="E199" s="315">
        <v>6</v>
      </c>
      <c r="F199" s="274">
        <v>1500</v>
      </c>
      <c r="G199" s="274">
        <f>+E199*F199</f>
        <v>9000</v>
      </c>
      <c r="H199" s="304">
        <f>+G199</f>
        <v>9000</v>
      </c>
    </row>
    <row r="200" spans="2:8" x14ac:dyDescent="0.25">
      <c r="B200" s="598"/>
      <c r="C200" s="599"/>
      <c r="D200" s="314"/>
      <c r="E200" s="316"/>
      <c r="F200" s="317"/>
      <c r="G200" s="316"/>
      <c r="H200" s="318"/>
    </row>
    <row r="201" spans="2:8" x14ac:dyDescent="0.25">
      <c r="B201" s="305"/>
      <c r="C201" s="266"/>
      <c r="D201" s="266"/>
      <c r="E201" s="266"/>
      <c r="F201" s="296"/>
      <c r="G201" s="306" t="s">
        <v>25</v>
      </c>
      <c r="H201" s="319">
        <f>SUM(H199:H200)</f>
        <v>9000</v>
      </c>
    </row>
    <row r="202" spans="2:8" x14ac:dyDescent="0.25">
      <c r="B202" s="214" t="s">
        <v>34</v>
      </c>
      <c r="C202" s="266"/>
      <c r="D202" s="266"/>
      <c r="E202" s="266"/>
      <c r="F202" s="296"/>
      <c r="G202" s="308"/>
      <c r="H202" s="320"/>
    </row>
    <row r="203" spans="2:8" x14ac:dyDescent="0.25">
      <c r="B203" s="321" t="s">
        <v>35</v>
      </c>
      <c r="C203" s="321" t="s">
        <v>29</v>
      </c>
      <c r="D203" s="321" t="s">
        <v>36</v>
      </c>
      <c r="E203" s="321" t="s">
        <v>37</v>
      </c>
      <c r="F203" s="322" t="s">
        <v>38</v>
      </c>
      <c r="G203" s="323" t="s">
        <v>23</v>
      </c>
      <c r="H203" s="324" t="s">
        <v>24</v>
      </c>
    </row>
    <row r="204" spans="2:8" x14ac:dyDescent="0.25">
      <c r="B204" s="288" t="s">
        <v>39</v>
      </c>
      <c r="C204" s="316">
        <v>1</v>
      </c>
      <c r="D204" s="325">
        <f>+'2. APU INST INDAPAZ 24 NOV'!D552</f>
        <v>93381.6</v>
      </c>
      <c r="E204" s="326">
        <v>1.8344</v>
      </c>
      <c r="F204" s="327">
        <f>+D204*C204*E204</f>
        <v>171299.20704000001</v>
      </c>
      <c r="G204" s="316">
        <v>16</v>
      </c>
      <c r="H204" s="274">
        <f>F204/G204</f>
        <v>10706.200440000001</v>
      </c>
    </row>
    <row r="205" spans="2:8" x14ac:dyDescent="0.25">
      <c r="B205" s="288" t="s">
        <v>496</v>
      </c>
      <c r="C205" s="316">
        <v>1</v>
      </c>
      <c r="D205" s="325">
        <f>+'2. APU INST INDAPAZ 24 NOV'!D553</f>
        <v>58363.5</v>
      </c>
      <c r="E205" s="326">
        <v>1.8344</v>
      </c>
      <c r="F205" s="327">
        <f>+D205*C205*E205</f>
        <v>107062.00440000001</v>
      </c>
      <c r="G205" s="316">
        <v>16</v>
      </c>
      <c r="H205" s="274">
        <f>+F205/G205</f>
        <v>6691.3752750000003</v>
      </c>
    </row>
    <row r="206" spans="2:8" x14ac:dyDescent="0.25">
      <c r="B206" s="288"/>
      <c r="C206" s="288"/>
      <c r="D206" s="317"/>
      <c r="E206" s="288"/>
      <c r="F206" s="317"/>
      <c r="G206" s="288"/>
      <c r="H206" s="327"/>
    </row>
    <row r="207" spans="2:8" x14ac:dyDescent="0.25">
      <c r="B207" s="305"/>
      <c r="C207" s="266"/>
      <c r="D207" s="266"/>
      <c r="E207" s="266"/>
      <c r="F207" s="296"/>
      <c r="G207" s="306" t="s">
        <v>25</v>
      </c>
      <c r="H207" s="328">
        <f>+SUM(H204:H206)</f>
        <v>17397.575714999999</v>
      </c>
    </row>
    <row r="208" spans="2:8" x14ac:dyDescent="0.25">
      <c r="B208" s="305"/>
      <c r="C208" s="266"/>
      <c r="D208" s="266"/>
      <c r="E208" s="266"/>
      <c r="F208" s="296"/>
      <c r="G208" s="449"/>
      <c r="H208" s="320"/>
    </row>
    <row r="209" spans="2:8" ht="15.6" x14ac:dyDescent="0.25">
      <c r="B209" s="258"/>
      <c r="C209" s="479" t="s">
        <v>645</v>
      </c>
      <c r="D209" s="477"/>
      <c r="E209" s="477"/>
      <c r="F209" s="477"/>
      <c r="G209" s="469" t="s">
        <v>41</v>
      </c>
      <c r="H209" s="254">
        <f>+H182+H196+H201+H207</f>
        <v>77044.538286499999</v>
      </c>
    </row>
    <row r="210" spans="2:8" ht="15.6" x14ac:dyDescent="0.25">
      <c r="B210" s="258"/>
      <c r="C210" s="479"/>
      <c r="D210" s="477"/>
      <c r="E210" s="477"/>
      <c r="F210" s="477"/>
      <c r="G210" s="255"/>
      <c r="H210" s="465"/>
    </row>
    <row r="211" spans="2:8" ht="15.6" x14ac:dyDescent="0.25">
      <c r="B211" s="258"/>
      <c r="C211" s="479"/>
      <c r="D211" s="477"/>
      <c r="E211" s="477"/>
      <c r="F211" s="477"/>
      <c r="G211" s="255"/>
      <c r="H211" s="465"/>
    </row>
    <row r="212" spans="2:8" ht="15.6" x14ac:dyDescent="0.25">
      <c r="B212" s="258"/>
      <c r="C212" s="475" t="s">
        <v>643</v>
      </c>
      <c r="D212" s="474"/>
      <c r="E212" s="477"/>
      <c r="F212" s="477"/>
      <c r="G212" s="255"/>
      <c r="H212" s="465"/>
    </row>
    <row r="213" spans="2:8" ht="15" x14ac:dyDescent="0.25">
      <c r="B213" s="262"/>
      <c r="C213" s="200" t="s">
        <v>590</v>
      </c>
      <c r="D213" s="474"/>
      <c r="E213" s="478"/>
      <c r="F213" s="478"/>
      <c r="G213" s="255"/>
      <c r="H213" s="465"/>
    </row>
    <row r="214" spans="2:8" ht="15" x14ac:dyDescent="0.25">
      <c r="B214" s="264"/>
      <c r="C214" s="261" t="s">
        <v>591</v>
      </c>
      <c r="D214" s="474"/>
      <c r="E214" s="478"/>
      <c r="F214" s="478"/>
      <c r="G214" s="255"/>
      <c r="H214" s="465"/>
    </row>
    <row r="215" spans="2:8" ht="15" x14ac:dyDescent="0.25">
      <c r="B215" s="265"/>
      <c r="C215" s="261" t="s">
        <v>644</v>
      </c>
      <c r="D215" s="474"/>
      <c r="E215" s="478"/>
      <c r="F215" s="478"/>
      <c r="G215" s="255"/>
      <c r="H215" s="465"/>
    </row>
    <row r="216" spans="2:8" x14ac:dyDescent="0.25">
      <c r="B216" s="258"/>
      <c r="H216" s="465"/>
    </row>
    <row r="217" spans="2:8" x14ac:dyDescent="0.25">
      <c r="B217" s="466"/>
      <c r="C217" s="467"/>
      <c r="D217" s="467"/>
      <c r="E217" s="467"/>
      <c r="F217" s="467"/>
      <c r="G217" s="467"/>
      <c r="H217" s="468"/>
    </row>
    <row r="222" spans="2:8" ht="15.6" x14ac:dyDescent="0.25">
      <c r="B222" s="566" t="s">
        <v>320</v>
      </c>
      <c r="C222" s="567"/>
      <c r="D222" s="567"/>
      <c r="E222" s="567"/>
      <c r="F222" s="567"/>
      <c r="G222" s="567"/>
      <c r="H222" s="568"/>
    </row>
    <row r="223" spans="2:8" x14ac:dyDescent="0.25">
      <c r="B223" s="569" t="str">
        <f>+PRESUPUESTO!B1</f>
        <v>MANTENIMIENTO Y ADECUACIÓN DE INSTITUCIONES EDUCATIVAS OFICIALES, DEL MUNICIPIO DE LA APARTADA CORDOBA.</v>
      </c>
      <c r="C223" s="570"/>
      <c r="D223" s="570"/>
      <c r="E223" s="570"/>
      <c r="F223" s="570"/>
      <c r="G223" s="570"/>
      <c r="H223" s="571"/>
    </row>
    <row r="224" spans="2:8" x14ac:dyDescent="0.25">
      <c r="B224" s="572"/>
      <c r="C224" s="573"/>
      <c r="D224" s="573"/>
      <c r="E224" s="573"/>
      <c r="F224" s="573"/>
      <c r="G224" s="573"/>
      <c r="H224" s="574"/>
    </row>
    <row r="225" spans="2:10" x14ac:dyDescent="0.25">
      <c r="B225" s="575"/>
      <c r="C225" s="576"/>
      <c r="D225" s="576"/>
      <c r="E225" s="576"/>
      <c r="F225" s="576"/>
      <c r="G225" s="576"/>
      <c r="H225" s="577"/>
    </row>
    <row r="226" spans="2:10" x14ac:dyDescent="0.25">
      <c r="B226" s="578" t="str">
        <f>+PRESUPUESTO!C38</f>
        <v>PINTURA PARA MUROS INTERIORES LAVABLE</v>
      </c>
      <c r="C226" s="579"/>
      <c r="D226" s="579"/>
      <c r="E226" s="579"/>
      <c r="F226" s="580"/>
      <c r="G226" s="587" t="s">
        <v>606</v>
      </c>
      <c r="H226" s="588"/>
    </row>
    <row r="227" spans="2:10" x14ac:dyDescent="0.25">
      <c r="B227" s="581"/>
      <c r="C227" s="582"/>
      <c r="D227" s="582"/>
      <c r="E227" s="582"/>
      <c r="F227" s="583"/>
      <c r="G227" s="589"/>
      <c r="H227" s="590"/>
    </row>
    <row r="228" spans="2:10" x14ac:dyDescent="0.25">
      <c r="B228" s="584"/>
      <c r="C228" s="585"/>
      <c r="D228" s="585"/>
      <c r="E228" s="585"/>
      <c r="F228" s="586"/>
      <c r="G228" s="591"/>
      <c r="H228" s="592"/>
    </row>
    <row r="229" spans="2:10" x14ac:dyDescent="0.25">
      <c r="B229" s="518" t="s">
        <v>0</v>
      </c>
      <c r="C229" s="515">
        <f>+PRESUPUESTO!B38</f>
        <v>4.5</v>
      </c>
      <c r="D229" s="516"/>
      <c r="E229" s="516"/>
      <c r="F229" s="516"/>
      <c r="G229" s="516"/>
      <c r="H229" s="517"/>
    </row>
    <row r="230" spans="2:10" x14ac:dyDescent="0.25">
      <c r="B230" s="214" t="s">
        <v>19</v>
      </c>
      <c r="C230" s="266"/>
      <c r="D230" s="266"/>
      <c r="E230" s="266"/>
      <c r="F230" s="296"/>
      <c r="G230" s="266"/>
      <c r="H230" s="216"/>
    </row>
    <row r="231" spans="2:10" x14ac:dyDescent="0.25">
      <c r="B231" s="602" t="s">
        <v>20</v>
      </c>
      <c r="C231" s="602"/>
      <c r="D231" s="297" t="s">
        <v>21</v>
      </c>
      <c r="E231" s="297" t="s">
        <v>22</v>
      </c>
      <c r="F231" s="298" t="s">
        <v>23</v>
      </c>
      <c r="G231" s="299" t="s">
        <v>24</v>
      </c>
      <c r="H231" s="300" t="s">
        <v>482</v>
      </c>
    </row>
    <row r="232" spans="2:10" x14ac:dyDescent="0.25">
      <c r="B232" s="605" t="s">
        <v>8</v>
      </c>
      <c r="C232" s="605"/>
      <c r="D232" s="301"/>
      <c r="E232" s="302"/>
      <c r="F232" s="303">
        <v>0.1</v>
      </c>
      <c r="G232" s="287">
        <f>+H252</f>
        <v>2783.6121143999999</v>
      </c>
      <c r="H232" s="304">
        <f>+F232*G232</f>
        <v>278.36121143999998</v>
      </c>
    </row>
    <row r="233" spans="2:10" x14ac:dyDescent="0.25">
      <c r="B233" s="604"/>
      <c r="C233" s="595"/>
      <c r="D233" s="301"/>
      <c r="E233" s="302"/>
      <c r="F233" s="289"/>
      <c r="G233" s="287"/>
      <c r="H233" s="304"/>
    </row>
    <row r="234" spans="2:10" x14ac:dyDescent="0.25">
      <c r="B234" s="605"/>
      <c r="C234" s="605"/>
      <c r="D234" s="301"/>
      <c r="E234" s="302"/>
      <c r="F234" s="289"/>
      <c r="G234" s="287"/>
      <c r="H234" s="304"/>
    </row>
    <row r="235" spans="2:10" x14ac:dyDescent="0.25">
      <c r="B235" s="305"/>
      <c r="C235" s="266"/>
      <c r="D235" s="266"/>
      <c r="E235" s="266"/>
      <c r="F235" s="296"/>
      <c r="G235" s="306" t="s">
        <v>25</v>
      </c>
      <c r="H235" s="307">
        <f>SUM(H232:H234)</f>
        <v>278.36121143999998</v>
      </c>
    </row>
    <row r="236" spans="2:10" x14ac:dyDescent="0.25">
      <c r="B236" s="214" t="s">
        <v>26</v>
      </c>
      <c r="C236" s="266"/>
      <c r="D236" s="266"/>
      <c r="E236" s="266"/>
      <c r="F236" s="308"/>
      <c r="G236" s="308"/>
      <c r="H236" s="309"/>
    </row>
    <row r="237" spans="2:10" x14ac:dyDescent="0.25">
      <c r="B237" s="602" t="s">
        <v>20</v>
      </c>
      <c r="C237" s="602"/>
      <c r="D237" s="297" t="s">
        <v>27</v>
      </c>
      <c r="E237" s="297" t="s">
        <v>28</v>
      </c>
      <c r="F237" s="298" t="s">
        <v>29</v>
      </c>
      <c r="G237" s="299" t="s">
        <v>24</v>
      </c>
      <c r="H237" s="310" t="s">
        <v>482</v>
      </c>
    </row>
    <row r="238" spans="2:10" x14ac:dyDescent="0.25">
      <c r="B238" s="606" t="s">
        <v>353</v>
      </c>
      <c r="C238" s="606"/>
      <c r="D238" s="271" t="str">
        <f>+IF(B238=0,"",(VLOOKUP(B238,[7]MATERIALES!$B$6:$D$149,3,FALSE)))</f>
        <v>Galón</v>
      </c>
      <c r="E238" s="272">
        <v>93900</v>
      </c>
      <c r="F238" s="273">
        <v>8.3333333333333301E-2</v>
      </c>
      <c r="G238" s="274">
        <f>E238*F238</f>
        <v>7824.9999999999973</v>
      </c>
      <c r="H238" s="275">
        <f>G238</f>
        <v>7824.9999999999973</v>
      </c>
      <c r="J238" s="482"/>
    </row>
    <row r="239" spans="2:10" x14ac:dyDescent="0.25">
      <c r="B239" s="595"/>
      <c r="C239" s="595"/>
      <c r="D239" s="271"/>
      <c r="E239" s="272"/>
      <c r="F239" s="273"/>
      <c r="G239" s="274">
        <f>E239*F239</f>
        <v>0</v>
      </c>
      <c r="H239" s="275">
        <f>G239</f>
        <v>0</v>
      </c>
    </row>
    <row r="240" spans="2:10" x14ac:dyDescent="0.25">
      <c r="B240" s="595" t="s">
        <v>628</v>
      </c>
      <c r="C240" s="595"/>
      <c r="D240" s="285" t="s">
        <v>72</v>
      </c>
      <c r="E240" s="286">
        <v>7500</v>
      </c>
      <c r="F240" s="289">
        <v>0.05</v>
      </c>
      <c r="G240" s="274">
        <f>E240*F240</f>
        <v>375</v>
      </c>
      <c r="H240" s="275">
        <f>G240</f>
        <v>375</v>
      </c>
    </row>
    <row r="241" spans="2:10" x14ac:dyDescent="0.25">
      <c r="B241" s="305"/>
      <c r="C241" s="266"/>
      <c r="D241" s="266"/>
      <c r="E241" s="266"/>
      <c r="F241" s="308"/>
      <c r="G241" s="306" t="s">
        <v>25</v>
      </c>
      <c r="H241" s="312">
        <f>SUM(H238:H240)</f>
        <v>8199.9999999999964</v>
      </c>
    </row>
    <row r="242" spans="2:10" x14ac:dyDescent="0.25">
      <c r="B242" s="214" t="s">
        <v>30</v>
      </c>
      <c r="C242" s="266"/>
      <c r="D242" s="266"/>
      <c r="E242" s="266"/>
      <c r="F242" s="308"/>
      <c r="G242" s="308"/>
      <c r="H242" s="304"/>
    </row>
    <row r="243" spans="2:10" x14ac:dyDescent="0.25">
      <c r="B243" s="602" t="s">
        <v>20</v>
      </c>
      <c r="C243" s="602"/>
      <c r="D243" s="297" t="s">
        <v>21</v>
      </c>
      <c r="E243" s="297" t="s">
        <v>127</v>
      </c>
      <c r="F243" s="298" t="s">
        <v>32</v>
      </c>
      <c r="G243" s="297" t="s">
        <v>24</v>
      </c>
      <c r="H243" s="313" t="s">
        <v>481</v>
      </c>
    </row>
    <row r="244" spans="2:10" x14ac:dyDescent="0.25">
      <c r="B244" s="603"/>
      <c r="C244" s="603"/>
      <c r="D244" s="314"/>
      <c r="E244" s="315"/>
      <c r="F244" s="274"/>
      <c r="G244" s="274"/>
      <c r="H244" s="304"/>
    </row>
    <row r="245" spans="2:10" x14ac:dyDescent="0.25">
      <c r="B245" s="603"/>
      <c r="C245" s="603"/>
      <c r="D245" s="314"/>
      <c r="E245" s="316"/>
      <c r="F245" s="317"/>
      <c r="G245" s="316"/>
      <c r="H245" s="318"/>
    </row>
    <row r="246" spans="2:10" x14ac:dyDescent="0.25">
      <c r="B246" s="305"/>
      <c r="C246" s="266"/>
      <c r="D246" s="266"/>
      <c r="E246" s="266"/>
      <c r="F246" s="296"/>
      <c r="G246" s="306" t="s">
        <v>25</v>
      </c>
      <c r="H246" s="319">
        <f>SUM(H244:H245)</f>
        <v>0</v>
      </c>
    </row>
    <row r="247" spans="2:10" x14ac:dyDescent="0.25">
      <c r="B247" s="214" t="s">
        <v>34</v>
      </c>
      <c r="C247" s="266"/>
      <c r="D247" s="266"/>
      <c r="E247" s="266"/>
      <c r="F247" s="296"/>
      <c r="G247" s="308"/>
      <c r="H247" s="320"/>
    </row>
    <row r="248" spans="2:10" x14ac:dyDescent="0.25">
      <c r="B248" s="321" t="s">
        <v>35</v>
      </c>
      <c r="C248" s="321" t="s">
        <v>29</v>
      </c>
      <c r="D248" s="321" t="s">
        <v>36</v>
      </c>
      <c r="E248" s="321" t="s">
        <v>37</v>
      </c>
      <c r="F248" s="322" t="s">
        <v>38</v>
      </c>
      <c r="G248" s="323" t="s">
        <v>23</v>
      </c>
      <c r="H248" s="324" t="s">
        <v>24</v>
      </c>
      <c r="J248" s="483"/>
    </row>
    <row r="249" spans="2:10" x14ac:dyDescent="0.25">
      <c r="B249" s="288" t="s">
        <v>39</v>
      </c>
      <c r="C249" s="316">
        <v>1</v>
      </c>
      <c r="D249" s="325">
        <f>+'1. APU INST LA BALSA'!D35</f>
        <v>93381.6</v>
      </c>
      <c r="E249" s="326">
        <v>1.8344</v>
      </c>
      <c r="F249" s="327">
        <f>+D249*C249*E249</f>
        <v>171299.20704000001</v>
      </c>
      <c r="G249" s="316">
        <v>100</v>
      </c>
      <c r="H249" s="274">
        <f>F249/G249</f>
        <v>1712.9920704000001</v>
      </c>
    </row>
    <row r="250" spans="2:10" x14ac:dyDescent="0.25">
      <c r="B250" s="288" t="s">
        <v>496</v>
      </c>
      <c r="C250" s="316">
        <v>1</v>
      </c>
      <c r="D250" s="325">
        <f>+'1. APU INST LA BALSA'!D36</f>
        <v>58363.5</v>
      </c>
      <c r="E250" s="326">
        <v>1.8344</v>
      </c>
      <c r="F250" s="327">
        <f>+D250*C250*E250</f>
        <v>107062.00440000001</v>
      </c>
      <c r="G250" s="316">
        <v>100</v>
      </c>
      <c r="H250" s="274">
        <f>+F250/G250</f>
        <v>1070.620044</v>
      </c>
    </row>
    <row r="251" spans="2:10" x14ac:dyDescent="0.25">
      <c r="B251" s="288"/>
      <c r="C251" s="288"/>
      <c r="D251" s="317"/>
      <c r="E251" s="288"/>
      <c r="F251" s="317"/>
      <c r="G251" s="288"/>
      <c r="H251" s="327"/>
    </row>
    <row r="252" spans="2:10" x14ac:dyDescent="0.25">
      <c r="B252" s="305"/>
      <c r="C252" s="266"/>
      <c r="D252" s="266"/>
      <c r="E252" s="266"/>
      <c r="F252" s="296"/>
      <c r="G252" s="306" t="s">
        <v>25</v>
      </c>
      <c r="H252" s="328">
        <f>+SUM(H249:H251)</f>
        <v>2783.6121143999999</v>
      </c>
    </row>
    <row r="253" spans="2:10" x14ac:dyDescent="0.25">
      <c r="B253" s="305"/>
      <c r="C253" s="266"/>
      <c r="D253" s="266"/>
      <c r="E253" s="266"/>
      <c r="F253" s="296"/>
      <c r="G253" s="449"/>
      <c r="H253" s="320"/>
    </row>
    <row r="254" spans="2:10" ht="15.6" x14ac:dyDescent="0.25">
      <c r="B254" s="258"/>
      <c r="C254" s="479" t="s">
        <v>645</v>
      </c>
      <c r="D254" s="477"/>
      <c r="E254" s="477"/>
      <c r="F254" s="477"/>
      <c r="G254" s="469" t="s">
        <v>41</v>
      </c>
      <c r="H254" s="254">
        <f>+H235+H241+H246+H252</f>
        <v>11261.973325839997</v>
      </c>
    </row>
    <row r="255" spans="2:10" ht="15.6" x14ac:dyDescent="0.25">
      <c r="B255" s="258"/>
      <c r="C255" s="479"/>
      <c r="D255" s="477"/>
      <c r="E255" s="477"/>
      <c r="F255" s="477"/>
      <c r="G255" s="255"/>
      <c r="H255" s="219"/>
    </row>
    <row r="256" spans="2:10" ht="15.6" x14ac:dyDescent="0.25">
      <c r="B256" s="258"/>
      <c r="C256" s="479"/>
      <c r="D256" s="477"/>
      <c r="E256" s="477"/>
      <c r="F256" s="477"/>
      <c r="G256" s="255"/>
      <c r="H256" s="219"/>
    </row>
    <row r="257" spans="2:8" ht="15.6" x14ac:dyDescent="0.25">
      <c r="B257" s="258"/>
      <c r="C257" s="475" t="s">
        <v>643</v>
      </c>
      <c r="D257" s="474"/>
      <c r="E257" s="477"/>
      <c r="F257" s="477"/>
      <c r="G257" s="255"/>
      <c r="H257" s="219"/>
    </row>
    <row r="258" spans="2:8" ht="15" x14ac:dyDescent="0.25">
      <c r="B258" s="262"/>
      <c r="C258" s="200" t="s">
        <v>590</v>
      </c>
      <c r="D258" s="474"/>
      <c r="E258" s="478"/>
      <c r="F258" s="478"/>
      <c r="G258" s="255"/>
      <c r="H258" s="219"/>
    </row>
    <row r="259" spans="2:8" ht="15" x14ac:dyDescent="0.25">
      <c r="B259" s="264"/>
      <c r="C259" s="261" t="s">
        <v>591</v>
      </c>
      <c r="D259" s="474"/>
      <c r="E259" s="478"/>
      <c r="F259" s="478"/>
      <c r="G259" s="255"/>
      <c r="H259" s="219"/>
    </row>
    <row r="260" spans="2:8" ht="15" x14ac:dyDescent="0.25">
      <c r="B260" s="265"/>
      <c r="C260" s="261" t="s">
        <v>644</v>
      </c>
      <c r="D260" s="474"/>
      <c r="E260" s="478"/>
      <c r="F260" s="478"/>
      <c r="G260" s="255"/>
      <c r="H260" s="219"/>
    </row>
    <row r="261" spans="2:8" x14ac:dyDescent="0.25">
      <c r="B261" s="267"/>
      <c r="C261" s="268"/>
      <c r="D261" s="259"/>
      <c r="E261" s="259"/>
      <c r="F261" s="259"/>
      <c r="G261" s="259"/>
      <c r="H261" s="260"/>
    </row>
    <row r="273" spans="2:8" ht="15.6" x14ac:dyDescent="0.25">
      <c r="B273" s="566" t="s">
        <v>320</v>
      </c>
      <c r="C273" s="567"/>
      <c r="D273" s="567"/>
      <c r="E273" s="567"/>
      <c r="F273" s="567"/>
      <c r="G273" s="567"/>
      <c r="H273" s="568"/>
    </row>
    <row r="274" spans="2:8" x14ac:dyDescent="0.25">
      <c r="B274" s="569" t="str">
        <f>+PRESUPUESTO!B1</f>
        <v>MANTENIMIENTO Y ADECUACIÓN DE INSTITUCIONES EDUCATIVAS OFICIALES, DEL MUNICIPIO DE LA APARTADA CORDOBA.</v>
      </c>
      <c r="C274" s="570"/>
      <c r="D274" s="570"/>
      <c r="E274" s="570"/>
      <c r="F274" s="570"/>
      <c r="G274" s="570"/>
      <c r="H274" s="571"/>
    </row>
    <row r="275" spans="2:8" x14ac:dyDescent="0.25">
      <c r="B275" s="572"/>
      <c r="C275" s="573"/>
      <c r="D275" s="573"/>
      <c r="E275" s="573"/>
      <c r="F275" s="573"/>
      <c r="G275" s="573"/>
      <c r="H275" s="574"/>
    </row>
    <row r="276" spans="2:8" x14ac:dyDescent="0.25">
      <c r="B276" s="575"/>
      <c r="C276" s="576"/>
      <c r="D276" s="576"/>
      <c r="E276" s="576"/>
      <c r="F276" s="576"/>
      <c r="G276" s="576"/>
      <c r="H276" s="577"/>
    </row>
    <row r="277" spans="2:8" x14ac:dyDescent="0.25">
      <c r="B277" s="578" t="str">
        <f>+PRESUPUESTO!C39</f>
        <v>PINTURA PARA MUROS EXTERIORES TIPO KORAZA</v>
      </c>
      <c r="C277" s="579"/>
      <c r="D277" s="579"/>
      <c r="E277" s="579"/>
      <c r="F277" s="580"/>
      <c r="G277" s="587" t="s">
        <v>606</v>
      </c>
      <c r="H277" s="588"/>
    </row>
    <row r="278" spans="2:8" x14ac:dyDescent="0.25">
      <c r="B278" s="581"/>
      <c r="C278" s="582"/>
      <c r="D278" s="582"/>
      <c r="E278" s="582"/>
      <c r="F278" s="583"/>
      <c r="G278" s="589"/>
      <c r="H278" s="590"/>
    </row>
    <row r="279" spans="2:8" x14ac:dyDescent="0.25">
      <c r="B279" s="584"/>
      <c r="C279" s="585"/>
      <c r="D279" s="585"/>
      <c r="E279" s="585"/>
      <c r="F279" s="586"/>
      <c r="G279" s="591"/>
      <c r="H279" s="592"/>
    </row>
    <row r="280" spans="2:8" x14ac:dyDescent="0.25">
      <c r="B280" s="518" t="s">
        <v>0</v>
      </c>
      <c r="C280" s="515">
        <f>+PRESUPUESTO!B39</f>
        <v>4.5999999999999996</v>
      </c>
      <c r="D280" s="516"/>
      <c r="E280" s="516"/>
      <c r="F280" s="516"/>
      <c r="G280" s="516"/>
      <c r="H280" s="517"/>
    </row>
    <row r="281" spans="2:8" x14ac:dyDescent="0.25">
      <c r="B281" s="214" t="s">
        <v>19</v>
      </c>
      <c r="C281" s="266"/>
      <c r="D281" s="266"/>
      <c r="E281" s="266"/>
      <c r="F281" s="296"/>
      <c r="G281" s="266"/>
      <c r="H281" s="216"/>
    </row>
    <row r="282" spans="2:8" x14ac:dyDescent="0.25">
      <c r="B282" s="560" t="s">
        <v>20</v>
      </c>
      <c r="C282" s="561"/>
      <c r="D282" s="297" t="s">
        <v>21</v>
      </c>
      <c r="E282" s="297" t="s">
        <v>22</v>
      </c>
      <c r="F282" s="298" t="s">
        <v>23</v>
      </c>
      <c r="G282" s="299" t="s">
        <v>24</v>
      </c>
      <c r="H282" s="300" t="s">
        <v>482</v>
      </c>
    </row>
    <row r="283" spans="2:8" x14ac:dyDescent="0.25">
      <c r="B283" s="562" t="s">
        <v>8</v>
      </c>
      <c r="C283" s="563"/>
      <c r="D283" s="301"/>
      <c r="E283" s="302"/>
      <c r="F283" s="303">
        <v>0.1</v>
      </c>
      <c r="G283" s="287">
        <f>+H306</f>
        <v>6959.0302860000002</v>
      </c>
      <c r="H283" s="304">
        <f>+F283*G283</f>
        <v>695.90302860000008</v>
      </c>
    </row>
    <row r="284" spans="2:8" x14ac:dyDescent="0.25">
      <c r="B284" s="600"/>
      <c r="C284" s="601"/>
      <c r="D284" s="301"/>
      <c r="E284" s="302"/>
      <c r="F284" s="289"/>
      <c r="G284" s="287"/>
      <c r="H284" s="304"/>
    </row>
    <row r="285" spans="2:8" x14ac:dyDescent="0.25">
      <c r="B285" s="562"/>
      <c r="C285" s="563"/>
      <c r="D285" s="301"/>
      <c r="E285" s="302"/>
      <c r="F285" s="289"/>
      <c r="G285" s="287"/>
      <c r="H285" s="304"/>
    </row>
    <row r="286" spans="2:8" x14ac:dyDescent="0.25">
      <c r="B286" s="305"/>
      <c r="C286" s="266"/>
      <c r="D286" s="266"/>
      <c r="E286" s="266"/>
      <c r="F286" s="296"/>
      <c r="G286" s="306" t="s">
        <v>25</v>
      </c>
      <c r="H286" s="307">
        <f>SUM(H283:H285)</f>
        <v>695.90302860000008</v>
      </c>
    </row>
    <row r="287" spans="2:8" x14ac:dyDescent="0.25">
      <c r="B287" s="214" t="s">
        <v>26</v>
      </c>
      <c r="C287" s="266"/>
      <c r="D287" s="266"/>
      <c r="E287" s="266"/>
      <c r="F287" s="308"/>
      <c r="G287" s="308"/>
      <c r="H287" s="309"/>
    </row>
    <row r="288" spans="2:8" x14ac:dyDescent="0.25">
      <c r="B288" s="560" t="s">
        <v>20</v>
      </c>
      <c r="C288" s="561"/>
      <c r="D288" s="297" t="s">
        <v>27</v>
      </c>
      <c r="E288" s="297" t="s">
        <v>28</v>
      </c>
      <c r="F288" s="454" t="s">
        <v>29</v>
      </c>
      <c r="G288" s="299" t="s">
        <v>24</v>
      </c>
      <c r="H288" s="310" t="s">
        <v>482</v>
      </c>
    </row>
    <row r="289" spans="2:8" x14ac:dyDescent="0.25">
      <c r="B289" s="455" t="s">
        <v>629</v>
      </c>
      <c r="C289" s="456"/>
      <c r="D289" s="457" t="s">
        <v>463</v>
      </c>
      <c r="E289" s="451">
        <v>145350</v>
      </c>
      <c r="F289" s="452">
        <v>0.125</v>
      </c>
      <c r="G289" s="458">
        <f>+F289*E289</f>
        <v>18168.75</v>
      </c>
      <c r="H289" s="459">
        <f>+G289</f>
        <v>18168.75</v>
      </c>
    </row>
    <row r="290" spans="2:8" x14ac:dyDescent="0.25">
      <c r="B290" s="593" t="s">
        <v>630</v>
      </c>
      <c r="C290" s="594"/>
      <c r="D290" s="457" t="s">
        <v>499</v>
      </c>
      <c r="E290" s="451">
        <v>150</v>
      </c>
      <c r="F290" s="453">
        <v>3</v>
      </c>
      <c r="G290" s="458">
        <f>+F290*E290</f>
        <v>450</v>
      </c>
      <c r="H290" s="459">
        <f>+G290</f>
        <v>450</v>
      </c>
    </row>
    <row r="291" spans="2:8" x14ac:dyDescent="0.25">
      <c r="B291" s="595" t="s">
        <v>628</v>
      </c>
      <c r="C291" s="595"/>
      <c r="D291" s="285" t="s">
        <v>72</v>
      </c>
      <c r="E291" s="286">
        <v>7500</v>
      </c>
      <c r="F291" s="289">
        <v>0.05</v>
      </c>
      <c r="G291" s="274">
        <f>E291*F291</f>
        <v>375</v>
      </c>
      <c r="H291" s="275">
        <f>G291</f>
        <v>375</v>
      </c>
    </row>
    <row r="292" spans="2:8" x14ac:dyDescent="0.25">
      <c r="B292" s="554"/>
      <c r="C292" s="555"/>
      <c r="D292" s="271" t="str">
        <f>+IF(B292=0,"",(VLOOKUP(B292,[7]MATERIALES!$B$6:$D$149,3,FALSE)))</f>
        <v/>
      </c>
      <c r="E292" s="272"/>
      <c r="F292" s="273"/>
      <c r="G292" s="274"/>
      <c r="H292" s="459">
        <f>+G292</f>
        <v>0</v>
      </c>
    </row>
    <row r="293" spans="2:8" x14ac:dyDescent="0.25">
      <c r="B293" s="596" t="s">
        <v>631</v>
      </c>
      <c r="C293" s="597"/>
      <c r="D293" s="271" t="s">
        <v>501</v>
      </c>
      <c r="E293" s="272">
        <f>+SUM(G289:G291)</f>
        <v>18993.75</v>
      </c>
      <c r="F293" s="276">
        <v>0.05</v>
      </c>
      <c r="G293" s="274">
        <f>E293*F293</f>
        <v>949.6875</v>
      </c>
      <c r="H293" s="275">
        <f>G293</f>
        <v>949.6875</v>
      </c>
    </row>
    <row r="294" spans="2:8" x14ac:dyDescent="0.25">
      <c r="B294" s="596"/>
      <c r="C294" s="597"/>
      <c r="D294" s="285"/>
      <c r="E294" s="286"/>
      <c r="F294" s="289"/>
      <c r="G294" s="287"/>
      <c r="H294" s="288"/>
    </row>
    <row r="295" spans="2:8" x14ac:dyDescent="0.25">
      <c r="B295" s="305"/>
      <c r="C295" s="266"/>
      <c r="D295" s="266"/>
      <c r="E295" s="266"/>
      <c r="F295" s="308"/>
      <c r="G295" s="306" t="s">
        <v>25</v>
      </c>
      <c r="H295" s="312">
        <f>SUM(H289:H294)</f>
        <v>19943.4375</v>
      </c>
    </row>
    <row r="296" spans="2:8" x14ac:dyDescent="0.25">
      <c r="B296" s="214" t="s">
        <v>30</v>
      </c>
      <c r="C296" s="266"/>
      <c r="D296" s="266"/>
      <c r="E296" s="266"/>
      <c r="F296" s="308"/>
      <c r="G296" s="308"/>
      <c r="H296" s="304"/>
    </row>
    <row r="297" spans="2:8" x14ac:dyDescent="0.25">
      <c r="B297" s="560" t="s">
        <v>20</v>
      </c>
      <c r="C297" s="561"/>
      <c r="D297" s="297" t="s">
        <v>21</v>
      </c>
      <c r="E297" s="297" t="s">
        <v>127</v>
      </c>
      <c r="F297" s="298" t="s">
        <v>32</v>
      </c>
      <c r="G297" s="297" t="s">
        <v>24</v>
      </c>
      <c r="H297" s="313" t="s">
        <v>481</v>
      </c>
    </row>
    <row r="298" spans="2:8" x14ac:dyDescent="0.25">
      <c r="B298" s="598"/>
      <c r="C298" s="599"/>
      <c r="D298" s="314"/>
      <c r="E298" s="315"/>
      <c r="F298" s="274"/>
      <c r="G298" s="274"/>
      <c r="H298" s="304"/>
    </row>
    <row r="299" spans="2:8" x14ac:dyDescent="0.25">
      <c r="B299" s="598"/>
      <c r="C299" s="599"/>
      <c r="D299" s="314"/>
      <c r="E299" s="316"/>
      <c r="F299" s="317"/>
      <c r="G299" s="316"/>
      <c r="H299" s="318"/>
    </row>
    <row r="300" spans="2:8" x14ac:dyDescent="0.25">
      <c r="B300" s="305"/>
      <c r="C300" s="266"/>
      <c r="D300" s="266"/>
      <c r="E300" s="266"/>
      <c r="F300" s="296"/>
      <c r="G300" s="306" t="s">
        <v>25</v>
      </c>
      <c r="H300" s="319">
        <f>SUM(H298:H299)</f>
        <v>0</v>
      </c>
    </row>
    <row r="301" spans="2:8" x14ac:dyDescent="0.25">
      <c r="B301" s="214" t="s">
        <v>34</v>
      </c>
      <c r="C301" s="266"/>
      <c r="D301" s="266"/>
      <c r="E301" s="266"/>
      <c r="F301" s="296"/>
      <c r="G301" s="308"/>
      <c r="H301" s="320"/>
    </row>
    <row r="302" spans="2:8" x14ac:dyDescent="0.25">
      <c r="B302" s="321" t="s">
        <v>35</v>
      </c>
      <c r="C302" s="321" t="s">
        <v>29</v>
      </c>
      <c r="D302" s="321" t="s">
        <v>36</v>
      </c>
      <c r="E302" s="321" t="s">
        <v>37</v>
      </c>
      <c r="F302" s="322" t="s">
        <v>38</v>
      </c>
      <c r="G302" s="323" t="s">
        <v>23</v>
      </c>
      <c r="H302" s="324" t="s">
        <v>24</v>
      </c>
    </row>
    <row r="303" spans="2:8" x14ac:dyDescent="0.25">
      <c r="B303" s="288" t="s">
        <v>39</v>
      </c>
      <c r="C303" s="316">
        <v>1</v>
      </c>
      <c r="D303" s="325">
        <f>+'2. APU INST INDAPAZ 24 NOV'!D495</f>
        <v>93381.6</v>
      </c>
      <c r="E303" s="326">
        <v>1.8344</v>
      </c>
      <c r="F303" s="327">
        <f>+D303*C303*E303</f>
        <v>171299.20704000001</v>
      </c>
      <c r="G303" s="316">
        <v>40</v>
      </c>
      <c r="H303" s="274">
        <f>F303/G303</f>
        <v>4282.480176</v>
      </c>
    </row>
    <row r="304" spans="2:8" x14ac:dyDescent="0.25">
      <c r="B304" s="288" t="s">
        <v>496</v>
      </c>
      <c r="C304" s="316">
        <v>1</v>
      </c>
      <c r="D304" s="325">
        <f>+'2. APU INST INDAPAZ 24 NOV'!D496</f>
        <v>58363.5</v>
      </c>
      <c r="E304" s="326">
        <v>1.8344</v>
      </c>
      <c r="F304" s="327">
        <f>+D304*C304*E304</f>
        <v>107062.00440000001</v>
      </c>
      <c r="G304" s="316">
        <v>40</v>
      </c>
      <c r="H304" s="274">
        <f>+F304/G304</f>
        <v>2676.5501100000001</v>
      </c>
    </row>
    <row r="305" spans="2:8" x14ac:dyDescent="0.25">
      <c r="B305" s="288"/>
      <c r="C305" s="288"/>
      <c r="D305" s="317"/>
      <c r="E305" s="288"/>
      <c r="F305" s="317"/>
      <c r="G305" s="288"/>
      <c r="H305" s="327"/>
    </row>
    <row r="306" spans="2:8" x14ac:dyDescent="0.25">
      <c r="B306" s="305"/>
      <c r="C306" s="266"/>
      <c r="D306" s="266"/>
      <c r="E306" s="266"/>
      <c r="F306" s="296"/>
      <c r="G306" s="306" t="s">
        <v>25</v>
      </c>
      <c r="H306" s="328">
        <f>+SUM(H303:H305)</f>
        <v>6959.0302860000002</v>
      </c>
    </row>
    <row r="307" spans="2:8" x14ac:dyDescent="0.25">
      <c r="B307" s="305"/>
      <c r="C307" s="266"/>
      <c r="D307" s="266"/>
      <c r="E307" s="266"/>
      <c r="F307" s="296"/>
      <c r="G307" s="449"/>
      <c r="H307" s="320"/>
    </row>
    <row r="308" spans="2:8" ht="15.6" x14ac:dyDescent="0.25">
      <c r="B308" s="258"/>
      <c r="C308" s="479" t="s">
        <v>645</v>
      </c>
      <c r="D308" s="477"/>
      <c r="E308" s="477"/>
      <c r="F308" s="477"/>
      <c r="G308" s="469" t="s">
        <v>41</v>
      </c>
      <c r="H308" s="254">
        <f>+H286+H295+H300+H306</f>
        <v>27598.370814600003</v>
      </c>
    </row>
    <row r="309" spans="2:8" ht="15.6" x14ac:dyDescent="0.25">
      <c r="B309" s="258"/>
      <c r="C309" s="479"/>
      <c r="D309" s="477"/>
      <c r="E309" s="477"/>
      <c r="F309" s="477"/>
      <c r="G309" s="255"/>
      <c r="H309" s="470"/>
    </row>
    <row r="310" spans="2:8" ht="15.6" x14ac:dyDescent="0.25">
      <c r="B310" s="258"/>
      <c r="C310" s="479"/>
      <c r="D310" s="477"/>
      <c r="E310" s="477"/>
      <c r="F310" s="477"/>
      <c r="G310" s="255"/>
      <c r="H310" s="470"/>
    </row>
    <row r="311" spans="2:8" ht="15.6" x14ac:dyDescent="0.25">
      <c r="B311" s="258"/>
      <c r="C311" s="475" t="s">
        <v>643</v>
      </c>
      <c r="D311" s="474"/>
      <c r="E311" s="477"/>
      <c r="F311" s="477"/>
      <c r="G311" s="255"/>
      <c r="H311" s="219"/>
    </row>
    <row r="312" spans="2:8" ht="15" x14ac:dyDescent="0.25">
      <c r="B312" s="262"/>
      <c r="C312" s="200" t="s">
        <v>590</v>
      </c>
      <c r="D312" s="474"/>
      <c r="E312" s="478"/>
      <c r="F312" s="478"/>
      <c r="G312" s="255"/>
      <c r="H312" s="219"/>
    </row>
    <row r="313" spans="2:8" ht="15" x14ac:dyDescent="0.25">
      <c r="B313" s="264"/>
      <c r="C313" s="261" t="s">
        <v>591</v>
      </c>
      <c r="D313" s="474"/>
      <c r="E313" s="478"/>
      <c r="F313" s="478"/>
      <c r="G313" s="255"/>
      <c r="H313" s="219"/>
    </row>
    <row r="314" spans="2:8" ht="15" x14ac:dyDescent="0.25">
      <c r="B314" s="265"/>
      <c r="C314" s="261" t="s">
        <v>644</v>
      </c>
      <c r="D314" s="474"/>
      <c r="E314" s="478"/>
      <c r="F314" s="478"/>
      <c r="G314" s="255"/>
      <c r="H314" s="219"/>
    </row>
    <row r="315" spans="2:8" x14ac:dyDescent="0.25">
      <c r="B315" s="267"/>
      <c r="C315" s="268"/>
      <c r="D315" s="259"/>
      <c r="E315" s="259"/>
      <c r="F315" s="259"/>
      <c r="G315" s="259"/>
      <c r="H315" s="260"/>
    </row>
    <row r="325" spans="2:8" ht="15.6" x14ac:dyDescent="0.25">
      <c r="B325" s="609" t="s">
        <v>320</v>
      </c>
      <c r="C325" s="609"/>
      <c r="D325" s="609"/>
      <c r="E325" s="609"/>
      <c r="F325" s="609"/>
      <c r="G325" s="609"/>
      <c r="H325" s="609"/>
    </row>
    <row r="326" spans="2:8" x14ac:dyDescent="0.25">
      <c r="B326" s="569" t="str">
        <f>+PRESUPUESTO!B1</f>
        <v>MANTENIMIENTO Y ADECUACIÓN DE INSTITUCIONES EDUCATIVAS OFICIALES, DEL MUNICIPIO DE LA APARTADA CORDOBA.</v>
      </c>
      <c r="C326" s="570"/>
      <c r="D326" s="570"/>
      <c r="E326" s="570"/>
      <c r="F326" s="570"/>
      <c r="G326" s="570"/>
      <c r="H326" s="571"/>
    </row>
    <row r="327" spans="2:8" x14ac:dyDescent="0.25">
      <c r="B327" s="572"/>
      <c r="C327" s="573"/>
      <c r="D327" s="573"/>
      <c r="E327" s="573"/>
      <c r="F327" s="573"/>
      <c r="G327" s="573"/>
      <c r="H327" s="574"/>
    </row>
    <row r="328" spans="2:8" x14ac:dyDescent="0.25">
      <c r="B328" s="575"/>
      <c r="C328" s="576"/>
      <c r="D328" s="576"/>
      <c r="E328" s="576"/>
      <c r="F328" s="576"/>
      <c r="G328" s="576"/>
      <c r="H328" s="577"/>
    </row>
    <row r="329" spans="2:8" x14ac:dyDescent="0.25">
      <c r="B329" s="578" t="str">
        <f>+PRESUPUESTO!C40</f>
        <v>S/I DE SANITARIOS CERÁMICO BLANCO, INCLUYE TODOS SUS ACCESORIOS, HASTA SU CORRECTO FUNCIONAMINETO.</v>
      </c>
      <c r="C329" s="579"/>
      <c r="D329" s="579"/>
      <c r="E329" s="579"/>
      <c r="F329" s="580"/>
      <c r="G329" s="615" t="s">
        <v>595</v>
      </c>
      <c r="H329" s="616"/>
    </row>
    <row r="330" spans="2:8" x14ac:dyDescent="0.25">
      <c r="B330" s="581"/>
      <c r="C330" s="582"/>
      <c r="D330" s="582"/>
      <c r="E330" s="582"/>
      <c r="F330" s="583"/>
      <c r="G330" s="617"/>
      <c r="H330" s="618"/>
    </row>
    <row r="331" spans="2:8" x14ac:dyDescent="0.25">
      <c r="B331" s="584"/>
      <c r="C331" s="585"/>
      <c r="D331" s="585"/>
      <c r="E331" s="585"/>
      <c r="F331" s="586"/>
      <c r="G331" s="619"/>
      <c r="H331" s="620"/>
    </row>
    <row r="332" spans="2:8" x14ac:dyDescent="0.25">
      <c r="B332" s="518" t="s">
        <v>0</v>
      </c>
      <c r="C332" s="515">
        <f>+PRESUPUESTO!B40</f>
        <v>4.7</v>
      </c>
      <c r="D332" s="516"/>
      <c r="E332" s="516"/>
      <c r="F332" s="516"/>
      <c r="G332" s="516"/>
      <c r="H332" s="517"/>
    </row>
    <row r="333" spans="2:8" x14ac:dyDescent="0.25">
      <c r="B333" s="214" t="s">
        <v>19</v>
      </c>
      <c r="C333" s="26"/>
      <c r="D333" s="26"/>
      <c r="E333" s="26"/>
      <c r="F333" s="215"/>
      <c r="G333" s="26"/>
      <c r="H333" s="216"/>
    </row>
    <row r="334" spans="2:8" x14ac:dyDescent="0.25">
      <c r="B334" s="602" t="s">
        <v>20</v>
      </c>
      <c r="C334" s="602"/>
      <c r="D334" s="297" t="s">
        <v>21</v>
      </c>
      <c r="E334" s="297" t="s">
        <v>22</v>
      </c>
      <c r="F334" s="298" t="s">
        <v>23</v>
      </c>
      <c r="G334" s="299" t="s">
        <v>24</v>
      </c>
      <c r="H334" s="300" t="s">
        <v>482</v>
      </c>
    </row>
    <row r="335" spans="2:8" x14ac:dyDescent="0.25">
      <c r="B335" s="605" t="s">
        <v>8</v>
      </c>
      <c r="C335" s="605"/>
      <c r="D335" s="301"/>
      <c r="E335" s="302"/>
      <c r="F335" s="303">
        <v>0.1</v>
      </c>
      <c r="G335" s="287">
        <f>+H358</f>
        <v>96834.001466666668</v>
      </c>
      <c r="H335" s="304">
        <f>+F335*G335</f>
        <v>9683.4001466666668</v>
      </c>
    </row>
    <row r="336" spans="2:8" x14ac:dyDescent="0.25">
      <c r="B336" s="604"/>
      <c r="C336" s="595"/>
      <c r="D336" s="301"/>
      <c r="E336" s="302"/>
      <c r="F336" s="289"/>
      <c r="G336" s="287"/>
      <c r="H336" s="304"/>
    </row>
    <row r="337" spans="2:8" x14ac:dyDescent="0.25">
      <c r="B337" s="605"/>
      <c r="C337" s="605"/>
      <c r="D337" s="301"/>
      <c r="E337" s="302"/>
      <c r="F337" s="289"/>
      <c r="G337" s="287"/>
      <c r="H337" s="304"/>
    </row>
    <row r="338" spans="2:8" x14ac:dyDescent="0.25">
      <c r="B338" s="305"/>
      <c r="C338" s="266"/>
      <c r="D338" s="266"/>
      <c r="E338" s="266"/>
      <c r="F338" s="296"/>
      <c r="G338" s="306" t="s">
        <v>25</v>
      </c>
      <c r="H338" s="307">
        <f>SUM(H335:H337)</f>
        <v>9683.4001466666668</v>
      </c>
    </row>
    <row r="339" spans="2:8" x14ac:dyDescent="0.25">
      <c r="B339" s="214" t="s">
        <v>26</v>
      </c>
      <c r="C339" s="26"/>
      <c r="D339" s="26"/>
      <c r="E339" s="26"/>
      <c r="F339" s="435"/>
      <c r="G339" s="435"/>
      <c r="H339" s="436"/>
    </row>
    <row r="340" spans="2:8" x14ac:dyDescent="0.25">
      <c r="B340" s="602" t="s">
        <v>20</v>
      </c>
      <c r="C340" s="602"/>
      <c r="D340" s="297" t="s">
        <v>27</v>
      </c>
      <c r="E340" s="297" t="s">
        <v>28</v>
      </c>
      <c r="F340" s="298" t="s">
        <v>29</v>
      </c>
      <c r="G340" s="299" t="s">
        <v>24</v>
      </c>
      <c r="H340" s="310" t="s">
        <v>482</v>
      </c>
    </row>
    <row r="341" spans="2:8" x14ac:dyDescent="0.25">
      <c r="B341" s="606" t="s">
        <v>612</v>
      </c>
      <c r="C341" s="606"/>
      <c r="D341" s="271" t="s">
        <v>1</v>
      </c>
      <c r="E341" s="272">
        <v>379000</v>
      </c>
      <c r="F341" s="273">
        <v>1</v>
      </c>
      <c r="G341" s="274">
        <f>E341*F341</f>
        <v>379000</v>
      </c>
      <c r="H341" s="275">
        <f>G341</f>
        <v>379000</v>
      </c>
    </row>
    <row r="342" spans="2:8" x14ac:dyDescent="0.25">
      <c r="B342" s="610" t="s">
        <v>608</v>
      </c>
      <c r="C342" s="611"/>
      <c r="D342" s="271" t="s">
        <v>1</v>
      </c>
      <c r="E342" s="272">
        <v>55000</v>
      </c>
      <c r="F342" s="273">
        <v>1</v>
      </c>
      <c r="G342" s="274">
        <f>E342*F342</f>
        <v>55000</v>
      </c>
      <c r="H342" s="275">
        <f>G342</f>
        <v>55000</v>
      </c>
    </row>
    <row r="343" spans="2:8" x14ac:dyDescent="0.25">
      <c r="B343" s="610" t="s">
        <v>609</v>
      </c>
      <c r="C343" s="611"/>
      <c r="D343" s="271" t="s">
        <v>1</v>
      </c>
      <c r="E343" s="272">
        <v>15000</v>
      </c>
      <c r="F343" s="273">
        <v>1</v>
      </c>
      <c r="G343" s="274">
        <f>E343*F343</f>
        <v>15000</v>
      </c>
      <c r="H343" s="275">
        <f>G343</f>
        <v>15000</v>
      </c>
    </row>
    <row r="344" spans="2:8" x14ac:dyDescent="0.25">
      <c r="B344" s="610" t="s">
        <v>610</v>
      </c>
      <c r="C344" s="611"/>
      <c r="D344" s="271" t="s">
        <v>1</v>
      </c>
      <c r="E344" s="272">
        <v>18000</v>
      </c>
      <c r="F344" s="273">
        <v>0.25</v>
      </c>
      <c r="G344" s="274">
        <f>E344*F344</f>
        <v>4500</v>
      </c>
      <c r="H344" s="275">
        <f>G344</f>
        <v>4500</v>
      </c>
    </row>
    <row r="345" spans="2:8" x14ac:dyDescent="0.25">
      <c r="B345" s="613" t="s">
        <v>611</v>
      </c>
      <c r="C345" s="613"/>
      <c r="D345" s="271" t="s">
        <v>1</v>
      </c>
      <c r="E345" s="272">
        <v>22000</v>
      </c>
      <c r="F345" s="273">
        <v>1</v>
      </c>
      <c r="G345" s="274">
        <f>E345*F345</f>
        <v>22000</v>
      </c>
      <c r="H345" s="275">
        <f>G345</f>
        <v>22000</v>
      </c>
    </row>
    <row r="346" spans="2:8" x14ac:dyDescent="0.25">
      <c r="B346" s="612"/>
      <c r="C346" s="612"/>
      <c r="D346" s="285"/>
      <c r="E346" s="286"/>
      <c r="F346" s="289"/>
      <c r="G346" s="287"/>
      <c r="H346" s="288"/>
    </row>
    <row r="347" spans="2:8" x14ac:dyDescent="0.25">
      <c r="B347" s="217"/>
      <c r="C347" s="26"/>
      <c r="D347" s="26"/>
      <c r="E347" s="26"/>
      <c r="F347" s="435"/>
      <c r="G347" s="306" t="s">
        <v>25</v>
      </c>
      <c r="H347" s="312">
        <f>SUM(H341:H346)</f>
        <v>475500</v>
      </c>
    </row>
    <row r="348" spans="2:8" x14ac:dyDescent="0.25">
      <c r="B348" s="214" t="s">
        <v>30</v>
      </c>
      <c r="C348" s="26"/>
      <c r="D348" s="26"/>
      <c r="E348" s="26"/>
      <c r="F348" s="435"/>
      <c r="G348" s="435"/>
      <c r="H348" s="433"/>
    </row>
    <row r="349" spans="2:8" x14ac:dyDescent="0.25">
      <c r="B349" s="602" t="s">
        <v>20</v>
      </c>
      <c r="C349" s="602"/>
      <c r="D349" s="297" t="s">
        <v>21</v>
      </c>
      <c r="E349" s="297" t="s">
        <v>127</v>
      </c>
      <c r="F349" s="298" t="s">
        <v>32</v>
      </c>
      <c r="G349" s="297" t="s">
        <v>24</v>
      </c>
      <c r="H349" s="313" t="s">
        <v>481</v>
      </c>
    </row>
    <row r="350" spans="2:8" x14ac:dyDescent="0.25">
      <c r="B350" s="614" t="s">
        <v>657</v>
      </c>
      <c r="C350" s="614"/>
      <c r="D350" s="439" t="s">
        <v>600</v>
      </c>
      <c r="E350" s="440">
        <v>6</v>
      </c>
      <c r="F350" s="437">
        <v>5000</v>
      </c>
      <c r="G350" s="437">
        <f>+E350*F350</f>
        <v>30000</v>
      </c>
      <c r="H350" s="433">
        <f>+G350</f>
        <v>30000</v>
      </c>
    </row>
    <row r="351" spans="2:8" x14ac:dyDescent="0.25">
      <c r="B351" s="614"/>
      <c r="C351" s="614"/>
      <c r="D351" s="439"/>
      <c r="E351" s="441"/>
      <c r="F351" s="442"/>
      <c r="G351" s="441"/>
      <c r="H351" s="412"/>
    </row>
    <row r="352" spans="2:8" x14ac:dyDescent="0.25">
      <c r="B352" s="217"/>
      <c r="C352" s="26"/>
      <c r="D352" s="26"/>
      <c r="E352" s="26"/>
      <c r="F352" s="215"/>
      <c r="G352" s="434" t="s">
        <v>25</v>
      </c>
      <c r="H352" s="443">
        <f>SUM(H350:H351)</f>
        <v>30000</v>
      </c>
    </row>
    <row r="353" spans="2:8" x14ac:dyDescent="0.25">
      <c r="B353" s="214" t="s">
        <v>34</v>
      </c>
      <c r="C353" s="26"/>
      <c r="D353" s="26"/>
      <c r="E353" s="26"/>
      <c r="F353" s="215"/>
      <c r="G353" s="435"/>
      <c r="H353" s="218"/>
    </row>
    <row r="354" spans="2:8" x14ac:dyDescent="0.25">
      <c r="B354" s="444" t="s">
        <v>35</v>
      </c>
      <c r="C354" s="444" t="s">
        <v>29</v>
      </c>
      <c r="D354" s="444" t="s">
        <v>36</v>
      </c>
      <c r="E354" s="444" t="s">
        <v>37</v>
      </c>
      <c r="F354" s="445" t="s">
        <v>38</v>
      </c>
      <c r="G354" s="446" t="s">
        <v>23</v>
      </c>
      <c r="H354" s="447" t="s">
        <v>24</v>
      </c>
    </row>
    <row r="355" spans="2:8" x14ac:dyDescent="0.25">
      <c r="B355" s="288" t="s">
        <v>613</v>
      </c>
      <c r="C355" s="316">
        <v>1</v>
      </c>
      <c r="D355" s="325">
        <v>100000</v>
      </c>
      <c r="E355" s="326">
        <v>1.8344</v>
      </c>
      <c r="F355" s="327">
        <f>+D355*C355*E355</f>
        <v>183440</v>
      </c>
      <c r="G355" s="316">
        <v>3</v>
      </c>
      <c r="H355" s="274">
        <f>F355/G355</f>
        <v>61146.666666666664</v>
      </c>
    </row>
    <row r="356" spans="2:8" x14ac:dyDescent="0.25">
      <c r="B356" s="288" t="s">
        <v>496</v>
      </c>
      <c r="C356" s="316">
        <v>1</v>
      </c>
      <c r="D356" s="325">
        <f>+D304</f>
        <v>58363.5</v>
      </c>
      <c r="E356" s="326">
        <v>1.8344</v>
      </c>
      <c r="F356" s="327">
        <f>+D356*C356*E356</f>
        <v>107062.00440000001</v>
      </c>
      <c r="G356" s="316">
        <v>3</v>
      </c>
      <c r="H356" s="274">
        <f>+F356/G356</f>
        <v>35687.334800000004</v>
      </c>
    </row>
    <row r="357" spans="2:8" x14ac:dyDescent="0.25">
      <c r="B357" s="438"/>
      <c r="C357" s="438"/>
      <c r="D357" s="442"/>
      <c r="E357" s="438"/>
      <c r="F357" s="442"/>
      <c r="G357" s="438"/>
      <c r="H357" s="448"/>
    </row>
    <row r="358" spans="2:8" x14ac:dyDescent="0.25">
      <c r="B358" s="217"/>
      <c r="C358" s="26"/>
      <c r="D358" s="26"/>
      <c r="E358" s="26"/>
      <c r="F358" s="215"/>
      <c r="G358" s="306" t="s">
        <v>25</v>
      </c>
      <c r="H358" s="328">
        <f>+SUM(H355:H357)</f>
        <v>96834.001466666668</v>
      </c>
    </row>
    <row r="359" spans="2:8" x14ac:dyDescent="0.25">
      <c r="B359" s="217"/>
      <c r="C359" s="26"/>
      <c r="D359" s="26"/>
      <c r="E359" s="26"/>
      <c r="F359" s="215"/>
      <c r="G359" s="256"/>
      <c r="H359" s="218"/>
    </row>
    <row r="360" spans="2:8" ht="15.6" x14ac:dyDescent="0.25">
      <c r="B360" s="258"/>
      <c r="C360" s="479" t="s">
        <v>645</v>
      </c>
      <c r="D360" s="477"/>
      <c r="E360" s="477"/>
      <c r="F360" s="477"/>
      <c r="G360" s="469" t="s">
        <v>41</v>
      </c>
      <c r="H360" s="254">
        <f>+H338+H347+H352+H358</f>
        <v>612017.40161333338</v>
      </c>
    </row>
    <row r="361" spans="2:8" ht="15.6" x14ac:dyDescent="0.25">
      <c r="B361" s="258"/>
      <c r="C361" s="479"/>
      <c r="D361" s="477"/>
      <c r="E361" s="477"/>
      <c r="F361" s="477"/>
      <c r="G361" s="255"/>
      <c r="H361" s="219"/>
    </row>
    <row r="362" spans="2:8" ht="15.6" x14ac:dyDescent="0.25">
      <c r="B362" s="258"/>
      <c r="C362" s="479"/>
      <c r="D362" s="477"/>
      <c r="E362" s="477"/>
      <c r="F362" s="477"/>
      <c r="G362" s="255"/>
      <c r="H362" s="219"/>
    </row>
    <row r="363" spans="2:8" ht="15.6" x14ac:dyDescent="0.25">
      <c r="B363" s="258"/>
      <c r="C363" s="475" t="s">
        <v>643</v>
      </c>
      <c r="D363" s="474"/>
      <c r="E363" s="477"/>
      <c r="F363" s="477"/>
      <c r="G363" s="255"/>
      <c r="H363" s="219"/>
    </row>
    <row r="364" spans="2:8" ht="15" x14ac:dyDescent="0.25">
      <c r="B364" s="262"/>
      <c r="C364" s="200" t="s">
        <v>590</v>
      </c>
      <c r="D364" s="474"/>
      <c r="E364" s="478"/>
      <c r="F364" s="478"/>
      <c r="G364" s="255"/>
      <c r="H364" s="219"/>
    </row>
    <row r="365" spans="2:8" ht="15" x14ac:dyDescent="0.25">
      <c r="B365" s="264"/>
      <c r="C365" s="261" t="s">
        <v>591</v>
      </c>
      <c r="D365" s="474"/>
      <c r="E365" s="478"/>
      <c r="F365" s="478"/>
      <c r="G365" s="255"/>
      <c r="H365" s="465"/>
    </row>
    <row r="366" spans="2:8" ht="15" x14ac:dyDescent="0.25">
      <c r="B366" s="265"/>
      <c r="C366" s="261" t="s">
        <v>644</v>
      </c>
      <c r="D366" s="474"/>
      <c r="E366" s="478"/>
      <c r="F366" s="478"/>
      <c r="G366" s="255"/>
      <c r="H366" s="465"/>
    </row>
    <row r="367" spans="2:8" x14ac:dyDescent="0.25">
      <c r="B367" s="267"/>
      <c r="C367" s="268"/>
      <c r="D367" s="259"/>
      <c r="E367" s="259"/>
      <c r="F367" s="259"/>
      <c r="G367" s="259"/>
      <c r="H367" s="468"/>
    </row>
    <row r="376" spans="2:8" ht="15.6" x14ac:dyDescent="0.25">
      <c r="B376" s="609" t="s">
        <v>320</v>
      </c>
      <c r="C376" s="609"/>
      <c r="D376" s="609"/>
      <c r="E376" s="609"/>
      <c r="F376" s="609"/>
      <c r="G376" s="609"/>
      <c r="H376" s="609"/>
    </row>
    <row r="377" spans="2:8" x14ac:dyDescent="0.25">
      <c r="B377" s="569" t="str">
        <f>+PRESUPUESTO!B1</f>
        <v>MANTENIMIENTO Y ADECUACIÓN DE INSTITUCIONES EDUCATIVAS OFICIALES, DEL MUNICIPIO DE LA APARTADA CORDOBA.</v>
      </c>
      <c r="C377" s="570"/>
      <c r="D377" s="570"/>
      <c r="E377" s="570"/>
      <c r="F377" s="570"/>
      <c r="G377" s="570"/>
      <c r="H377" s="571"/>
    </row>
    <row r="378" spans="2:8" x14ac:dyDescent="0.25">
      <c r="B378" s="572"/>
      <c r="C378" s="573"/>
      <c r="D378" s="573"/>
      <c r="E378" s="573"/>
      <c r="F378" s="573"/>
      <c r="G378" s="573"/>
      <c r="H378" s="574"/>
    </row>
    <row r="379" spans="2:8" x14ac:dyDescent="0.25">
      <c r="B379" s="575"/>
      <c r="C379" s="576"/>
      <c r="D379" s="576"/>
      <c r="E379" s="576"/>
      <c r="F379" s="576"/>
      <c r="G379" s="576"/>
      <c r="H379" s="577"/>
    </row>
    <row r="380" spans="2:8" x14ac:dyDescent="0.25">
      <c r="B380" s="578" t="str">
        <f>+PRESUPUESTO!C41</f>
        <v xml:space="preserve">S/I DE GRIFERIA PARA LAVAMANOS CERÁMICO BLANCO, INCLUYE TODOS SUS ACCESORIOS, HASTA SU CORRECTO FUNCIONAMIENTO. </v>
      </c>
      <c r="C380" s="579"/>
      <c r="D380" s="579"/>
      <c r="E380" s="579"/>
      <c r="F380" s="580"/>
      <c r="G380" s="587" t="s">
        <v>595</v>
      </c>
      <c r="H380" s="588"/>
    </row>
    <row r="381" spans="2:8" x14ac:dyDescent="0.25">
      <c r="B381" s="581"/>
      <c r="C381" s="582"/>
      <c r="D381" s="582"/>
      <c r="E381" s="582"/>
      <c r="F381" s="583"/>
      <c r="G381" s="589"/>
      <c r="H381" s="590"/>
    </row>
    <row r="382" spans="2:8" x14ac:dyDescent="0.25">
      <c r="B382" s="584"/>
      <c r="C382" s="585"/>
      <c r="D382" s="585"/>
      <c r="E382" s="585"/>
      <c r="F382" s="586"/>
      <c r="G382" s="591"/>
      <c r="H382" s="592"/>
    </row>
    <row r="383" spans="2:8" x14ac:dyDescent="0.25">
      <c r="B383" s="518" t="s">
        <v>0</v>
      </c>
      <c r="C383" s="515">
        <f>+PRESUPUESTO!B41</f>
        <v>4.8</v>
      </c>
      <c r="D383" s="516"/>
      <c r="E383" s="516"/>
      <c r="F383" s="516"/>
      <c r="G383" s="516"/>
      <c r="H383" s="517"/>
    </row>
    <row r="384" spans="2:8" x14ac:dyDescent="0.25">
      <c r="B384" s="214" t="s">
        <v>19</v>
      </c>
      <c r="C384" s="266"/>
      <c r="D384" s="266"/>
      <c r="E384" s="266"/>
      <c r="F384" s="296"/>
      <c r="G384" s="266"/>
      <c r="H384" s="216"/>
    </row>
    <row r="385" spans="2:8" x14ac:dyDescent="0.25">
      <c r="B385" s="602" t="s">
        <v>20</v>
      </c>
      <c r="C385" s="602"/>
      <c r="D385" s="297" t="s">
        <v>21</v>
      </c>
      <c r="E385" s="297" t="s">
        <v>22</v>
      </c>
      <c r="F385" s="298" t="s">
        <v>23</v>
      </c>
      <c r="G385" s="299" t="s">
        <v>24</v>
      </c>
      <c r="H385" s="300" t="s">
        <v>482</v>
      </c>
    </row>
    <row r="386" spans="2:8" x14ac:dyDescent="0.25">
      <c r="B386" s="605" t="s">
        <v>8</v>
      </c>
      <c r="C386" s="605"/>
      <c r="D386" s="301"/>
      <c r="E386" s="302"/>
      <c r="F386" s="303">
        <v>0.1</v>
      </c>
      <c r="G386" s="287">
        <f>+H408</f>
        <v>88684.801760000002</v>
      </c>
      <c r="H386" s="304">
        <f>+F386*G386</f>
        <v>8868.4801760000009</v>
      </c>
    </row>
    <row r="387" spans="2:8" x14ac:dyDescent="0.25">
      <c r="B387" s="604"/>
      <c r="C387" s="595"/>
      <c r="D387" s="301"/>
      <c r="E387" s="302"/>
      <c r="F387" s="289"/>
      <c r="G387" s="287"/>
      <c r="H387" s="304"/>
    </row>
    <row r="388" spans="2:8" x14ac:dyDescent="0.25">
      <c r="B388" s="605"/>
      <c r="C388" s="605"/>
      <c r="D388" s="301"/>
      <c r="E388" s="302"/>
      <c r="F388" s="289"/>
      <c r="G388" s="287"/>
      <c r="H388" s="304"/>
    </row>
    <row r="389" spans="2:8" x14ac:dyDescent="0.25">
      <c r="B389" s="305"/>
      <c r="C389" s="266"/>
      <c r="D389" s="266"/>
      <c r="E389" s="266"/>
      <c r="F389" s="296"/>
      <c r="G389" s="306" t="s">
        <v>25</v>
      </c>
      <c r="H389" s="307">
        <f>SUM(H386:H388)</f>
        <v>8868.4801760000009</v>
      </c>
    </row>
    <row r="390" spans="2:8" x14ac:dyDescent="0.25">
      <c r="B390" s="214" t="s">
        <v>26</v>
      </c>
      <c r="C390" s="266"/>
      <c r="D390" s="266"/>
      <c r="E390" s="266"/>
      <c r="F390" s="308"/>
      <c r="G390" s="308"/>
      <c r="H390" s="309"/>
    </row>
    <row r="391" spans="2:8" x14ac:dyDescent="0.25">
      <c r="B391" s="602" t="s">
        <v>20</v>
      </c>
      <c r="C391" s="602"/>
      <c r="D391" s="297" t="s">
        <v>27</v>
      </c>
      <c r="E391" s="297" t="s">
        <v>28</v>
      </c>
      <c r="F391" s="298" t="s">
        <v>29</v>
      </c>
      <c r="G391" s="299" t="s">
        <v>24</v>
      </c>
      <c r="H391" s="310" t="s">
        <v>482</v>
      </c>
    </row>
    <row r="392" spans="2:8" x14ac:dyDescent="0.25">
      <c r="B392" s="606" t="s">
        <v>615</v>
      </c>
      <c r="C392" s="606"/>
      <c r="D392" s="271" t="s">
        <v>72</v>
      </c>
      <c r="E392" s="272">
        <v>89900</v>
      </c>
      <c r="F392" s="273">
        <v>1</v>
      </c>
      <c r="G392" s="274">
        <f>E392*F392</f>
        <v>89900</v>
      </c>
      <c r="H392" s="275">
        <f>G392</f>
        <v>89900</v>
      </c>
    </row>
    <row r="393" spans="2:8" x14ac:dyDescent="0.25">
      <c r="B393" s="408" t="s">
        <v>616</v>
      </c>
      <c r="C393" s="409"/>
      <c r="D393" s="271" t="s">
        <v>72</v>
      </c>
      <c r="E393" s="272">
        <v>12000</v>
      </c>
      <c r="F393" s="273">
        <v>2</v>
      </c>
      <c r="G393" s="274">
        <f>E393*F393</f>
        <v>24000</v>
      </c>
      <c r="H393" s="275">
        <f>G393</f>
        <v>24000</v>
      </c>
    </row>
    <row r="394" spans="2:8" x14ac:dyDescent="0.25">
      <c r="B394" s="607" t="s">
        <v>617</v>
      </c>
      <c r="C394" s="608"/>
      <c r="D394" s="271" t="s">
        <v>72</v>
      </c>
      <c r="E394" s="272">
        <v>17800</v>
      </c>
      <c r="F394" s="273">
        <v>2</v>
      </c>
      <c r="G394" s="274">
        <f>E394*F394</f>
        <v>35600</v>
      </c>
      <c r="H394" s="275">
        <f>G394</f>
        <v>35600</v>
      </c>
    </row>
    <row r="395" spans="2:8" x14ac:dyDescent="0.25">
      <c r="B395" s="595" t="s">
        <v>618</v>
      </c>
      <c r="C395" s="595"/>
      <c r="D395" s="271" t="s">
        <v>72</v>
      </c>
      <c r="E395" s="272">
        <v>2000</v>
      </c>
      <c r="F395" s="273">
        <v>0.2</v>
      </c>
      <c r="G395" s="274">
        <f>E395*F395</f>
        <v>400</v>
      </c>
      <c r="H395" s="275">
        <f>G395</f>
        <v>400</v>
      </c>
    </row>
    <row r="396" spans="2:8" x14ac:dyDescent="0.25">
      <c r="B396" s="595" t="s">
        <v>502</v>
      </c>
      <c r="C396" s="595"/>
      <c r="D396" s="285" t="s">
        <v>72</v>
      </c>
      <c r="E396" s="286">
        <v>18000</v>
      </c>
      <c r="F396" s="289">
        <v>0.25</v>
      </c>
      <c r="G396" s="287">
        <f>E396*F396</f>
        <v>4500</v>
      </c>
      <c r="H396" s="288">
        <f>G396</f>
        <v>4500</v>
      </c>
    </row>
    <row r="397" spans="2:8" x14ac:dyDescent="0.25">
      <c r="B397" s="305"/>
      <c r="C397" s="266"/>
      <c r="D397" s="266"/>
      <c r="E397" s="266"/>
      <c r="F397" s="308"/>
      <c r="G397" s="306" t="s">
        <v>25</v>
      </c>
      <c r="H397" s="312">
        <f>SUM(H392:H396)</f>
        <v>154400</v>
      </c>
    </row>
    <row r="398" spans="2:8" x14ac:dyDescent="0.25">
      <c r="B398" s="214" t="s">
        <v>30</v>
      </c>
      <c r="C398" s="266"/>
      <c r="D398" s="266"/>
      <c r="E398" s="266"/>
      <c r="F398" s="308"/>
      <c r="G398" s="308"/>
      <c r="H398" s="304"/>
    </row>
    <row r="399" spans="2:8" x14ac:dyDescent="0.25">
      <c r="B399" s="602" t="s">
        <v>20</v>
      </c>
      <c r="C399" s="602"/>
      <c r="D399" s="297" t="s">
        <v>21</v>
      </c>
      <c r="E399" s="297" t="s">
        <v>127</v>
      </c>
      <c r="F399" s="298" t="s">
        <v>32</v>
      </c>
      <c r="G399" s="297" t="s">
        <v>24</v>
      </c>
      <c r="H399" s="313" t="s">
        <v>481</v>
      </c>
    </row>
    <row r="400" spans="2:8" x14ac:dyDescent="0.25">
      <c r="B400" s="603"/>
      <c r="C400" s="603"/>
      <c r="D400" s="314"/>
      <c r="E400" s="315"/>
      <c r="F400" s="274"/>
      <c r="G400" s="274"/>
      <c r="H400" s="304"/>
    </row>
    <row r="401" spans="2:8" x14ac:dyDescent="0.25">
      <c r="B401" s="603"/>
      <c r="C401" s="603"/>
      <c r="D401" s="314"/>
      <c r="E401" s="316"/>
      <c r="F401" s="317"/>
      <c r="G401" s="316"/>
      <c r="H401" s="318"/>
    </row>
    <row r="402" spans="2:8" x14ac:dyDescent="0.25">
      <c r="B402" s="305"/>
      <c r="C402" s="266"/>
      <c r="D402" s="266"/>
      <c r="E402" s="266"/>
      <c r="F402" s="296"/>
      <c r="G402" s="306" t="s">
        <v>25</v>
      </c>
      <c r="H402" s="319">
        <f>SUM(H400:H401)</f>
        <v>0</v>
      </c>
    </row>
    <row r="403" spans="2:8" x14ac:dyDescent="0.25">
      <c r="B403" s="214" t="s">
        <v>34</v>
      </c>
      <c r="C403" s="266"/>
      <c r="D403" s="266"/>
      <c r="E403" s="266"/>
      <c r="F403" s="296"/>
      <c r="G403" s="308"/>
      <c r="H403" s="320"/>
    </row>
    <row r="404" spans="2:8" x14ac:dyDescent="0.25">
      <c r="B404" s="321" t="s">
        <v>35</v>
      </c>
      <c r="C404" s="321" t="s">
        <v>29</v>
      </c>
      <c r="D404" s="321" t="s">
        <v>36</v>
      </c>
      <c r="E404" s="321" t="s">
        <v>37</v>
      </c>
      <c r="F404" s="322" t="s">
        <v>38</v>
      </c>
      <c r="G404" s="323" t="s">
        <v>23</v>
      </c>
      <c r="H404" s="324" t="s">
        <v>24</v>
      </c>
    </row>
    <row r="405" spans="2:8" x14ac:dyDescent="0.25">
      <c r="B405" s="288" t="s">
        <v>619</v>
      </c>
      <c r="C405" s="316">
        <v>1</v>
      </c>
      <c r="D405" s="325">
        <v>100000</v>
      </c>
      <c r="E405" s="326">
        <v>1.8344</v>
      </c>
      <c r="F405" s="327">
        <f>+D405*C405*E405</f>
        <v>183440</v>
      </c>
      <c r="G405" s="316">
        <v>4</v>
      </c>
      <c r="H405" s="274">
        <f>F405/G405</f>
        <v>45860</v>
      </c>
    </row>
    <row r="406" spans="2:8" x14ac:dyDescent="0.25">
      <c r="B406" s="288" t="s">
        <v>496</v>
      </c>
      <c r="C406" s="316">
        <v>1</v>
      </c>
      <c r="D406" s="325">
        <f>+D303</f>
        <v>93381.6</v>
      </c>
      <c r="E406" s="326">
        <v>1.8344</v>
      </c>
      <c r="F406" s="327">
        <f>+D406*C406*E406</f>
        <v>171299.20704000001</v>
      </c>
      <c r="G406" s="316">
        <v>4</v>
      </c>
      <c r="H406" s="274">
        <f>+F406/G406</f>
        <v>42824.801760000002</v>
      </c>
    </row>
    <row r="407" spans="2:8" x14ac:dyDescent="0.25">
      <c r="B407" s="288"/>
      <c r="C407" s="288"/>
      <c r="D407" s="317"/>
      <c r="E407" s="288"/>
      <c r="F407" s="317"/>
      <c r="G407" s="288"/>
      <c r="H407" s="327"/>
    </row>
    <row r="408" spans="2:8" x14ac:dyDescent="0.25">
      <c r="B408" s="305"/>
      <c r="C408" s="266"/>
      <c r="D408" s="266"/>
      <c r="E408" s="266"/>
      <c r="F408" s="296"/>
      <c r="G408" s="306" t="s">
        <v>25</v>
      </c>
      <c r="H408" s="328">
        <f>+SUM(H405:H407)</f>
        <v>88684.801760000002</v>
      </c>
    </row>
    <row r="409" spans="2:8" x14ac:dyDescent="0.25">
      <c r="B409" s="305"/>
      <c r="C409" s="266"/>
      <c r="D409" s="266"/>
      <c r="E409" s="266"/>
      <c r="F409" s="296"/>
      <c r="G409" s="449"/>
      <c r="H409" s="320"/>
    </row>
    <row r="410" spans="2:8" ht="15.6" x14ac:dyDescent="0.25">
      <c r="B410" s="258"/>
      <c r="C410" s="479" t="s">
        <v>645</v>
      </c>
      <c r="D410" s="477"/>
      <c r="E410" s="477"/>
      <c r="F410" s="477"/>
      <c r="G410" s="469" t="s">
        <v>41</v>
      </c>
      <c r="H410" s="254">
        <f>+H389+H397+H402+H408</f>
        <v>251953.28193600001</v>
      </c>
    </row>
    <row r="411" spans="2:8" ht="15.6" x14ac:dyDescent="0.25">
      <c r="B411" s="258"/>
      <c r="C411" s="479"/>
      <c r="D411" s="477"/>
      <c r="E411" s="477"/>
      <c r="F411" s="477"/>
      <c r="G411" s="255"/>
      <c r="H411" s="219"/>
    </row>
    <row r="412" spans="2:8" ht="15.6" x14ac:dyDescent="0.25">
      <c r="B412" s="258"/>
      <c r="C412" s="479"/>
      <c r="D412" s="477"/>
      <c r="E412" s="477"/>
      <c r="F412" s="477"/>
      <c r="G412" s="255"/>
      <c r="H412" s="219"/>
    </row>
    <row r="413" spans="2:8" ht="15.6" x14ac:dyDescent="0.25">
      <c r="B413" s="258"/>
      <c r="C413" s="475" t="s">
        <v>643</v>
      </c>
      <c r="D413" s="474"/>
      <c r="E413" s="477"/>
      <c r="F413" s="477"/>
      <c r="G413" s="255"/>
      <c r="H413" s="219"/>
    </row>
    <row r="414" spans="2:8" ht="15" x14ac:dyDescent="0.25">
      <c r="B414" s="262"/>
      <c r="C414" s="200" t="s">
        <v>590</v>
      </c>
      <c r="D414" s="474"/>
      <c r="E414" s="478"/>
      <c r="F414" s="478"/>
      <c r="G414" s="255"/>
      <c r="H414" s="219"/>
    </row>
    <row r="415" spans="2:8" ht="15" x14ac:dyDescent="0.25">
      <c r="B415" s="264"/>
      <c r="C415" s="261" t="s">
        <v>591</v>
      </c>
      <c r="D415" s="474"/>
      <c r="E415" s="478"/>
      <c r="F415" s="478"/>
      <c r="G415" s="255"/>
      <c r="H415" s="219"/>
    </row>
    <row r="416" spans="2:8" ht="15" x14ac:dyDescent="0.25">
      <c r="B416" s="265"/>
      <c r="C416" s="261" t="s">
        <v>644</v>
      </c>
      <c r="D416" s="474"/>
      <c r="E416" s="478"/>
      <c r="F416" s="478"/>
      <c r="G416" s="255"/>
      <c r="H416" s="465"/>
    </row>
    <row r="417" spans="2:8" x14ac:dyDescent="0.25">
      <c r="B417" s="267"/>
      <c r="C417" s="268"/>
      <c r="D417" s="259"/>
      <c r="E417" s="259"/>
      <c r="F417" s="259"/>
      <c r="G417" s="259"/>
      <c r="H417" s="468"/>
    </row>
    <row r="427" spans="2:8" ht="15.6" x14ac:dyDescent="0.25">
      <c r="B427" s="566" t="s">
        <v>320</v>
      </c>
      <c r="C427" s="567"/>
      <c r="D427" s="567"/>
      <c r="E427" s="567"/>
      <c r="F427" s="567"/>
      <c r="G427" s="567"/>
      <c r="H427" s="568"/>
    </row>
    <row r="428" spans="2:8" x14ac:dyDescent="0.25">
      <c r="B428" s="569" t="str">
        <f>+PRESUPUESTO!B1</f>
        <v>MANTENIMIENTO Y ADECUACIÓN DE INSTITUCIONES EDUCATIVAS OFICIALES, DEL MUNICIPIO DE LA APARTADA CORDOBA.</v>
      </c>
      <c r="C428" s="570"/>
      <c r="D428" s="570"/>
      <c r="E428" s="570"/>
      <c r="F428" s="570"/>
      <c r="G428" s="570"/>
      <c r="H428" s="571"/>
    </row>
    <row r="429" spans="2:8" x14ac:dyDescent="0.25">
      <c r="B429" s="572"/>
      <c r="C429" s="573"/>
      <c r="D429" s="573"/>
      <c r="E429" s="573"/>
      <c r="F429" s="573"/>
      <c r="G429" s="573"/>
      <c r="H429" s="574"/>
    </row>
    <row r="430" spans="2:8" x14ac:dyDescent="0.25">
      <c r="B430" s="575"/>
      <c r="C430" s="576"/>
      <c r="D430" s="576"/>
      <c r="E430" s="576"/>
      <c r="F430" s="576"/>
      <c r="G430" s="576"/>
      <c r="H430" s="577"/>
    </row>
    <row r="431" spans="2:8" x14ac:dyDescent="0.25">
      <c r="B431" s="578" t="str">
        <f>+PRESUPUESTO!C42</f>
        <v>S/I DE PUERTAS GALVANIZADAS CALIBRE 20, EN MARCO DE TUBOS DE 1.0 MTS X 2.0 MTS, PARA ACCESO UNIDAD SANITARIA.</v>
      </c>
      <c r="C431" s="579"/>
      <c r="D431" s="579"/>
      <c r="E431" s="579"/>
      <c r="F431" s="580"/>
      <c r="G431" s="587" t="s">
        <v>595</v>
      </c>
      <c r="H431" s="588"/>
    </row>
    <row r="432" spans="2:8" x14ac:dyDescent="0.25">
      <c r="B432" s="581"/>
      <c r="C432" s="582"/>
      <c r="D432" s="582"/>
      <c r="E432" s="582"/>
      <c r="F432" s="583"/>
      <c r="G432" s="589"/>
      <c r="H432" s="590"/>
    </row>
    <row r="433" spans="2:8" x14ac:dyDescent="0.25">
      <c r="B433" s="584"/>
      <c r="C433" s="585"/>
      <c r="D433" s="585"/>
      <c r="E433" s="585"/>
      <c r="F433" s="586"/>
      <c r="G433" s="591"/>
      <c r="H433" s="592"/>
    </row>
    <row r="434" spans="2:8" x14ac:dyDescent="0.25">
      <c r="B434" s="518" t="s">
        <v>0</v>
      </c>
      <c r="C434" s="515">
        <f>+PRESUPUESTO!B42</f>
        <v>4.9000000000000004</v>
      </c>
      <c r="D434" s="516"/>
      <c r="E434" s="516"/>
      <c r="F434" s="516"/>
      <c r="G434" s="516"/>
      <c r="H434" s="517"/>
    </row>
    <row r="435" spans="2:8" x14ac:dyDescent="0.25">
      <c r="B435" s="214" t="s">
        <v>19</v>
      </c>
      <c r="C435" s="266"/>
      <c r="D435" s="266"/>
      <c r="E435" s="266"/>
      <c r="F435" s="296"/>
      <c r="G435" s="266"/>
      <c r="H435" s="216"/>
    </row>
    <row r="436" spans="2:8" x14ac:dyDescent="0.25">
      <c r="B436" s="560" t="s">
        <v>20</v>
      </c>
      <c r="C436" s="561"/>
      <c r="D436" s="297" t="s">
        <v>21</v>
      </c>
      <c r="E436" s="297" t="s">
        <v>22</v>
      </c>
      <c r="F436" s="298" t="s">
        <v>23</v>
      </c>
      <c r="G436" s="299" t="s">
        <v>24</v>
      </c>
      <c r="H436" s="300" t="s">
        <v>482</v>
      </c>
    </row>
    <row r="437" spans="2:8" x14ac:dyDescent="0.25">
      <c r="B437" s="562" t="s">
        <v>8</v>
      </c>
      <c r="C437" s="563"/>
      <c r="D437" s="301"/>
      <c r="E437" s="302"/>
      <c r="F437" s="303">
        <v>0.1</v>
      </c>
      <c r="G437" s="287">
        <f>+H458</f>
        <v>77084.64316800001</v>
      </c>
      <c r="H437" s="304">
        <f>+F437*G437</f>
        <v>7708.4643168000011</v>
      </c>
    </row>
    <row r="438" spans="2:8" x14ac:dyDescent="0.25">
      <c r="B438" s="600"/>
      <c r="C438" s="601"/>
      <c r="D438" s="301"/>
      <c r="E438" s="302"/>
      <c r="F438" s="289"/>
      <c r="G438" s="287"/>
      <c r="H438" s="304"/>
    </row>
    <row r="439" spans="2:8" x14ac:dyDescent="0.25">
      <c r="B439" s="562"/>
      <c r="C439" s="563"/>
      <c r="D439" s="301"/>
      <c r="E439" s="302"/>
      <c r="F439" s="289"/>
      <c r="G439" s="287"/>
      <c r="H439" s="304"/>
    </row>
    <row r="440" spans="2:8" x14ac:dyDescent="0.25">
      <c r="B440" s="305"/>
      <c r="C440" s="266"/>
      <c r="D440" s="266"/>
      <c r="E440" s="266"/>
      <c r="F440" s="296"/>
      <c r="G440" s="306" t="s">
        <v>25</v>
      </c>
      <c r="H440" s="307">
        <f>SUM(H437:H439)</f>
        <v>7708.4643168000011</v>
      </c>
    </row>
    <row r="441" spans="2:8" x14ac:dyDescent="0.25">
      <c r="B441" s="214" t="s">
        <v>26</v>
      </c>
      <c r="C441" s="266"/>
      <c r="D441" s="266"/>
      <c r="E441" s="266"/>
      <c r="F441" s="308"/>
      <c r="G441" s="308"/>
      <c r="H441" s="309"/>
    </row>
    <row r="442" spans="2:8" x14ac:dyDescent="0.25">
      <c r="B442" s="560" t="s">
        <v>20</v>
      </c>
      <c r="C442" s="561"/>
      <c r="D442" s="297" t="s">
        <v>27</v>
      </c>
      <c r="E442" s="297" t="s">
        <v>29</v>
      </c>
      <c r="F442" s="298" t="s">
        <v>598</v>
      </c>
      <c r="G442" s="299" t="s">
        <v>597</v>
      </c>
      <c r="H442" s="310" t="s">
        <v>482</v>
      </c>
    </row>
    <row r="443" spans="2:8" ht="27.75" customHeight="1" x14ac:dyDescent="0.25">
      <c r="B443" s="626" t="s">
        <v>658</v>
      </c>
      <c r="C443" s="627"/>
      <c r="D443" s="285" t="s">
        <v>72</v>
      </c>
      <c r="E443" s="413">
        <v>1</v>
      </c>
      <c r="F443" s="416">
        <v>1300000</v>
      </c>
      <c r="G443" s="417">
        <f>+E443*F443</f>
        <v>1300000</v>
      </c>
      <c r="H443" s="275">
        <f>+G443</f>
        <v>1300000</v>
      </c>
    </row>
    <row r="444" spans="2:8" x14ac:dyDescent="0.25">
      <c r="B444" s="624"/>
      <c r="C444" s="625"/>
      <c r="D444" s="285"/>
      <c r="E444" s="414"/>
      <c r="F444" s="289"/>
      <c r="G444" s="274"/>
      <c r="H444" s="275"/>
    </row>
    <row r="445" spans="2:8" x14ac:dyDescent="0.25">
      <c r="B445" s="624"/>
      <c r="C445" s="625"/>
      <c r="D445" s="285"/>
      <c r="E445" s="414"/>
      <c r="F445" s="289"/>
      <c r="G445" s="274"/>
      <c r="H445" s="275"/>
    </row>
    <row r="446" spans="2:8" x14ac:dyDescent="0.25">
      <c r="B446" s="596"/>
      <c r="C446" s="597"/>
      <c r="D446" s="285"/>
      <c r="E446" s="415"/>
      <c r="F446" s="303"/>
      <c r="G446" s="287"/>
      <c r="H446" s="275"/>
    </row>
    <row r="447" spans="2:8" x14ac:dyDescent="0.25">
      <c r="B447" s="305"/>
      <c r="C447" s="266"/>
      <c r="D447" s="266"/>
      <c r="E447" s="266"/>
      <c r="F447" s="308"/>
      <c r="G447" s="306" t="s">
        <v>25</v>
      </c>
      <c r="H447" s="312">
        <f>SUM(H443:H446)</f>
        <v>1300000</v>
      </c>
    </row>
    <row r="448" spans="2:8" x14ac:dyDescent="0.25">
      <c r="B448" s="214" t="s">
        <v>30</v>
      </c>
      <c r="C448" s="266"/>
      <c r="D448" s="266"/>
      <c r="E448" s="266"/>
      <c r="F448" s="308"/>
      <c r="G448" s="308"/>
      <c r="H448" s="304"/>
    </row>
    <row r="449" spans="2:8" x14ac:dyDescent="0.25">
      <c r="B449" s="560" t="s">
        <v>20</v>
      </c>
      <c r="C449" s="561"/>
      <c r="D449" s="297" t="s">
        <v>21</v>
      </c>
      <c r="E449" s="297" t="s">
        <v>127</v>
      </c>
      <c r="F449" s="298" t="s">
        <v>32</v>
      </c>
      <c r="G449" s="297" t="s">
        <v>24</v>
      </c>
      <c r="H449" s="313" t="s">
        <v>481</v>
      </c>
    </row>
    <row r="450" spans="2:8" x14ac:dyDescent="0.25">
      <c r="B450" s="598" t="s">
        <v>599</v>
      </c>
      <c r="C450" s="599"/>
      <c r="D450" s="314" t="s">
        <v>600</v>
      </c>
      <c r="E450" s="315">
        <v>6</v>
      </c>
      <c r="F450" s="274">
        <v>7070</v>
      </c>
      <c r="G450" s="274">
        <f>+E450*F450</f>
        <v>42420</v>
      </c>
      <c r="H450" s="304">
        <f>+G450</f>
        <v>42420</v>
      </c>
    </row>
    <row r="451" spans="2:8" x14ac:dyDescent="0.25">
      <c r="B451" s="598"/>
      <c r="C451" s="599"/>
      <c r="D451" s="314"/>
      <c r="E451" s="316"/>
      <c r="F451" s="317"/>
      <c r="G451" s="316"/>
      <c r="H451" s="318"/>
    </row>
    <row r="452" spans="2:8" x14ac:dyDescent="0.25">
      <c r="B452" s="305"/>
      <c r="C452" s="266"/>
      <c r="D452" s="266"/>
      <c r="E452" s="266"/>
      <c r="F452" s="296"/>
      <c r="G452" s="306" t="s">
        <v>25</v>
      </c>
      <c r="H452" s="319">
        <f>+H450</f>
        <v>42420</v>
      </c>
    </row>
    <row r="453" spans="2:8" x14ac:dyDescent="0.25">
      <c r="B453" s="214" t="s">
        <v>34</v>
      </c>
      <c r="C453" s="266"/>
      <c r="D453" s="266"/>
      <c r="E453" s="266"/>
      <c r="F453" s="296"/>
      <c r="G453" s="308"/>
      <c r="H453" s="320"/>
    </row>
    <row r="454" spans="2:8" x14ac:dyDescent="0.25">
      <c r="B454" s="321" t="s">
        <v>35</v>
      </c>
      <c r="C454" s="321" t="s">
        <v>29</v>
      </c>
      <c r="D454" s="321" t="s">
        <v>36</v>
      </c>
      <c r="E454" s="321" t="s">
        <v>37</v>
      </c>
      <c r="F454" s="322" t="s">
        <v>38</v>
      </c>
      <c r="G454" s="323" t="s">
        <v>23</v>
      </c>
      <c r="H454" s="324" t="s">
        <v>24</v>
      </c>
    </row>
    <row r="455" spans="2:8" x14ac:dyDescent="0.25">
      <c r="B455" s="288" t="s">
        <v>39</v>
      </c>
      <c r="C455" s="316">
        <v>1</v>
      </c>
      <c r="D455" s="325">
        <v>93381.6</v>
      </c>
      <c r="E455" s="326">
        <v>1.8344</v>
      </c>
      <c r="F455" s="327">
        <f>+D455*C455*E455</f>
        <v>171299.20704000001</v>
      </c>
      <c r="G455" s="316">
        <v>5</v>
      </c>
      <c r="H455" s="274">
        <f>F455/G455</f>
        <v>34259.841408</v>
      </c>
    </row>
    <row r="456" spans="2:8" x14ac:dyDescent="0.25">
      <c r="B456" s="288" t="s">
        <v>496</v>
      </c>
      <c r="C456" s="316">
        <v>2</v>
      </c>
      <c r="D456" s="325">
        <v>58363.5</v>
      </c>
      <c r="E456" s="326">
        <v>1.8344</v>
      </c>
      <c r="F456" s="327">
        <f>+D456*C456*E456</f>
        <v>214124.00880000001</v>
      </c>
      <c r="G456" s="316">
        <v>5</v>
      </c>
      <c r="H456" s="274">
        <f>+F456/G456</f>
        <v>42824.801760000002</v>
      </c>
    </row>
    <row r="457" spans="2:8" x14ac:dyDescent="0.25">
      <c r="B457" s="288"/>
      <c r="C457" s="288"/>
      <c r="D457" s="317"/>
      <c r="E457" s="288"/>
      <c r="F457" s="317"/>
      <c r="G457" s="288"/>
      <c r="H457" s="327"/>
    </row>
    <row r="458" spans="2:8" x14ac:dyDescent="0.25">
      <c r="B458" s="305"/>
      <c r="C458" s="266"/>
      <c r="D458" s="266"/>
      <c r="E458" s="266"/>
      <c r="F458" s="296"/>
      <c r="G458" s="306" t="s">
        <v>25</v>
      </c>
      <c r="H458" s="328">
        <f>+SUM(H455:H457)</f>
        <v>77084.64316800001</v>
      </c>
    </row>
    <row r="459" spans="2:8" x14ac:dyDescent="0.25">
      <c r="B459" s="217"/>
      <c r="C459" s="26"/>
      <c r="D459" s="26"/>
      <c r="E459" s="26"/>
      <c r="F459" s="215"/>
      <c r="G459" s="256"/>
      <c r="H459" s="218"/>
    </row>
    <row r="460" spans="2:8" ht="15.6" x14ac:dyDescent="0.25">
      <c r="B460" s="258"/>
      <c r="C460" s="479" t="s">
        <v>645</v>
      </c>
      <c r="D460" s="477"/>
      <c r="E460" s="477"/>
      <c r="F460" s="477"/>
      <c r="G460" s="469" t="s">
        <v>41</v>
      </c>
      <c r="H460" s="254">
        <f>+H440+H447+H452+H458</f>
        <v>1427213.1074848</v>
      </c>
    </row>
    <row r="461" spans="2:8" ht="15.6" x14ac:dyDescent="0.25">
      <c r="B461" s="258"/>
      <c r="C461" s="479"/>
      <c r="D461" s="477"/>
      <c r="E461" s="477"/>
      <c r="F461" s="477"/>
      <c r="G461" s="255"/>
      <c r="H461" s="219"/>
    </row>
    <row r="462" spans="2:8" ht="15.6" x14ac:dyDescent="0.25">
      <c r="B462" s="258"/>
      <c r="C462" s="479"/>
      <c r="D462" s="477"/>
      <c r="E462" s="477"/>
      <c r="F462" s="477"/>
      <c r="G462" s="255"/>
      <c r="H462" s="219"/>
    </row>
    <row r="463" spans="2:8" ht="15.6" x14ac:dyDescent="0.25">
      <c r="B463" s="258"/>
      <c r="C463" s="475" t="s">
        <v>643</v>
      </c>
      <c r="D463" s="474"/>
      <c r="E463" s="477"/>
      <c r="F463" s="477"/>
      <c r="G463" s="255"/>
      <c r="H463" s="219"/>
    </row>
    <row r="464" spans="2:8" ht="15" x14ac:dyDescent="0.25">
      <c r="B464" s="262"/>
      <c r="C464" s="200" t="s">
        <v>590</v>
      </c>
      <c r="D464" s="474"/>
      <c r="E464" s="478"/>
      <c r="F464" s="478"/>
      <c r="G464" s="255"/>
      <c r="H464" s="219"/>
    </row>
    <row r="465" spans="2:8" ht="15" x14ac:dyDescent="0.25">
      <c r="B465" s="264"/>
      <c r="C465" s="261" t="s">
        <v>591</v>
      </c>
      <c r="D465" s="474"/>
      <c r="E465" s="478"/>
      <c r="F465" s="478"/>
      <c r="G465" s="255"/>
      <c r="H465" s="219"/>
    </row>
    <row r="466" spans="2:8" ht="15" x14ac:dyDescent="0.25">
      <c r="B466" s="265"/>
      <c r="C466" s="261" t="s">
        <v>644</v>
      </c>
      <c r="D466" s="474"/>
      <c r="E466" s="478"/>
      <c r="F466" s="478"/>
      <c r="G466" s="255"/>
      <c r="H466" s="219"/>
    </row>
    <row r="467" spans="2:8" x14ac:dyDescent="0.25">
      <c r="B467" s="267"/>
      <c r="C467" s="268"/>
      <c r="D467" s="259"/>
      <c r="E467" s="259"/>
      <c r="F467" s="259"/>
      <c r="G467" s="259"/>
      <c r="H467" s="260"/>
    </row>
    <row r="480" spans="2:8" ht="15.6" hidden="1" x14ac:dyDescent="0.25">
      <c r="B480" s="566" t="s">
        <v>320</v>
      </c>
      <c r="C480" s="567"/>
      <c r="D480" s="567"/>
      <c r="E480" s="567"/>
      <c r="F480" s="567"/>
      <c r="G480" s="567"/>
      <c r="H480" s="568"/>
    </row>
    <row r="481" spans="2:8" hidden="1" x14ac:dyDescent="0.25">
      <c r="B481" s="569" t="str">
        <f>+PRESUPUESTO!B1</f>
        <v>MANTENIMIENTO Y ADECUACIÓN DE INSTITUCIONES EDUCATIVAS OFICIALES, DEL MUNICIPIO DE LA APARTADA CORDOBA.</v>
      </c>
      <c r="C481" s="570"/>
      <c r="D481" s="570"/>
      <c r="E481" s="570"/>
      <c r="F481" s="570"/>
      <c r="G481" s="570"/>
      <c r="H481" s="571"/>
    </row>
    <row r="482" spans="2:8" hidden="1" x14ac:dyDescent="0.25">
      <c r="B482" s="572"/>
      <c r="C482" s="573"/>
      <c r="D482" s="573"/>
      <c r="E482" s="573"/>
      <c r="F482" s="573"/>
      <c r="G482" s="573"/>
      <c r="H482" s="574"/>
    </row>
    <row r="483" spans="2:8" hidden="1" x14ac:dyDescent="0.25">
      <c r="B483" s="575"/>
      <c r="C483" s="576"/>
      <c r="D483" s="576"/>
      <c r="E483" s="576"/>
      <c r="F483" s="576"/>
      <c r="G483" s="576"/>
      <c r="H483" s="577"/>
    </row>
    <row r="484" spans="2:8" hidden="1" x14ac:dyDescent="0.25">
      <c r="B484" s="578" t="e">
        <f>+PRESUPUESTO!#REF!</f>
        <v>#REF!</v>
      </c>
      <c r="C484" s="579"/>
      <c r="D484" s="579"/>
      <c r="E484" s="579"/>
      <c r="F484" s="580"/>
      <c r="G484" s="587" t="s">
        <v>595</v>
      </c>
      <c r="H484" s="588"/>
    </row>
    <row r="485" spans="2:8" hidden="1" x14ac:dyDescent="0.25">
      <c r="B485" s="581"/>
      <c r="C485" s="582"/>
      <c r="D485" s="582"/>
      <c r="E485" s="582"/>
      <c r="F485" s="583"/>
      <c r="G485" s="589"/>
      <c r="H485" s="590"/>
    </row>
    <row r="486" spans="2:8" hidden="1" x14ac:dyDescent="0.25">
      <c r="B486" s="584"/>
      <c r="C486" s="585"/>
      <c r="D486" s="585"/>
      <c r="E486" s="585"/>
      <c r="F486" s="586"/>
      <c r="G486" s="591"/>
      <c r="H486" s="592"/>
    </row>
    <row r="487" spans="2:8" hidden="1" x14ac:dyDescent="0.25">
      <c r="B487" s="651"/>
      <c r="C487" s="652"/>
      <c r="D487" s="652"/>
      <c r="E487" s="652"/>
      <c r="F487" s="652"/>
      <c r="G487" s="652"/>
      <c r="H487" s="653"/>
    </row>
    <row r="488" spans="2:8" hidden="1" x14ac:dyDescent="0.25">
      <c r="B488" s="214" t="s">
        <v>19</v>
      </c>
      <c r="C488" s="266"/>
      <c r="D488" s="266"/>
      <c r="E488" s="266"/>
      <c r="F488" s="296"/>
      <c r="G488" s="266"/>
      <c r="H488" s="216"/>
    </row>
    <row r="489" spans="2:8" hidden="1" x14ac:dyDescent="0.25">
      <c r="B489" s="560" t="s">
        <v>20</v>
      </c>
      <c r="C489" s="561"/>
      <c r="D489" s="297" t="s">
        <v>21</v>
      </c>
      <c r="E489" s="297" t="s">
        <v>22</v>
      </c>
      <c r="F489" s="298" t="s">
        <v>23</v>
      </c>
      <c r="G489" s="299" t="s">
        <v>24</v>
      </c>
      <c r="H489" s="300" t="s">
        <v>482</v>
      </c>
    </row>
    <row r="490" spans="2:8" hidden="1" x14ac:dyDescent="0.25">
      <c r="B490" s="562" t="s">
        <v>8</v>
      </c>
      <c r="C490" s="563"/>
      <c r="D490" s="301"/>
      <c r="E490" s="302"/>
      <c r="F490" s="303">
        <v>0.1</v>
      </c>
      <c r="G490" s="287">
        <f>+H510</f>
        <v>58100.400880000001</v>
      </c>
      <c r="H490" s="304">
        <f>+F490*G490</f>
        <v>5810.0400880000007</v>
      </c>
    </row>
    <row r="491" spans="2:8" hidden="1" x14ac:dyDescent="0.25">
      <c r="B491" s="600"/>
      <c r="C491" s="601"/>
      <c r="D491" s="301"/>
      <c r="E491" s="302"/>
      <c r="F491" s="289"/>
      <c r="G491" s="287"/>
      <c r="H491" s="304"/>
    </row>
    <row r="492" spans="2:8" hidden="1" x14ac:dyDescent="0.25">
      <c r="B492" s="562"/>
      <c r="C492" s="563"/>
      <c r="D492" s="301"/>
      <c r="E492" s="302"/>
      <c r="F492" s="289"/>
      <c r="G492" s="287"/>
      <c r="H492" s="304"/>
    </row>
    <row r="493" spans="2:8" hidden="1" x14ac:dyDescent="0.25">
      <c r="B493" s="305"/>
      <c r="C493" s="266"/>
      <c r="D493" s="266"/>
      <c r="E493" s="266"/>
      <c r="F493" s="296"/>
      <c r="G493" s="306" t="s">
        <v>25</v>
      </c>
      <c r="H493" s="307">
        <f>SUM(H490:H492)</f>
        <v>5810.0400880000007</v>
      </c>
    </row>
    <row r="494" spans="2:8" hidden="1" x14ac:dyDescent="0.25">
      <c r="B494" s="214" t="s">
        <v>26</v>
      </c>
      <c r="C494" s="266"/>
      <c r="D494" s="266"/>
      <c r="E494" s="266"/>
      <c r="F494" s="308"/>
      <c r="G494" s="308"/>
      <c r="H494" s="309"/>
    </row>
    <row r="495" spans="2:8" hidden="1" x14ac:dyDescent="0.25">
      <c r="B495" s="560" t="s">
        <v>20</v>
      </c>
      <c r="C495" s="561"/>
      <c r="D495" s="297" t="s">
        <v>27</v>
      </c>
      <c r="E495" s="297" t="s">
        <v>29</v>
      </c>
      <c r="F495" s="298" t="s">
        <v>598</v>
      </c>
      <c r="G495" s="299" t="s">
        <v>597</v>
      </c>
      <c r="H495" s="310" t="s">
        <v>482</v>
      </c>
    </row>
    <row r="496" spans="2:8" hidden="1" x14ac:dyDescent="0.25">
      <c r="B496" s="554" t="s">
        <v>659</v>
      </c>
      <c r="C496" s="555"/>
      <c r="D496" s="285" t="s">
        <v>1</v>
      </c>
      <c r="E496" s="413">
        <v>1</v>
      </c>
      <c r="F496" s="289">
        <v>300000</v>
      </c>
      <c r="G496" s="274">
        <f>+F496*E496</f>
        <v>300000</v>
      </c>
      <c r="H496" s="275">
        <f>+G496</f>
        <v>300000</v>
      </c>
    </row>
    <row r="497" spans="2:8" hidden="1" x14ac:dyDescent="0.25">
      <c r="B497" s="596" t="s">
        <v>660</v>
      </c>
      <c r="C497" s="597"/>
      <c r="D497" s="285" t="s">
        <v>661</v>
      </c>
      <c r="E497" s="484">
        <v>1</v>
      </c>
      <c r="F497" s="289">
        <v>30000</v>
      </c>
      <c r="G497" s="274">
        <f>+E497*F497</f>
        <v>30000</v>
      </c>
      <c r="H497" s="275">
        <f>+G497</f>
        <v>30000</v>
      </c>
    </row>
    <row r="498" spans="2:8" hidden="1" x14ac:dyDescent="0.25">
      <c r="B498" s="596"/>
      <c r="C498" s="597"/>
      <c r="D498" s="285"/>
      <c r="E498" s="286"/>
      <c r="F498" s="303"/>
      <c r="G498" s="287"/>
      <c r="H498" s="275"/>
    </row>
    <row r="499" spans="2:8" hidden="1" x14ac:dyDescent="0.25">
      <c r="B499" s="305"/>
      <c r="C499" s="266"/>
      <c r="D499" s="266"/>
      <c r="E499" s="266"/>
      <c r="F499" s="308"/>
      <c r="G499" s="306" t="s">
        <v>25</v>
      </c>
      <c r="H499" s="312">
        <f>SUM(H496:H498)</f>
        <v>330000</v>
      </c>
    </row>
    <row r="500" spans="2:8" hidden="1" x14ac:dyDescent="0.25">
      <c r="B500" s="214" t="s">
        <v>30</v>
      </c>
      <c r="C500" s="266"/>
      <c r="D500" s="266"/>
      <c r="E500" s="266"/>
      <c r="F500" s="308"/>
      <c r="G500" s="308"/>
      <c r="H500" s="304"/>
    </row>
    <row r="501" spans="2:8" hidden="1" x14ac:dyDescent="0.25">
      <c r="B501" s="560" t="s">
        <v>20</v>
      </c>
      <c r="C501" s="561"/>
      <c r="D501" s="297" t="s">
        <v>21</v>
      </c>
      <c r="E501" s="297" t="s">
        <v>127</v>
      </c>
      <c r="F501" s="298" t="s">
        <v>32</v>
      </c>
      <c r="G501" s="297" t="s">
        <v>24</v>
      </c>
      <c r="H501" s="313" t="s">
        <v>481</v>
      </c>
    </row>
    <row r="502" spans="2:8" hidden="1" x14ac:dyDescent="0.25">
      <c r="B502" s="598" t="s">
        <v>662</v>
      </c>
      <c r="C502" s="599"/>
      <c r="D502" s="314" t="s">
        <v>600</v>
      </c>
      <c r="E502" s="315">
        <v>6</v>
      </c>
      <c r="F502" s="274">
        <v>4000</v>
      </c>
      <c r="G502" s="274">
        <f>+E502*F502</f>
        <v>24000</v>
      </c>
      <c r="H502" s="304">
        <f>+G502</f>
        <v>24000</v>
      </c>
    </row>
    <row r="503" spans="2:8" hidden="1" x14ac:dyDescent="0.25">
      <c r="B503" s="598"/>
      <c r="C503" s="599"/>
      <c r="D503" s="314"/>
      <c r="E503" s="316"/>
      <c r="F503" s="317"/>
      <c r="G503" s="316"/>
      <c r="H503" s="318"/>
    </row>
    <row r="504" spans="2:8" hidden="1" x14ac:dyDescent="0.25">
      <c r="B504" s="305"/>
      <c r="C504" s="266"/>
      <c r="D504" s="266"/>
      <c r="E504" s="266"/>
      <c r="F504" s="296"/>
      <c r="G504" s="306" t="s">
        <v>25</v>
      </c>
      <c r="H504" s="319">
        <f>+H502</f>
        <v>24000</v>
      </c>
    </row>
    <row r="505" spans="2:8" hidden="1" x14ac:dyDescent="0.25">
      <c r="B505" s="214" t="s">
        <v>34</v>
      </c>
      <c r="C505" s="266"/>
      <c r="D505" s="266"/>
      <c r="E505" s="266"/>
      <c r="F505" s="296"/>
      <c r="G505" s="308"/>
      <c r="H505" s="320"/>
    </row>
    <row r="506" spans="2:8" hidden="1" x14ac:dyDescent="0.25">
      <c r="B506" s="321" t="s">
        <v>35</v>
      </c>
      <c r="C506" s="321" t="s">
        <v>29</v>
      </c>
      <c r="D506" s="321" t="s">
        <v>36</v>
      </c>
      <c r="E506" s="321" t="s">
        <v>37</v>
      </c>
      <c r="F506" s="322" t="s">
        <v>38</v>
      </c>
      <c r="G506" s="323" t="s">
        <v>23</v>
      </c>
      <c r="H506" s="324" t="s">
        <v>24</v>
      </c>
    </row>
    <row r="507" spans="2:8" hidden="1" x14ac:dyDescent="0.25">
      <c r="B507" s="288" t="s">
        <v>663</v>
      </c>
      <c r="C507" s="316">
        <v>1</v>
      </c>
      <c r="D507" s="325">
        <v>100000</v>
      </c>
      <c r="E507" s="326">
        <v>1.8344</v>
      </c>
      <c r="F507" s="327">
        <f>+D507*C507*E507</f>
        <v>183440</v>
      </c>
      <c r="G507" s="316">
        <v>5</v>
      </c>
      <c r="H507" s="274">
        <f>F507/G507</f>
        <v>36688</v>
      </c>
    </row>
    <row r="508" spans="2:8" hidden="1" x14ac:dyDescent="0.25">
      <c r="B508" s="288" t="s">
        <v>664</v>
      </c>
      <c r="C508" s="316">
        <v>1</v>
      </c>
      <c r="D508" s="325">
        <v>58363.5</v>
      </c>
      <c r="E508" s="326">
        <v>1.8344</v>
      </c>
      <c r="F508" s="327">
        <f>+D508*C508*E508</f>
        <v>107062.00440000001</v>
      </c>
      <c r="G508" s="316">
        <v>5</v>
      </c>
      <c r="H508" s="274">
        <f>+F508/G508</f>
        <v>21412.400880000001</v>
      </c>
    </row>
    <row r="509" spans="2:8" hidden="1" x14ac:dyDescent="0.25">
      <c r="B509" s="288"/>
      <c r="C509" s="288"/>
      <c r="D509" s="317"/>
      <c r="E509" s="288"/>
      <c r="F509" s="317"/>
      <c r="G509" s="288"/>
      <c r="H509" s="327"/>
    </row>
    <row r="510" spans="2:8" hidden="1" x14ac:dyDescent="0.25">
      <c r="B510" s="305"/>
      <c r="C510" s="266"/>
      <c r="D510" s="266"/>
      <c r="E510" s="266"/>
      <c r="F510" s="296"/>
      <c r="G510" s="306" t="s">
        <v>25</v>
      </c>
      <c r="H510" s="328">
        <f>+SUM(H507:H509)</f>
        <v>58100.400880000001</v>
      </c>
    </row>
    <row r="511" spans="2:8" hidden="1" x14ac:dyDescent="0.25">
      <c r="B511" s="217"/>
      <c r="C511" s="26"/>
      <c r="D511" s="26"/>
      <c r="E511" s="26"/>
      <c r="F511" s="215"/>
      <c r="G511" s="256"/>
      <c r="H511" s="218"/>
    </row>
    <row r="512" spans="2:8" ht="15.6" hidden="1" x14ac:dyDescent="0.25">
      <c r="B512" s="258"/>
      <c r="C512" s="479" t="s">
        <v>645</v>
      </c>
      <c r="D512" s="477"/>
      <c r="E512" s="477"/>
      <c r="F512" s="477"/>
      <c r="G512" s="469" t="s">
        <v>41</v>
      </c>
      <c r="H512" s="254">
        <f>+H493+H499+H504+H510</f>
        <v>417910.44096799998</v>
      </c>
    </row>
    <row r="513" spans="2:8" ht="15.6" hidden="1" x14ac:dyDescent="0.25">
      <c r="B513" s="258"/>
      <c r="C513" s="479"/>
      <c r="D513" s="477"/>
      <c r="E513" s="477"/>
      <c r="F513" s="477"/>
      <c r="G513" s="255"/>
      <c r="H513" s="219"/>
    </row>
    <row r="514" spans="2:8" ht="15.6" hidden="1" x14ac:dyDescent="0.25">
      <c r="B514" s="258"/>
      <c r="C514" s="479"/>
      <c r="D514" s="477"/>
      <c r="E514" s="477"/>
      <c r="F514" s="477"/>
      <c r="G514" s="255"/>
      <c r="H514" s="219"/>
    </row>
    <row r="515" spans="2:8" ht="15.6" hidden="1" x14ac:dyDescent="0.25">
      <c r="B515" s="258"/>
      <c r="C515" s="475" t="s">
        <v>643</v>
      </c>
      <c r="D515" s="474"/>
      <c r="E515" s="477"/>
      <c r="F515" s="477"/>
      <c r="G515" s="255"/>
      <c r="H515" s="219"/>
    </row>
    <row r="516" spans="2:8" ht="15" hidden="1" x14ac:dyDescent="0.25">
      <c r="B516" s="262"/>
      <c r="C516" s="200" t="s">
        <v>590</v>
      </c>
      <c r="D516" s="474"/>
      <c r="E516" s="478"/>
      <c r="F516" s="478"/>
      <c r="G516" s="255"/>
      <c r="H516" s="219"/>
    </row>
    <row r="517" spans="2:8" ht="15" hidden="1" x14ac:dyDescent="0.25">
      <c r="B517" s="264"/>
      <c r="C517" s="261" t="s">
        <v>591</v>
      </c>
      <c r="D517" s="474"/>
      <c r="E517" s="478"/>
      <c r="F517" s="478"/>
      <c r="G517" s="255"/>
      <c r="H517" s="219"/>
    </row>
    <row r="518" spans="2:8" ht="15" hidden="1" x14ac:dyDescent="0.25">
      <c r="B518" s="265"/>
      <c r="C518" s="261" t="s">
        <v>644</v>
      </c>
      <c r="D518" s="474"/>
      <c r="E518" s="478"/>
      <c r="F518" s="478"/>
      <c r="G518" s="255"/>
      <c r="H518" s="219"/>
    </row>
    <row r="519" spans="2:8" hidden="1" x14ac:dyDescent="0.25">
      <c r="B519" s="267"/>
      <c r="C519" s="268"/>
      <c r="D519" s="259"/>
      <c r="E519" s="259"/>
      <c r="F519" s="259"/>
      <c r="G519" s="259"/>
      <c r="H519" s="260"/>
    </row>
    <row r="520" spans="2:8" hidden="1" x14ac:dyDescent="0.25"/>
    <row r="521" spans="2:8" hidden="1" x14ac:dyDescent="0.25"/>
    <row r="522" spans="2:8" hidden="1" x14ac:dyDescent="0.25"/>
    <row r="523" spans="2:8" hidden="1" x14ac:dyDescent="0.25">
      <c r="D523" s="257" t="s">
        <v>497</v>
      </c>
    </row>
    <row r="524" spans="2:8" hidden="1" x14ac:dyDescent="0.25"/>
    <row r="525" spans="2:8" hidden="1" x14ac:dyDescent="0.25"/>
    <row r="526" spans="2:8" hidden="1" x14ac:dyDescent="0.25"/>
    <row r="527" spans="2:8" hidden="1" x14ac:dyDescent="0.25"/>
    <row r="530" spans="2:8" ht="15.6" x14ac:dyDescent="0.25">
      <c r="B530" s="566" t="s">
        <v>320</v>
      </c>
      <c r="C530" s="567"/>
      <c r="D530" s="567"/>
      <c r="E530" s="567"/>
      <c r="F530" s="567"/>
      <c r="G530" s="567"/>
      <c r="H530" s="568"/>
    </row>
    <row r="531" spans="2:8" x14ac:dyDescent="0.25">
      <c r="B531" s="569" t="str">
        <f>+PRESUPUESTO!B1</f>
        <v>MANTENIMIENTO Y ADECUACIÓN DE INSTITUCIONES EDUCATIVAS OFICIALES, DEL MUNICIPIO DE LA APARTADA CORDOBA.</v>
      </c>
      <c r="C531" s="570"/>
      <c r="D531" s="570"/>
      <c r="E531" s="570"/>
      <c r="F531" s="570"/>
      <c r="G531" s="570"/>
      <c r="H531" s="571"/>
    </row>
    <row r="532" spans="2:8" x14ac:dyDescent="0.25">
      <c r="B532" s="572"/>
      <c r="C532" s="573"/>
      <c r="D532" s="573"/>
      <c r="E532" s="573"/>
      <c r="F532" s="573"/>
      <c r="G532" s="573"/>
      <c r="H532" s="574"/>
    </row>
    <row r="533" spans="2:8" x14ac:dyDescent="0.25">
      <c r="B533" s="575"/>
      <c r="C533" s="576"/>
      <c r="D533" s="576"/>
      <c r="E533" s="576"/>
      <c r="F533" s="576"/>
      <c r="G533" s="576"/>
      <c r="H533" s="577"/>
    </row>
    <row r="534" spans="2:8" x14ac:dyDescent="0.25">
      <c r="B534" s="578" t="str">
        <f>+PRESUPUESTO!C43</f>
        <v xml:space="preserve">S/I DE TUBERÍA SANITARIA DE 6 PULGADAS, PARA EVACUACIÓN DE AGUAS RESIDUALES </v>
      </c>
      <c r="C534" s="579"/>
      <c r="D534" s="579"/>
      <c r="E534" s="579"/>
      <c r="F534" s="580"/>
      <c r="G534" s="587" t="s">
        <v>595</v>
      </c>
      <c r="H534" s="588"/>
    </row>
    <row r="535" spans="2:8" x14ac:dyDescent="0.25">
      <c r="B535" s="581"/>
      <c r="C535" s="582"/>
      <c r="D535" s="582"/>
      <c r="E535" s="582"/>
      <c r="F535" s="583"/>
      <c r="G535" s="589"/>
      <c r="H535" s="590"/>
    </row>
    <row r="536" spans="2:8" x14ac:dyDescent="0.25">
      <c r="B536" s="584"/>
      <c r="C536" s="585"/>
      <c r="D536" s="585"/>
      <c r="E536" s="585"/>
      <c r="F536" s="586"/>
      <c r="G536" s="591"/>
      <c r="H536" s="592"/>
    </row>
    <row r="537" spans="2:8" x14ac:dyDescent="0.25">
      <c r="B537" s="518" t="s">
        <v>0</v>
      </c>
      <c r="C537" s="519">
        <f>+PRESUPUESTO!B43</f>
        <v>4.0999999999999996</v>
      </c>
      <c r="D537" s="516"/>
      <c r="E537" s="516"/>
      <c r="F537" s="516"/>
      <c r="G537" s="516"/>
      <c r="H537" s="517"/>
    </row>
    <row r="538" spans="2:8" x14ac:dyDescent="0.25">
      <c r="B538" s="214" t="s">
        <v>19</v>
      </c>
      <c r="C538" s="266"/>
      <c r="D538" s="266"/>
      <c r="E538" s="266"/>
      <c r="F538" s="296"/>
      <c r="G538" s="266"/>
      <c r="H538" s="216"/>
    </row>
    <row r="539" spans="2:8" x14ac:dyDescent="0.25">
      <c r="B539" s="560" t="s">
        <v>20</v>
      </c>
      <c r="C539" s="561"/>
      <c r="D539" s="297" t="s">
        <v>21</v>
      </c>
      <c r="E539" s="297" t="s">
        <v>22</v>
      </c>
      <c r="F539" s="298" t="s">
        <v>23</v>
      </c>
      <c r="G539" s="299" t="s">
        <v>24</v>
      </c>
      <c r="H539" s="300" t="s">
        <v>482</v>
      </c>
    </row>
    <row r="540" spans="2:8" x14ac:dyDescent="0.25">
      <c r="B540" s="562" t="s">
        <v>8</v>
      </c>
      <c r="C540" s="563"/>
      <c r="D540" s="301"/>
      <c r="E540" s="302"/>
      <c r="F540" s="303">
        <v>0.1</v>
      </c>
      <c r="G540" s="287">
        <f>+H560</f>
        <v>34795.151429999998</v>
      </c>
      <c r="H540" s="304">
        <f>+F540*G540</f>
        <v>3479.5151430000001</v>
      </c>
    </row>
    <row r="541" spans="2:8" x14ac:dyDescent="0.25">
      <c r="B541" s="600"/>
      <c r="C541" s="601"/>
      <c r="D541" s="301"/>
      <c r="E541" s="302"/>
      <c r="F541" s="289"/>
      <c r="G541" s="287"/>
      <c r="H541" s="304"/>
    </row>
    <row r="542" spans="2:8" x14ac:dyDescent="0.25">
      <c r="B542" s="562"/>
      <c r="C542" s="563"/>
      <c r="D542" s="301"/>
      <c r="E542" s="302"/>
      <c r="F542" s="289"/>
      <c r="G542" s="287"/>
      <c r="H542" s="304"/>
    </row>
    <row r="543" spans="2:8" x14ac:dyDescent="0.25">
      <c r="B543" s="305"/>
      <c r="C543" s="266"/>
      <c r="D543" s="266"/>
      <c r="E543" s="266"/>
      <c r="F543" s="296"/>
      <c r="G543" s="306" t="s">
        <v>25</v>
      </c>
      <c r="H543" s="307">
        <f>SUM(H540:H542)</f>
        <v>3479.5151430000001</v>
      </c>
    </row>
    <row r="544" spans="2:8" x14ac:dyDescent="0.25">
      <c r="B544" s="214" t="s">
        <v>26</v>
      </c>
      <c r="C544" s="266"/>
      <c r="D544" s="266"/>
      <c r="E544" s="266"/>
      <c r="F544" s="308"/>
      <c r="G544" s="308"/>
      <c r="H544" s="309"/>
    </row>
    <row r="545" spans="2:11" x14ac:dyDescent="0.25">
      <c r="B545" s="560" t="s">
        <v>20</v>
      </c>
      <c r="C545" s="561"/>
      <c r="D545" s="297" t="s">
        <v>27</v>
      </c>
      <c r="E545" s="297" t="s">
        <v>29</v>
      </c>
      <c r="F545" s="298" t="s">
        <v>598</v>
      </c>
      <c r="G545" s="299" t="s">
        <v>597</v>
      </c>
      <c r="H545" s="310" t="s">
        <v>482</v>
      </c>
    </row>
    <row r="546" spans="2:11" x14ac:dyDescent="0.25">
      <c r="B546" s="554" t="s">
        <v>666</v>
      </c>
      <c r="C546" s="555"/>
      <c r="D546" s="285"/>
      <c r="E546" s="413">
        <v>1</v>
      </c>
      <c r="F546" s="289">
        <v>39750</v>
      </c>
      <c r="G546" s="274">
        <f>+F546*E546</f>
        <v>39750</v>
      </c>
      <c r="H546" s="275">
        <f>+G546</f>
        <v>39750</v>
      </c>
    </row>
    <row r="547" spans="2:11" x14ac:dyDescent="0.25">
      <c r="B547" s="596"/>
      <c r="C547" s="597"/>
      <c r="D547" s="285"/>
      <c r="E547" s="484">
        <v>1</v>
      </c>
      <c r="F547" s="289"/>
      <c r="G547" s="274"/>
      <c r="H547" s="275"/>
    </row>
    <row r="548" spans="2:11" x14ac:dyDescent="0.25">
      <c r="B548" s="596"/>
      <c r="C548" s="597"/>
      <c r="D548" s="285"/>
      <c r="E548" s="286"/>
      <c r="F548" s="303"/>
      <c r="G548" s="287"/>
      <c r="H548" s="275"/>
      <c r="K548" s="257" t="s">
        <v>497</v>
      </c>
    </row>
    <row r="549" spans="2:11" x14ac:dyDescent="0.25">
      <c r="B549" s="305"/>
      <c r="C549" s="266"/>
      <c r="D549" s="266"/>
      <c r="E549" s="266"/>
      <c r="F549" s="308"/>
      <c r="G549" s="306" t="s">
        <v>25</v>
      </c>
      <c r="H549" s="312">
        <f>SUM(H546:H548)</f>
        <v>39750</v>
      </c>
    </row>
    <row r="550" spans="2:11" x14ac:dyDescent="0.25">
      <c r="B550" s="214" t="s">
        <v>30</v>
      </c>
      <c r="C550" s="266"/>
      <c r="D550" s="266"/>
      <c r="E550" s="266"/>
      <c r="F550" s="308"/>
      <c r="G550" s="308"/>
      <c r="H550" s="304"/>
    </row>
    <row r="551" spans="2:11" x14ac:dyDescent="0.25">
      <c r="B551" s="560" t="s">
        <v>20</v>
      </c>
      <c r="C551" s="561"/>
      <c r="D551" s="297" t="s">
        <v>21</v>
      </c>
      <c r="E551" s="297" t="s">
        <v>127</v>
      </c>
      <c r="F551" s="298" t="s">
        <v>32</v>
      </c>
      <c r="G551" s="297" t="s">
        <v>24</v>
      </c>
      <c r="H551" s="313" t="s">
        <v>481</v>
      </c>
    </row>
    <row r="552" spans="2:11" x14ac:dyDescent="0.25">
      <c r="B552" s="598" t="s">
        <v>662</v>
      </c>
      <c r="C552" s="599"/>
      <c r="D552" s="314" t="s">
        <v>600</v>
      </c>
      <c r="E552" s="315">
        <v>6</v>
      </c>
      <c r="F552" s="274">
        <v>2000</v>
      </c>
      <c r="G552" s="274">
        <f>+E552*F552</f>
        <v>12000</v>
      </c>
      <c r="H552" s="304">
        <f>+G552</f>
        <v>12000</v>
      </c>
    </row>
    <row r="553" spans="2:11" x14ac:dyDescent="0.25">
      <c r="B553" s="598"/>
      <c r="C553" s="599"/>
      <c r="D553" s="314"/>
      <c r="E553" s="316"/>
      <c r="F553" s="317"/>
      <c r="G553" s="316"/>
      <c r="H553" s="318"/>
    </row>
    <row r="554" spans="2:11" x14ac:dyDescent="0.25">
      <c r="B554" s="305"/>
      <c r="C554" s="266"/>
      <c r="D554" s="266"/>
      <c r="E554" s="266"/>
      <c r="F554" s="296"/>
      <c r="G554" s="306" t="s">
        <v>25</v>
      </c>
      <c r="H554" s="319">
        <f>+H552</f>
        <v>12000</v>
      </c>
    </row>
    <row r="555" spans="2:11" x14ac:dyDescent="0.25">
      <c r="B555" s="214" t="s">
        <v>34</v>
      </c>
      <c r="C555" s="266"/>
      <c r="D555" s="266"/>
      <c r="E555" s="266"/>
      <c r="F555" s="296"/>
      <c r="G555" s="308"/>
      <c r="H555" s="320"/>
    </row>
    <row r="556" spans="2:11" x14ac:dyDescent="0.25">
      <c r="B556" s="321" t="s">
        <v>35</v>
      </c>
      <c r="C556" s="321" t="s">
        <v>29</v>
      </c>
      <c r="D556" s="321" t="s">
        <v>36</v>
      </c>
      <c r="E556" s="321" t="s">
        <v>37</v>
      </c>
      <c r="F556" s="322" t="s">
        <v>38</v>
      </c>
      <c r="G556" s="323" t="s">
        <v>23</v>
      </c>
      <c r="H556" s="324" t="s">
        <v>24</v>
      </c>
    </row>
    <row r="557" spans="2:11" x14ac:dyDescent="0.25">
      <c r="B557" s="288" t="s">
        <v>665</v>
      </c>
      <c r="C557" s="316">
        <v>1</v>
      </c>
      <c r="D557" s="325">
        <f>+D455</f>
        <v>93381.6</v>
      </c>
      <c r="E557" s="326">
        <v>1.8344</v>
      </c>
      <c r="F557" s="327">
        <f>+D557*C557*E557</f>
        <v>171299.20704000001</v>
      </c>
      <c r="G557" s="316">
        <v>8</v>
      </c>
      <c r="H557" s="274">
        <f>F557/G557</f>
        <v>21412.400880000001</v>
      </c>
    </row>
    <row r="558" spans="2:11" x14ac:dyDescent="0.25">
      <c r="B558" s="288" t="s">
        <v>664</v>
      </c>
      <c r="C558" s="316">
        <v>1</v>
      </c>
      <c r="D558" s="325">
        <v>58363.5</v>
      </c>
      <c r="E558" s="326">
        <v>1.8344</v>
      </c>
      <c r="F558" s="327">
        <f>+D558*C558*E558</f>
        <v>107062.00440000001</v>
      </c>
      <c r="G558" s="316">
        <v>8</v>
      </c>
      <c r="H558" s="274">
        <f>+F558/G558</f>
        <v>13382.750550000001</v>
      </c>
    </row>
    <row r="559" spans="2:11" x14ac:dyDescent="0.25">
      <c r="B559" s="288"/>
      <c r="C559" s="288"/>
      <c r="D559" s="317"/>
      <c r="E559" s="288"/>
      <c r="F559" s="317"/>
      <c r="G559" s="288"/>
      <c r="H559" s="327"/>
    </row>
    <row r="560" spans="2:11" x14ac:dyDescent="0.25">
      <c r="B560" s="305"/>
      <c r="C560" s="266"/>
      <c r="D560" s="266"/>
      <c r="E560" s="266"/>
      <c r="F560" s="296"/>
      <c r="G560" s="306" t="s">
        <v>25</v>
      </c>
      <c r="H560" s="328">
        <f>+SUM(H557:H559)</f>
        <v>34795.151429999998</v>
      </c>
    </row>
    <row r="561" spans="2:8" x14ac:dyDescent="0.25">
      <c r="B561" s="217"/>
      <c r="C561" s="26"/>
      <c r="D561" s="26"/>
      <c r="E561" s="26"/>
      <c r="F561" s="215"/>
      <c r="G561" s="256"/>
      <c r="H561" s="218"/>
    </row>
    <row r="562" spans="2:8" ht="15.6" x14ac:dyDescent="0.25">
      <c r="B562" s="258"/>
      <c r="C562" s="479" t="s">
        <v>645</v>
      </c>
      <c r="D562" s="477"/>
      <c r="E562" s="477"/>
      <c r="F562" s="477"/>
      <c r="G562" s="469" t="s">
        <v>41</v>
      </c>
      <c r="H562" s="254">
        <f>+H543+H549+H554+H560</f>
        <v>90024.666572999995</v>
      </c>
    </row>
    <row r="563" spans="2:8" ht="15.6" x14ac:dyDescent="0.25">
      <c r="B563" s="258"/>
      <c r="C563" s="479"/>
      <c r="D563" s="477"/>
      <c r="E563" s="477"/>
      <c r="F563" s="477"/>
      <c r="G563" s="255"/>
      <c r="H563" s="219"/>
    </row>
    <row r="564" spans="2:8" ht="15.6" x14ac:dyDescent="0.25">
      <c r="B564" s="258"/>
      <c r="C564" s="479"/>
      <c r="D564" s="477"/>
      <c r="E564" s="477"/>
      <c r="F564" s="477"/>
      <c r="G564" s="255"/>
      <c r="H564" s="219"/>
    </row>
    <row r="565" spans="2:8" ht="15.6" x14ac:dyDescent="0.25">
      <c r="B565" s="258"/>
      <c r="C565" s="475" t="s">
        <v>643</v>
      </c>
      <c r="D565" s="474"/>
      <c r="E565" s="477"/>
      <c r="F565" s="477"/>
      <c r="G565" s="255"/>
      <c r="H565" s="219"/>
    </row>
    <row r="566" spans="2:8" ht="15" x14ac:dyDescent="0.25">
      <c r="B566" s="262"/>
      <c r="C566" s="200" t="s">
        <v>590</v>
      </c>
      <c r="D566" s="474"/>
      <c r="E566" s="478"/>
      <c r="F566" s="478"/>
      <c r="G566" s="255"/>
      <c r="H566" s="219"/>
    </row>
    <row r="567" spans="2:8" ht="15" x14ac:dyDescent="0.25">
      <c r="B567" s="264"/>
      <c r="C567" s="261" t="s">
        <v>591</v>
      </c>
      <c r="D567" s="474"/>
      <c r="E567" s="478"/>
      <c r="F567" s="478"/>
      <c r="G567" s="255"/>
      <c r="H567" s="219"/>
    </row>
    <row r="568" spans="2:8" ht="15" x14ac:dyDescent="0.25">
      <c r="B568" s="265"/>
      <c r="C568" s="261" t="s">
        <v>644</v>
      </c>
      <c r="D568" s="474"/>
      <c r="E568" s="478"/>
      <c r="F568" s="478"/>
      <c r="G568" s="255"/>
      <c r="H568" s="219"/>
    </row>
    <row r="569" spans="2:8" x14ac:dyDescent="0.25">
      <c r="B569" s="267"/>
      <c r="C569" s="268"/>
      <c r="D569" s="259"/>
      <c r="E569" s="259"/>
      <c r="F569" s="259"/>
      <c r="G569" s="259"/>
      <c r="H569" s="260"/>
    </row>
  </sheetData>
  <mergeCells count="179">
    <mergeCell ref="B399:C399"/>
    <mergeCell ref="B427:H427"/>
    <mergeCell ref="B428:H430"/>
    <mergeCell ref="B431:F433"/>
    <mergeCell ref="G431:H433"/>
    <mergeCell ref="B400:C400"/>
    <mergeCell ref="B401:C401"/>
    <mergeCell ref="B449:C449"/>
    <mergeCell ref="B450:C450"/>
    <mergeCell ref="B444:C444"/>
    <mergeCell ref="B445:C445"/>
    <mergeCell ref="B446:C446"/>
    <mergeCell ref="B436:C436"/>
    <mergeCell ref="B437:C437"/>
    <mergeCell ref="B438:C438"/>
    <mergeCell ref="B439:C439"/>
    <mergeCell ref="B480:H480"/>
    <mergeCell ref="B481:H483"/>
    <mergeCell ref="B484:F486"/>
    <mergeCell ref="G484:H486"/>
    <mergeCell ref="B451:C451"/>
    <mergeCell ref="B85:C85"/>
    <mergeCell ref="B86:C86"/>
    <mergeCell ref="B87:C87"/>
    <mergeCell ref="B137:C137"/>
    <mergeCell ref="B141:C141"/>
    <mergeCell ref="B142:C142"/>
    <mergeCell ref="B188:C188"/>
    <mergeCell ref="B194:C194"/>
    <mergeCell ref="B195:C195"/>
    <mergeCell ref="B184:C184"/>
    <mergeCell ref="B185:C185"/>
    <mergeCell ref="B186:C186"/>
    <mergeCell ref="B187:C187"/>
    <mergeCell ref="B178:C178"/>
    <mergeCell ref="B179:C179"/>
    <mergeCell ref="B140:C140"/>
    <mergeCell ref="B442:C442"/>
    <mergeCell ref="B443:C443"/>
    <mergeCell ref="B169:H169"/>
    <mergeCell ref="B502:C502"/>
    <mergeCell ref="B503:C503"/>
    <mergeCell ref="B495:C495"/>
    <mergeCell ref="B496:C496"/>
    <mergeCell ref="B497:C497"/>
    <mergeCell ref="B498:C498"/>
    <mergeCell ref="B501:C501"/>
    <mergeCell ref="B487:H487"/>
    <mergeCell ref="B489:C489"/>
    <mergeCell ref="B490:C490"/>
    <mergeCell ref="B491:C491"/>
    <mergeCell ref="B492:C492"/>
    <mergeCell ref="B391:C391"/>
    <mergeCell ref="B392:C392"/>
    <mergeCell ref="B394:C394"/>
    <mergeCell ref="B395:C395"/>
    <mergeCell ref="B396:C396"/>
    <mergeCell ref="B385:C385"/>
    <mergeCell ref="B386:C386"/>
    <mergeCell ref="B387:C387"/>
    <mergeCell ref="B388:C388"/>
    <mergeCell ref="B377:H379"/>
    <mergeCell ref="B380:F382"/>
    <mergeCell ref="G380:H382"/>
    <mergeCell ref="B349:C349"/>
    <mergeCell ref="B350:C350"/>
    <mergeCell ref="B351:C351"/>
    <mergeCell ref="B340:C340"/>
    <mergeCell ref="B341:C341"/>
    <mergeCell ref="B342:C342"/>
    <mergeCell ref="B343:C343"/>
    <mergeCell ref="B346:C346"/>
    <mergeCell ref="B344:C344"/>
    <mergeCell ref="B345:C345"/>
    <mergeCell ref="B334:C334"/>
    <mergeCell ref="B335:C335"/>
    <mergeCell ref="B336:C336"/>
    <mergeCell ref="B337:C337"/>
    <mergeCell ref="B325:H325"/>
    <mergeCell ref="B326:H328"/>
    <mergeCell ref="B329:F331"/>
    <mergeCell ref="G329:H331"/>
    <mergeCell ref="B376:H376"/>
    <mergeCell ref="B297:C297"/>
    <mergeCell ref="B298:C298"/>
    <mergeCell ref="B299:C299"/>
    <mergeCell ref="B288:C288"/>
    <mergeCell ref="B290:C290"/>
    <mergeCell ref="B291:C291"/>
    <mergeCell ref="B294:C294"/>
    <mergeCell ref="B282:C282"/>
    <mergeCell ref="B283:C283"/>
    <mergeCell ref="B284:C284"/>
    <mergeCell ref="B285:C285"/>
    <mergeCell ref="B292:C292"/>
    <mergeCell ref="B293:C293"/>
    <mergeCell ref="B244:C244"/>
    <mergeCell ref="B245:C245"/>
    <mergeCell ref="B273:H273"/>
    <mergeCell ref="B274:H276"/>
    <mergeCell ref="B277:F279"/>
    <mergeCell ref="G277:H279"/>
    <mergeCell ref="B237:C237"/>
    <mergeCell ref="B238:C238"/>
    <mergeCell ref="B239:C239"/>
    <mergeCell ref="B240:C240"/>
    <mergeCell ref="B243:C243"/>
    <mergeCell ref="B233:C233"/>
    <mergeCell ref="B234:C234"/>
    <mergeCell ref="B191:C191"/>
    <mergeCell ref="B192:C192"/>
    <mergeCell ref="B222:H222"/>
    <mergeCell ref="B223:H225"/>
    <mergeCell ref="B226:F228"/>
    <mergeCell ref="G226:H228"/>
    <mergeCell ref="B198:C198"/>
    <mergeCell ref="B199:C199"/>
    <mergeCell ref="B200:C200"/>
    <mergeCell ref="B129:C129"/>
    <mergeCell ref="B82:C82"/>
    <mergeCell ref="B117:H117"/>
    <mergeCell ref="B118:H120"/>
    <mergeCell ref="B121:F123"/>
    <mergeCell ref="G121:H123"/>
    <mergeCell ref="D96:G96"/>
    <mergeCell ref="B231:C231"/>
    <mergeCell ref="B232:C232"/>
    <mergeCell ref="B170:H172"/>
    <mergeCell ref="B173:F175"/>
    <mergeCell ref="G173:H175"/>
    <mergeCell ref="D151:G151"/>
    <mergeCell ref="B132:C132"/>
    <mergeCell ref="B134:C134"/>
    <mergeCell ref="B25:C25"/>
    <mergeCell ref="B8:H8"/>
    <mergeCell ref="B9:H11"/>
    <mergeCell ref="B12:F14"/>
    <mergeCell ref="G12:H14"/>
    <mergeCell ref="B17:C17"/>
    <mergeCell ref="B18:C18"/>
    <mergeCell ref="B19:C19"/>
    <mergeCell ref="B20:C20"/>
    <mergeCell ref="B23:C23"/>
    <mergeCell ref="B24:C24"/>
    <mergeCell ref="B26:C26"/>
    <mergeCell ref="B29:C29"/>
    <mergeCell ref="B30:C30"/>
    <mergeCell ref="B31:C31"/>
    <mergeCell ref="D40:G40"/>
    <mergeCell ref="B530:H530"/>
    <mergeCell ref="B531:H533"/>
    <mergeCell ref="B534:F536"/>
    <mergeCell ref="G534:H536"/>
    <mergeCell ref="B75:C75"/>
    <mergeCell ref="B76:C76"/>
    <mergeCell ref="B81:C81"/>
    <mergeCell ref="B68:C68"/>
    <mergeCell ref="B69:C69"/>
    <mergeCell ref="B70:C70"/>
    <mergeCell ref="B71:C71"/>
    <mergeCell ref="B74:C74"/>
    <mergeCell ref="B59:H59"/>
    <mergeCell ref="B60:H62"/>
    <mergeCell ref="B63:F65"/>
    <mergeCell ref="G63:H65"/>
    <mergeCell ref="B126:C126"/>
    <mergeCell ref="B127:C127"/>
    <mergeCell ref="B128:C128"/>
    <mergeCell ref="B551:C551"/>
    <mergeCell ref="B552:C552"/>
    <mergeCell ref="B553:C553"/>
    <mergeCell ref="B539:C539"/>
    <mergeCell ref="B540:C540"/>
    <mergeCell ref="B541:C541"/>
    <mergeCell ref="B542:C542"/>
    <mergeCell ref="B545:C545"/>
    <mergeCell ref="B546:C546"/>
    <mergeCell ref="B547:C547"/>
    <mergeCell ref="B548:C548"/>
  </mergeCells>
  <dataValidations count="2">
    <dataValidation type="list" allowBlank="1" showInputMessage="1" showErrorMessage="1" sqref="B498:C498 B446:C446 B548:C548 B26:C26 B294:C294 B82:C82 B137:C137" xr:uid="{69D20CE6-3D6D-40CD-BC81-85825286F6C8}">
      <formula1>#REF!</formula1>
    </dataValidation>
    <dataValidation type="list" allowBlank="1" showInputMessage="1" showErrorMessage="1" sqref="B195:C195 B346:C346" xr:uid="{3CA4D45F-8906-4190-A551-CD1EB3C59456}">
      <formula1>$C$1:$C$45</formula1>
    </dataValidation>
  </dataValidations>
  <pageMargins left="0.70866141732283472" right="0.70866141732283472" top="0.74803149606299213" bottom="0.74803149606299213" header="0.31496062992125984" footer="0.31496062992125984"/>
  <pageSetup scale="10" orientation="portrait" r:id="rId1"/>
  <ignoredErrors>
    <ignoredError sqref="H291:H29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6CCAE5-88E3-4BB9-BA19-10879F498C80}">
          <x14:formula1>
            <xm:f>MATERIALES!$B$5:$B$146</xm:f>
          </x14:formula1>
          <xm:sqref>B496:C497 B546:C547</xm:sqref>
        </x14:dataValidation>
        <x14:dataValidation type="list" allowBlank="1" showInputMessage="1" showErrorMessage="1" xr:uid="{8FECD77E-22F8-4C58-8768-EA9D339CA473}">
          <x14:formula1>
            <xm:f>EQUIPOS!$B$6:$B$25</xm:f>
          </x14:formula1>
          <xm:sqref>B491:C491 B438:C438 B541:C541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DE94F-C923-411B-952C-55444656311D}">
  <sheetPr>
    <tabColor rgb="FF00B0F0"/>
    <pageSetUpPr fitToPage="1"/>
  </sheetPr>
  <dimension ref="B5:K312"/>
  <sheetViews>
    <sheetView showGridLines="0" zoomScale="81" zoomScaleNormal="77" workbookViewId="0">
      <selection activeCell="L19" sqref="L19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ht="14.25" customHeight="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ht="14.25" customHeight="1" x14ac:dyDescent="0.25">
      <c r="B10" s="572"/>
      <c r="C10" s="573"/>
      <c r="D10" s="573"/>
      <c r="E10" s="573"/>
      <c r="F10" s="573"/>
      <c r="G10" s="573"/>
      <c r="H10" s="574"/>
    </row>
    <row r="11" spans="2:11" ht="14.25" customHeight="1" x14ac:dyDescent="0.25">
      <c r="B11" s="575"/>
      <c r="C11" s="576"/>
      <c r="D11" s="576"/>
      <c r="E11" s="576"/>
      <c r="F11" s="576"/>
      <c r="G11" s="576"/>
      <c r="H11" s="577"/>
    </row>
    <row r="12" spans="2:11" x14ac:dyDescent="0.25">
      <c r="B12" s="578" t="str">
        <f>+PRESUPUESTO!C46</f>
        <v>S/I DE CIELO RASO EN LAMINA PVC, COMEDOR</v>
      </c>
      <c r="C12" s="579"/>
      <c r="D12" s="579"/>
      <c r="E12" s="579"/>
      <c r="F12" s="580"/>
      <c r="G12" s="587" t="s">
        <v>606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+PRESUPUESTO!B46</f>
        <v>5.0999999999999996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8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8" x14ac:dyDescent="0.25">
      <c r="B18" s="562" t="s">
        <v>8</v>
      </c>
      <c r="C18" s="563"/>
      <c r="D18" s="301"/>
      <c r="E18" s="302"/>
      <c r="F18" s="303">
        <v>0.1</v>
      </c>
      <c r="G18" s="287">
        <f>+H46</f>
        <v>17397.575714999999</v>
      </c>
      <c r="H18" s="304">
        <f>+F18*G18</f>
        <v>1739.7575715</v>
      </c>
    </row>
    <row r="19" spans="2:8" x14ac:dyDescent="0.25">
      <c r="B19" s="460" t="s">
        <v>632</v>
      </c>
      <c r="C19" s="461"/>
      <c r="D19" s="301"/>
      <c r="E19" s="427">
        <v>4200</v>
      </c>
      <c r="F19" s="289">
        <v>5</v>
      </c>
      <c r="G19" s="287">
        <f>+E19/F19</f>
        <v>840</v>
      </c>
      <c r="H19" s="304">
        <f>+G19</f>
        <v>840</v>
      </c>
    </row>
    <row r="20" spans="2:8" x14ac:dyDescent="0.25">
      <c r="B20" s="460" t="s">
        <v>633</v>
      </c>
      <c r="C20" s="461"/>
      <c r="D20" s="301"/>
      <c r="E20" s="427">
        <v>4600</v>
      </c>
      <c r="F20" s="289">
        <v>5</v>
      </c>
      <c r="G20" s="287">
        <f>+E20/F20</f>
        <v>920</v>
      </c>
      <c r="H20" s="304">
        <f>+G20</f>
        <v>920</v>
      </c>
    </row>
    <row r="21" spans="2:8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3499.7575715000003</v>
      </c>
    </row>
    <row r="22" spans="2:8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8" x14ac:dyDescent="0.25">
      <c r="B23" s="560" t="s">
        <v>20</v>
      </c>
      <c r="C23" s="561"/>
      <c r="D23" s="297" t="s">
        <v>27</v>
      </c>
      <c r="E23" s="297" t="s">
        <v>28</v>
      </c>
      <c r="F23" s="298" t="s">
        <v>29</v>
      </c>
      <c r="G23" s="299" t="s">
        <v>24</v>
      </c>
      <c r="H23" s="310" t="s">
        <v>482</v>
      </c>
    </row>
    <row r="24" spans="2:8" ht="27.6" customHeight="1" x14ac:dyDescent="0.25">
      <c r="B24" s="554"/>
      <c r="C24" s="555"/>
      <c r="D24" s="271" t="str">
        <f>+IF(B24=0,"",(VLOOKUP(B24,[7]MATERIALES!$B$6:$D$149,3,FALSE)))</f>
        <v/>
      </c>
      <c r="E24" s="272"/>
      <c r="F24" s="273"/>
      <c r="G24" s="274">
        <f t="shared" ref="G24:G33" si="0">E24*F24</f>
        <v>0</v>
      </c>
      <c r="H24" s="275">
        <f>G24</f>
        <v>0</v>
      </c>
    </row>
    <row r="25" spans="2:8" ht="22.5" customHeight="1" x14ac:dyDescent="0.25">
      <c r="B25" s="556" t="s">
        <v>634</v>
      </c>
      <c r="C25" s="557"/>
      <c r="D25" s="462" t="s">
        <v>1</v>
      </c>
      <c r="E25" s="427">
        <v>3650</v>
      </c>
      <c r="F25" s="463">
        <v>0.35</v>
      </c>
      <c r="G25" s="274">
        <f t="shared" si="0"/>
        <v>1277.5</v>
      </c>
      <c r="H25" s="275">
        <f t="shared" ref="H25:H31" si="1">G25</f>
        <v>1277.5</v>
      </c>
    </row>
    <row r="26" spans="2:8" ht="18.75" customHeight="1" x14ac:dyDescent="0.25">
      <c r="B26" s="556" t="s">
        <v>635</v>
      </c>
      <c r="C26" s="557"/>
      <c r="D26" s="462" t="s">
        <v>1</v>
      </c>
      <c r="E26" s="427">
        <v>500</v>
      </c>
      <c r="F26" s="463">
        <v>5</v>
      </c>
      <c r="G26" s="274">
        <f t="shared" si="0"/>
        <v>2500</v>
      </c>
      <c r="H26" s="275">
        <f t="shared" si="1"/>
        <v>2500</v>
      </c>
    </row>
    <row r="27" spans="2:8" x14ac:dyDescent="0.25">
      <c r="B27" s="564" t="s">
        <v>636</v>
      </c>
      <c r="C27" s="565"/>
      <c r="D27" s="462" t="s">
        <v>1</v>
      </c>
      <c r="E27" s="427">
        <v>5200</v>
      </c>
      <c r="F27" s="463">
        <v>1.8</v>
      </c>
      <c r="G27" s="274">
        <f t="shared" si="0"/>
        <v>9360</v>
      </c>
      <c r="H27" s="275">
        <f t="shared" si="1"/>
        <v>9360</v>
      </c>
    </row>
    <row r="28" spans="2:8" x14ac:dyDescent="0.25">
      <c r="B28" s="410" t="s">
        <v>637</v>
      </c>
      <c r="C28" s="464"/>
      <c r="D28" s="462" t="s">
        <v>332</v>
      </c>
      <c r="E28" s="427">
        <v>15600</v>
      </c>
      <c r="F28" s="463">
        <v>7.0000000000000007E-2</v>
      </c>
      <c r="G28" s="274">
        <f t="shared" si="0"/>
        <v>1092</v>
      </c>
      <c r="H28" s="275">
        <f t="shared" si="1"/>
        <v>1092</v>
      </c>
    </row>
    <row r="29" spans="2:8" x14ac:dyDescent="0.25">
      <c r="B29" s="410" t="s">
        <v>638</v>
      </c>
      <c r="C29" s="464"/>
      <c r="D29" s="462" t="s">
        <v>1</v>
      </c>
      <c r="E29" s="427">
        <v>7900</v>
      </c>
      <c r="F29" s="463">
        <v>0.35</v>
      </c>
      <c r="G29" s="274">
        <f t="shared" si="0"/>
        <v>2765</v>
      </c>
      <c r="H29" s="275">
        <f t="shared" si="1"/>
        <v>2765</v>
      </c>
    </row>
    <row r="30" spans="2:8" x14ac:dyDescent="0.25">
      <c r="B30" s="556" t="s">
        <v>639</v>
      </c>
      <c r="C30" s="557"/>
      <c r="D30" s="462" t="s">
        <v>1</v>
      </c>
      <c r="E30" s="427">
        <f>(79692)/4</f>
        <v>19923</v>
      </c>
      <c r="F30" s="463">
        <v>1.2</v>
      </c>
      <c r="G30" s="274">
        <f t="shared" si="0"/>
        <v>23907.599999999999</v>
      </c>
      <c r="H30" s="275">
        <f t="shared" si="1"/>
        <v>23907.599999999999</v>
      </c>
    </row>
    <row r="31" spans="2:8" x14ac:dyDescent="0.25">
      <c r="B31" s="558" t="s">
        <v>640</v>
      </c>
      <c r="C31" s="559"/>
      <c r="D31" s="462" t="s">
        <v>1</v>
      </c>
      <c r="E31" s="427">
        <v>200</v>
      </c>
      <c r="F31" s="463">
        <v>20</v>
      </c>
      <c r="G31" s="274">
        <f t="shared" si="0"/>
        <v>4000</v>
      </c>
      <c r="H31" s="275">
        <f t="shared" si="1"/>
        <v>4000</v>
      </c>
    </row>
    <row r="32" spans="2:8" x14ac:dyDescent="0.25">
      <c r="B32" s="408"/>
      <c r="C32" s="409"/>
      <c r="D32" s="271"/>
      <c r="E32" s="272"/>
      <c r="F32" s="273"/>
      <c r="G32" s="274"/>
      <c r="H32" s="275"/>
    </row>
    <row r="33" spans="2:11" x14ac:dyDescent="0.25">
      <c r="B33" s="596" t="s">
        <v>605</v>
      </c>
      <c r="C33" s="597"/>
      <c r="D33" s="271" t="s">
        <v>501</v>
      </c>
      <c r="E33" s="272">
        <f>+SUM(G25:G32)</f>
        <v>44902.1</v>
      </c>
      <c r="F33" s="276">
        <v>0.05</v>
      </c>
      <c r="G33" s="274">
        <f t="shared" si="0"/>
        <v>2245.105</v>
      </c>
      <c r="H33" s="275">
        <f>G33</f>
        <v>2245.105</v>
      </c>
    </row>
    <row r="34" spans="2:11" x14ac:dyDescent="0.25">
      <c r="B34" s="596"/>
      <c r="C34" s="597"/>
      <c r="D34" s="285"/>
      <c r="E34" s="286"/>
      <c r="F34" s="289"/>
      <c r="G34" s="287"/>
      <c r="H34" s="288"/>
    </row>
    <row r="35" spans="2:11" x14ac:dyDescent="0.25">
      <c r="B35" s="305"/>
      <c r="C35" s="266"/>
      <c r="D35" s="266"/>
      <c r="E35" s="266"/>
      <c r="F35" s="308"/>
      <c r="G35" s="306" t="s">
        <v>25</v>
      </c>
      <c r="H35" s="312">
        <f>SUM(H24:H34)</f>
        <v>47147.205000000002</v>
      </c>
    </row>
    <row r="36" spans="2:11" x14ac:dyDescent="0.25">
      <c r="B36" s="214" t="s">
        <v>30</v>
      </c>
      <c r="C36" s="266"/>
      <c r="D36" s="266"/>
      <c r="E36" s="266"/>
      <c r="F36" s="308"/>
      <c r="G36" s="308"/>
      <c r="H36" s="304"/>
    </row>
    <row r="37" spans="2:11" x14ac:dyDescent="0.25">
      <c r="B37" s="560" t="s">
        <v>20</v>
      </c>
      <c r="C37" s="561"/>
      <c r="D37" s="297" t="s">
        <v>21</v>
      </c>
      <c r="E37" s="297" t="s">
        <v>127</v>
      </c>
      <c r="F37" s="298" t="s">
        <v>642</v>
      </c>
      <c r="G37" s="297" t="s">
        <v>24</v>
      </c>
      <c r="H37" s="313" t="s">
        <v>481</v>
      </c>
    </row>
    <row r="38" spans="2:11" x14ac:dyDescent="0.25">
      <c r="B38" s="598" t="s">
        <v>641</v>
      </c>
      <c r="C38" s="599"/>
      <c r="D38" s="314" t="s">
        <v>600</v>
      </c>
      <c r="E38" s="315">
        <v>12</v>
      </c>
      <c r="F38" s="274">
        <v>1500</v>
      </c>
      <c r="G38" s="274">
        <f>+E38*F38</f>
        <v>18000</v>
      </c>
      <c r="H38" s="304">
        <f>+G38</f>
        <v>18000</v>
      </c>
      <c r="K38" s="257" t="s">
        <v>497</v>
      </c>
    </row>
    <row r="39" spans="2:11" x14ac:dyDescent="0.25">
      <c r="B39" s="598"/>
      <c r="C39" s="599"/>
      <c r="D39" s="314"/>
      <c r="E39" s="316"/>
      <c r="F39" s="317"/>
      <c r="G39" s="316"/>
      <c r="H39" s="318"/>
    </row>
    <row r="40" spans="2:11" x14ac:dyDescent="0.25">
      <c r="B40" s="305"/>
      <c r="C40" s="266"/>
      <c r="D40" s="266"/>
      <c r="E40" s="266"/>
      <c r="F40" s="296"/>
      <c r="G40" s="306" t="s">
        <v>25</v>
      </c>
      <c r="H40" s="319">
        <f>SUM(H38:H39)</f>
        <v>18000</v>
      </c>
    </row>
    <row r="41" spans="2:11" x14ac:dyDescent="0.25">
      <c r="B41" s="214" t="s">
        <v>34</v>
      </c>
      <c r="C41" s="266"/>
      <c r="D41" s="266"/>
      <c r="E41" s="266"/>
      <c r="F41" s="296"/>
      <c r="G41" s="308"/>
      <c r="H41" s="320"/>
    </row>
    <row r="42" spans="2:11" x14ac:dyDescent="0.25">
      <c r="B42" s="321" t="s">
        <v>35</v>
      </c>
      <c r="C42" s="321" t="s">
        <v>29</v>
      </c>
      <c r="D42" s="321" t="s">
        <v>36</v>
      </c>
      <c r="E42" s="321" t="s">
        <v>37</v>
      </c>
      <c r="F42" s="322" t="s">
        <v>38</v>
      </c>
      <c r="G42" s="323" t="s">
        <v>23</v>
      </c>
      <c r="H42" s="324" t="s">
        <v>24</v>
      </c>
      <c r="I42" s="257" t="s">
        <v>497</v>
      </c>
    </row>
    <row r="43" spans="2:11" x14ac:dyDescent="0.25">
      <c r="B43" s="288" t="s">
        <v>39</v>
      </c>
      <c r="C43" s="316">
        <v>1</v>
      </c>
      <c r="D43" s="325">
        <f>+'4. APU INST SN PRINCIPAL'!D204</f>
        <v>93381.6</v>
      </c>
      <c r="E43" s="326">
        <v>1.8344</v>
      </c>
      <c r="F43" s="327">
        <f>+D43*C43*E43</f>
        <v>171299.20704000001</v>
      </c>
      <c r="G43" s="316">
        <v>16</v>
      </c>
      <c r="H43" s="274">
        <f>F43/G43</f>
        <v>10706.200440000001</v>
      </c>
    </row>
    <row r="44" spans="2:11" x14ac:dyDescent="0.25">
      <c r="B44" s="288" t="s">
        <v>496</v>
      </c>
      <c r="C44" s="316">
        <v>1</v>
      </c>
      <c r="D44" s="325">
        <f>+'4. APU INST SN PRINCIPAL'!D205</f>
        <v>58363.5</v>
      </c>
      <c r="E44" s="326">
        <v>1.8344</v>
      </c>
      <c r="F44" s="327">
        <f>+D44*C44*E44</f>
        <v>107062.00440000001</v>
      </c>
      <c r="G44" s="316">
        <v>16</v>
      </c>
      <c r="H44" s="274">
        <f>+F44/G44</f>
        <v>6691.3752750000003</v>
      </c>
    </row>
    <row r="45" spans="2:11" x14ac:dyDescent="0.25">
      <c r="B45" s="288"/>
      <c r="C45" s="288"/>
      <c r="D45" s="317"/>
      <c r="E45" s="288"/>
      <c r="F45" s="317"/>
      <c r="G45" s="288"/>
      <c r="H45" s="327"/>
    </row>
    <row r="46" spans="2:11" x14ac:dyDescent="0.25">
      <c r="B46" s="305"/>
      <c r="C46" s="266"/>
      <c r="D46" s="266"/>
      <c r="E46" s="266"/>
      <c r="F46" s="296"/>
      <c r="G46" s="306" t="s">
        <v>25</v>
      </c>
      <c r="H46" s="328">
        <f>+SUM(H43:H45)</f>
        <v>17397.575714999999</v>
      </c>
    </row>
    <row r="47" spans="2:11" x14ac:dyDescent="0.25">
      <c r="B47" s="305"/>
      <c r="C47" s="266"/>
      <c r="D47" s="266"/>
      <c r="E47" s="266"/>
      <c r="F47" s="296"/>
      <c r="G47" s="449"/>
      <c r="H47" s="320"/>
    </row>
    <row r="48" spans="2:11" ht="15.6" x14ac:dyDescent="0.25">
      <c r="B48" s="258"/>
      <c r="C48" s="479" t="s">
        <v>645</v>
      </c>
      <c r="D48" s="477"/>
      <c r="E48" s="477"/>
      <c r="F48" s="477"/>
      <c r="G48" s="469" t="s">
        <v>41</v>
      </c>
      <c r="H48" s="254">
        <f>+H21+H35+H40+H46</f>
        <v>86044.538286499999</v>
      </c>
    </row>
    <row r="49" spans="2:8" ht="15.6" x14ac:dyDescent="0.25">
      <c r="B49" s="258"/>
      <c r="C49" s="479"/>
      <c r="D49" s="477"/>
      <c r="E49" s="477"/>
      <c r="F49" s="477"/>
      <c r="G49" s="255"/>
      <c r="H49" s="465"/>
    </row>
    <row r="50" spans="2:8" ht="15.6" x14ac:dyDescent="0.25">
      <c r="B50" s="258"/>
      <c r="C50" s="479"/>
      <c r="D50" s="477"/>
      <c r="E50" s="477"/>
      <c r="F50" s="477"/>
      <c r="G50" s="255"/>
      <c r="H50" s="465"/>
    </row>
    <row r="51" spans="2:8" ht="15.6" x14ac:dyDescent="0.25">
      <c r="B51" s="258"/>
      <c r="C51" s="475" t="s">
        <v>643</v>
      </c>
      <c r="D51" s="474"/>
      <c r="E51" s="477"/>
      <c r="F51" s="477"/>
      <c r="G51" s="255"/>
      <c r="H51" s="465"/>
    </row>
    <row r="52" spans="2:8" ht="15" x14ac:dyDescent="0.25">
      <c r="B52" s="262"/>
      <c r="C52" s="200" t="s">
        <v>590</v>
      </c>
      <c r="D52" s="474"/>
      <c r="E52" s="478"/>
      <c r="F52" s="478"/>
      <c r="G52" s="255"/>
      <c r="H52" s="465"/>
    </row>
    <row r="53" spans="2:8" ht="15" x14ac:dyDescent="0.25">
      <c r="B53" s="264"/>
      <c r="C53" s="261" t="s">
        <v>591</v>
      </c>
      <c r="D53" s="474"/>
      <c r="E53" s="478"/>
      <c r="F53" s="478"/>
      <c r="G53" s="255"/>
      <c r="H53" s="465"/>
    </row>
    <row r="54" spans="2:8" ht="15" x14ac:dyDescent="0.25">
      <c r="B54" s="265"/>
      <c r="C54" s="261" t="s">
        <v>644</v>
      </c>
      <c r="D54" s="474"/>
      <c r="E54" s="478"/>
      <c r="F54" s="478"/>
      <c r="G54" s="255"/>
      <c r="H54" s="465"/>
    </row>
    <row r="55" spans="2:8" x14ac:dyDescent="0.25">
      <c r="B55" s="258"/>
      <c r="H55" s="465"/>
    </row>
    <row r="56" spans="2:8" x14ac:dyDescent="0.25">
      <c r="B56" s="466"/>
      <c r="C56" s="467"/>
      <c r="D56" s="467"/>
      <c r="E56" s="467"/>
      <c r="F56" s="467"/>
      <c r="G56" s="467"/>
      <c r="H56" s="468"/>
    </row>
    <row r="61" spans="2:8" ht="15.6" hidden="1" x14ac:dyDescent="0.25">
      <c r="B61" s="566" t="s">
        <v>320</v>
      </c>
      <c r="C61" s="567"/>
      <c r="D61" s="567"/>
      <c r="E61" s="567"/>
      <c r="F61" s="567"/>
      <c r="G61" s="567"/>
      <c r="H61" s="568"/>
    </row>
    <row r="62" spans="2:8" hidden="1" x14ac:dyDescent="0.25">
      <c r="B62" s="569" t="str">
        <f>+PRESUPUESTO!B1</f>
        <v>MANTENIMIENTO Y ADECUACIÓN DE INSTITUCIONES EDUCATIVAS OFICIALES, DEL MUNICIPIO DE LA APARTADA CORDOBA.</v>
      </c>
      <c r="C62" s="570"/>
      <c r="D62" s="570"/>
      <c r="E62" s="570"/>
      <c r="F62" s="570"/>
      <c r="G62" s="570"/>
      <c r="H62" s="571"/>
    </row>
    <row r="63" spans="2:8" hidden="1" x14ac:dyDescent="0.25">
      <c r="B63" s="572"/>
      <c r="C63" s="573"/>
      <c r="D63" s="573"/>
      <c r="E63" s="573"/>
      <c r="F63" s="573"/>
      <c r="G63" s="573"/>
      <c r="H63" s="574"/>
    </row>
    <row r="64" spans="2:8" hidden="1" x14ac:dyDescent="0.25">
      <c r="B64" s="575"/>
      <c r="C64" s="576"/>
      <c r="D64" s="576"/>
      <c r="E64" s="576"/>
      <c r="F64" s="576"/>
      <c r="G64" s="576"/>
      <c r="H64" s="577"/>
    </row>
    <row r="65" spans="2:8" hidden="1" x14ac:dyDescent="0.25">
      <c r="B65" s="578" t="e">
        <f>+PRESUPUESTO!#REF!</f>
        <v>#REF!</v>
      </c>
      <c r="C65" s="579"/>
      <c r="D65" s="579"/>
      <c r="E65" s="579"/>
      <c r="F65" s="580"/>
      <c r="G65" s="587" t="s">
        <v>606</v>
      </c>
      <c r="H65" s="588"/>
    </row>
    <row r="66" spans="2:8" hidden="1" x14ac:dyDescent="0.25">
      <c r="B66" s="581"/>
      <c r="C66" s="582"/>
      <c r="D66" s="582"/>
      <c r="E66" s="582"/>
      <c r="F66" s="583"/>
      <c r="G66" s="589"/>
      <c r="H66" s="590"/>
    </row>
    <row r="67" spans="2:8" hidden="1" x14ac:dyDescent="0.25">
      <c r="B67" s="584"/>
      <c r="C67" s="585"/>
      <c r="D67" s="585"/>
      <c r="E67" s="585"/>
      <c r="F67" s="586"/>
      <c r="G67" s="591"/>
      <c r="H67" s="592"/>
    </row>
    <row r="68" spans="2:8" hidden="1" x14ac:dyDescent="0.25">
      <c r="B68" s="518" t="s">
        <v>0</v>
      </c>
      <c r="C68" s="516"/>
      <c r="D68" s="516"/>
      <c r="E68" s="516"/>
      <c r="F68" s="516"/>
      <c r="G68" s="516"/>
      <c r="H68" s="517"/>
    </row>
    <row r="69" spans="2:8" hidden="1" x14ac:dyDescent="0.25">
      <c r="B69" s="214" t="s">
        <v>19</v>
      </c>
      <c r="C69" s="266"/>
      <c r="D69" s="266"/>
      <c r="E69" s="266"/>
      <c r="F69" s="296"/>
      <c r="G69" s="266"/>
      <c r="H69" s="216"/>
    </row>
    <row r="70" spans="2:8" hidden="1" x14ac:dyDescent="0.25">
      <c r="B70" s="602" t="s">
        <v>20</v>
      </c>
      <c r="C70" s="602"/>
      <c r="D70" s="297" t="s">
        <v>21</v>
      </c>
      <c r="E70" s="297" t="s">
        <v>22</v>
      </c>
      <c r="F70" s="298" t="s">
        <v>23</v>
      </c>
      <c r="G70" s="299" t="s">
        <v>24</v>
      </c>
      <c r="H70" s="300" t="s">
        <v>482</v>
      </c>
    </row>
    <row r="71" spans="2:8" hidden="1" x14ac:dyDescent="0.25">
      <c r="B71" s="605" t="s">
        <v>8</v>
      </c>
      <c r="C71" s="605"/>
      <c r="D71" s="301"/>
      <c r="E71" s="302"/>
      <c r="F71" s="303">
        <v>0.1</v>
      </c>
      <c r="G71" s="287">
        <f>+H91</f>
        <v>2783.6121143999999</v>
      </c>
      <c r="H71" s="304">
        <f>+F71*G71</f>
        <v>278.36121143999998</v>
      </c>
    </row>
    <row r="72" spans="2:8" hidden="1" x14ac:dyDescent="0.25">
      <c r="B72" s="604"/>
      <c r="C72" s="595"/>
      <c r="D72" s="301"/>
      <c r="E72" s="302"/>
      <c r="F72" s="289"/>
      <c r="G72" s="287"/>
      <c r="H72" s="304"/>
    </row>
    <row r="73" spans="2:8" hidden="1" x14ac:dyDescent="0.25">
      <c r="B73" s="605"/>
      <c r="C73" s="605"/>
      <c r="D73" s="301"/>
      <c r="E73" s="302"/>
      <c r="F73" s="289"/>
      <c r="G73" s="287"/>
      <c r="H73" s="304"/>
    </row>
    <row r="74" spans="2:8" hidden="1" x14ac:dyDescent="0.25">
      <c r="B74" s="305"/>
      <c r="C74" s="266"/>
      <c r="D74" s="266"/>
      <c r="E74" s="266"/>
      <c r="F74" s="296"/>
      <c r="G74" s="306" t="s">
        <v>25</v>
      </c>
      <c r="H74" s="307">
        <f>SUM(H71:H73)</f>
        <v>278.36121143999998</v>
      </c>
    </row>
    <row r="75" spans="2:8" hidden="1" x14ac:dyDescent="0.25">
      <c r="B75" s="214" t="s">
        <v>26</v>
      </c>
      <c r="C75" s="266"/>
      <c r="D75" s="266"/>
      <c r="E75" s="266"/>
      <c r="F75" s="308"/>
      <c r="G75" s="308"/>
      <c r="H75" s="309"/>
    </row>
    <row r="76" spans="2:8" hidden="1" x14ac:dyDescent="0.25">
      <c r="B76" s="602" t="s">
        <v>20</v>
      </c>
      <c r="C76" s="602"/>
      <c r="D76" s="297" t="s">
        <v>27</v>
      </c>
      <c r="E76" s="297" t="s">
        <v>28</v>
      </c>
      <c r="F76" s="298" t="s">
        <v>29</v>
      </c>
      <c r="G76" s="299" t="s">
        <v>24</v>
      </c>
      <c r="H76" s="310" t="s">
        <v>482</v>
      </c>
    </row>
    <row r="77" spans="2:8" hidden="1" x14ac:dyDescent="0.25">
      <c r="B77" s="606" t="s">
        <v>353</v>
      </c>
      <c r="C77" s="606"/>
      <c r="D77" s="271" t="str">
        <f>+IF(B77=0,"",(VLOOKUP(B77,[7]MATERIALES!$B$6:$D$149,3,FALSE)))</f>
        <v>Galón</v>
      </c>
      <c r="E77" s="272">
        <v>93900</v>
      </c>
      <c r="F77" s="273">
        <v>8.3333333333333301E-2</v>
      </c>
      <c r="G77" s="274">
        <f>E77*F77</f>
        <v>7824.9999999999973</v>
      </c>
      <c r="H77" s="275">
        <f>G77</f>
        <v>7824.9999999999973</v>
      </c>
    </row>
    <row r="78" spans="2:8" hidden="1" x14ac:dyDescent="0.25">
      <c r="B78" s="595"/>
      <c r="C78" s="595"/>
      <c r="D78" s="271"/>
      <c r="E78" s="272"/>
      <c r="F78" s="273"/>
      <c r="G78" s="274">
        <f>E78*F78</f>
        <v>0</v>
      </c>
      <c r="H78" s="275">
        <f>G78</f>
        <v>0</v>
      </c>
    </row>
    <row r="79" spans="2:8" hidden="1" x14ac:dyDescent="0.25">
      <c r="B79" s="595" t="s">
        <v>628</v>
      </c>
      <c r="C79" s="595"/>
      <c r="D79" s="285" t="s">
        <v>72</v>
      </c>
      <c r="E79" s="286">
        <v>7500</v>
      </c>
      <c r="F79" s="289">
        <v>0.05</v>
      </c>
      <c r="G79" s="274">
        <f>E79*F79</f>
        <v>375</v>
      </c>
      <c r="H79" s="275">
        <f>G79</f>
        <v>375</v>
      </c>
    </row>
    <row r="80" spans="2:8" hidden="1" x14ac:dyDescent="0.25">
      <c r="B80" s="305"/>
      <c r="C80" s="266"/>
      <c r="D80" s="266"/>
      <c r="E80" s="266"/>
      <c r="F80" s="308"/>
      <c r="G80" s="306" t="s">
        <v>25</v>
      </c>
      <c r="H80" s="312">
        <f>SUM(H77:H79)</f>
        <v>8199.9999999999964</v>
      </c>
    </row>
    <row r="81" spans="2:8" hidden="1" x14ac:dyDescent="0.25">
      <c r="B81" s="214" t="s">
        <v>30</v>
      </c>
      <c r="C81" s="266"/>
      <c r="D81" s="266"/>
      <c r="E81" s="266"/>
      <c r="F81" s="308"/>
      <c r="G81" s="308"/>
      <c r="H81" s="304"/>
    </row>
    <row r="82" spans="2:8" hidden="1" x14ac:dyDescent="0.25">
      <c r="B82" s="602" t="s">
        <v>20</v>
      </c>
      <c r="C82" s="602"/>
      <c r="D82" s="297" t="s">
        <v>21</v>
      </c>
      <c r="E82" s="297" t="s">
        <v>127</v>
      </c>
      <c r="F82" s="298" t="s">
        <v>32</v>
      </c>
      <c r="G82" s="297" t="s">
        <v>24</v>
      </c>
      <c r="H82" s="313" t="s">
        <v>481</v>
      </c>
    </row>
    <row r="83" spans="2:8" hidden="1" x14ac:dyDescent="0.25">
      <c r="B83" s="603"/>
      <c r="C83" s="603"/>
      <c r="D83" s="314"/>
      <c r="E83" s="315"/>
      <c r="F83" s="274"/>
      <c r="G83" s="274"/>
      <c r="H83" s="304"/>
    </row>
    <row r="84" spans="2:8" hidden="1" x14ac:dyDescent="0.25">
      <c r="B84" s="603"/>
      <c r="C84" s="603"/>
      <c r="D84" s="314"/>
      <c r="E84" s="316"/>
      <c r="F84" s="317"/>
      <c r="G84" s="316"/>
      <c r="H84" s="318"/>
    </row>
    <row r="85" spans="2:8" hidden="1" x14ac:dyDescent="0.25">
      <c r="B85" s="305"/>
      <c r="C85" s="266"/>
      <c r="D85" s="266"/>
      <c r="E85" s="266"/>
      <c r="F85" s="296"/>
      <c r="G85" s="306" t="s">
        <v>25</v>
      </c>
      <c r="H85" s="319">
        <f>SUM(H83:H84)</f>
        <v>0</v>
      </c>
    </row>
    <row r="86" spans="2:8" hidden="1" x14ac:dyDescent="0.25">
      <c r="B86" s="214" t="s">
        <v>34</v>
      </c>
      <c r="C86" s="266"/>
      <c r="D86" s="266"/>
      <c r="E86" s="266"/>
      <c r="F86" s="296"/>
      <c r="G86" s="308"/>
      <c r="H86" s="320"/>
    </row>
    <row r="87" spans="2:8" hidden="1" x14ac:dyDescent="0.25">
      <c r="B87" s="321" t="s">
        <v>35</v>
      </c>
      <c r="C87" s="321" t="s">
        <v>29</v>
      </c>
      <c r="D87" s="321" t="s">
        <v>36</v>
      </c>
      <c r="E87" s="321" t="s">
        <v>37</v>
      </c>
      <c r="F87" s="322" t="s">
        <v>38</v>
      </c>
      <c r="G87" s="323" t="s">
        <v>23</v>
      </c>
      <c r="H87" s="324" t="s">
        <v>24</v>
      </c>
    </row>
    <row r="88" spans="2:8" hidden="1" x14ac:dyDescent="0.25">
      <c r="B88" s="288" t="s">
        <v>39</v>
      </c>
      <c r="C88" s="316">
        <v>1</v>
      </c>
      <c r="D88" s="325">
        <f>+'4. APU INST SN PRINCIPAL'!D249</f>
        <v>93381.6</v>
      </c>
      <c r="E88" s="326">
        <v>1.8344</v>
      </c>
      <c r="F88" s="327">
        <f>+D88*C88*E88</f>
        <v>171299.20704000001</v>
      </c>
      <c r="G88" s="316">
        <v>100</v>
      </c>
      <c r="H88" s="274">
        <f>F88/G88</f>
        <v>1712.9920704000001</v>
      </c>
    </row>
    <row r="89" spans="2:8" hidden="1" x14ac:dyDescent="0.25">
      <c r="B89" s="288" t="s">
        <v>496</v>
      </c>
      <c r="C89" s="316">
        <v>1</v>
      </c>
      <c r="D89" s="325">
        <f>+'4. APU INST SN PRINCIPAL'!D250</f>
        <v>58363.5</v>
      </c>
      <c r="E89" s="326">
        <v>1.8344</v>
      </c>
      <c r="F89" s="327">
        <f>+D89*C89*E89</f>
        <v>107062.00440000001</v>
      </c>
      <c r="G89" s="316">
        <v>100</v>
      </c>
      <c r="H89" s="274">
        <f>+F89/G89</f>
        <v>1070.620044</v>
      </c>
    </row>
    <row r="90" spans="2:8" hidden="1" x14ac:dyDescent="0.25">
      <c r="B90" s="288"/>
      <c r="C90" s="288"/>
      <c r="D90" s="317"/>
      <c r="E90" s="288"/>
      <c r="F90" s="317"/>
      <c r="G90" s="288"/>
      <c r="H90" s="327"/>
    </row>
    <row r="91" spans="2:8" hidden="1" x14ac:dyDescent="0.25">
      <c r="B91" s="305"/>
      <c r="C91" s="266"/>
      <c r="D91" s="266"/>
      <c r="E91" s="266"/>
      <c r="F91" s="296"/>
      <c r="G91" s="306" t="s">
        <v>25</v>
      </c>
      <c r="H91" s="328">
        <f>+SUM(H88:H90)</f>
        <v>2783.6121143999999</v>
      </c>
    </row>
    <row r="92" spans="2:8" hidden="1" x14ac:dyDescent="0.25">
      <c r="B92" s="305"/>
      <c r="C92" s="266"/>
      <c r="D92" s="266"/>
      <c r="E92" s="266"/>
      <c r="F92" s="296"/>
      <c r="G92" s="449"/>
      <c r="H92" s="320"/>
    </row>
    <row r="93" spans="2:8" ht="15.6" hidden="1" x14ac:dyDescent="0.25">
      <c r="B93" s="258"/>
      <c r="C93" s="479" t="s">
        <v>645</v>
      </c>
      <c r="D93" s="477"/>
      <c r="E93" s="477"/>
      <c r="F93" s="477"/>
      <c r="G93" s="469" t="s">
        <v>41</v>
      </c>
      <c r="H93" s="254">
        <f>+H74+H80+H85+H91</f>
        <v>11261.973325839997</v>
      </c>
    </row>
    <row r="94" spans="2:8" ht="15.6" hidden="1" x14ac:dyDescent="0.25">
      <c r="B94" s="258"/>
      <c r="C94" s="479"/>
      <c r="D94" s="477"/>
      <c r="E94" s="477"/>
      <c r="F94" s="477"/>
      <c r="G94" s="255"/>
      <c r="H94" s="219"/>
    </row>
    <row r="95" spans="2:8" ht="15.6" hidden="1" x14ac:dyDescent="0.25">
      <c r="B95" s="258"/>
      <c r="C95" s="479"/>
      <c r="D95" s="477"/>
      <c r="E95" s="477"/>
      <c r="F95" s="477"/>
      <c r="G95" s="255"/>
      <c r="H95" s="219"/>
    </row>
    <row r="96" spans="2:8" ht="15.6" hidden="1" x14ac:dyDescent="0.25">
      <c r="B96" s="258"/>
      <c r="C96" s="475" t="s">
        <v>643</v>
      </c>
      <c r="D96" s="474"/>
      <c r="E96" s="477"/>
      <c r="F96" s="477"/>
      <c r="G96" s="255"/>
      <c r="H96" s="219"/>
    </row>
    <row r="97" spans="2:8" ht="15" hidden="1" x14ac:dyDescent="0.25">
      <c r="B97" s="262"/>
      <c r="C97" s="200" t="s">
        <v>590</v>
      </c>
      <c r="D97" s="474"/>
      <c r="E97" s="478"/>
      <c r="F97" s="478"/>
      <c r="G97" s="255"/>
      <c r="H97" s="219"/>
    </row>
    <row r="98" spans="2:8" ht="15" hidden="1" x14ac:dyDescent="0.25">
      <c r="B98" s="264"/>
      <c r="C98" s="261" t="s">
        <v>591</v>
      </c>
      <c r="D98" s="474"/>
      <c r="E98" s="478"/>
      <c r="F98" s="478"/>
      <c r="G98" s="255"/>
      <c r="H98" s="219"/>
    </row>
    <row r="99" spans="2:8" ht="15" hidden="1" x14ac:dyDescent="0.25">
      <c r="B99" s="265"/>
      <c r="C99" s="261" t="s">
        <v>644</v>
      </c>
      <c r="D99" s="474"/>
      <c r="E99" s="478"/>
      <c r="F99" s="478"/>
      <c r="G99" s="255"/>
      <c r="H99" s="219"/>
    </row>
    <row r="100" spans="2:8" hidden="1" x14ac:dyDescent="0.25">
      <c r="B100" s="267"/>
      <c r="C100" s="268"/>
      <c r="D100" s="259"/>
      <c r="E100" s="259"/>
      <c r="F100" s="259"/>
      <c r="G100" s="259"/>
      <c r="H100" s="260"/>
    </row>
    <row r="101" spans="2:8" hidden="1" x14ac:dyDescent="0.25"/>
    <row r="102" spans="2:8" hidden="1" x14ac:dyDescent="0.25"/>
    <row r="103" spans="2:8" hidden="1" x14ac:dyDescent="0.25"/>
    <row r="104" spans="2:8" hidden="1" x14ac:dyDescent="0.25"/>
    <row r="105" spans="2:8" hidden="1" x14ac:dyDescent="0.25"/>
    <row r="106" spans="2:8" hidden="1" x14ac:dyDescent="0.25"/>
    <row r="107" spans="2:8" hidden="1" x14ac:dyDescent="0.25"/>
    <row r="108" spans="2:8" hidden="1" x14ac:dyDescent="0.25"/>
    <row r="111" spans="2:8" x14ac:dyDescent="0.25">
      <c r="H111" s="257" t="s">
        <v>497</v>
      </c>
    </row>
    <row r="114" spans="2:8" ht="15.6" x14ac:dyDescent="0.25">
      <c r="B114" s="566" t="s">
        <v>320</v>
      </c>
      <c r="C114" s="567"/>
      <c r="D114" s="567"/>
      <c r="E114" s="567"/>
      <c r="F114" s="567"/>
      <c r="G114" s="567"/>
      <c r="H114" s="568"/>
    </row>
    <row r="115" spans="2:8" x14ac:dyDescent="0.25">
      <c r="B115" s="569" t="str">
        <f>+PRESUPUESTO!B1</f>
        <v>MANTENIMIENTO Y ADECUACIÓN DE INSTITUCIONES EDUCATIVAS OFICIALES, DEL MUNICIPIO DE LA APARTADA CORDOBA.</v>
      </c>
      <c r="C115" s="570"/>
      <c r="D115" s="570"/>
      <c r="E115" s="570"/>
      <c r="F115" s="570"/>
      <c r="G115" s="570"/>
      <c r="H115" s="571"/>
    </row>
    <row r="116" spans="2:8" x14ac:dyDescent="0.25">
      <c r="B116" s="572"/>
      <c r="C116" s="573"/>
      <c r="D116" s="573"/>
      <c r="E116" s="573"/>
      <c r="F116" s="573"/>
      <c r="G116" s="573"/>
      <c r="H116" s="574"/>
    </row>
    <row r="117" spans="2:8" x14ac:dyDescent="0.25">
      <c r="B117" s="575"/>
      <c r="C117" s="576"/>
      <c r="D117" s="576"/>
      <c r="E117" s="576"/>
      <c r="F117" s="576"/>
      <c r="G117" s="576"/>
      <c r="H117" s="577"/>
    </row>
    <row r="118" spans="2:8" x14ac:dyDescent="0.25">
      <c r="B118" s="578" t="str">
        <f>+PRESUPUESTO!C47</f>
        <v xml:space="preserve">PINTURA PARA MUROS EXTERIORES TIPO KORAZA, PARA MURO PERIMETRAL </v>
      </c>
      <c r="C118" s="579"/>
      <c r="D118" s="579"/>
      <c r="E118" s="579"/>
      <c r="F118" s="580"/>
      <c r="G118" s="587" t="s">
        <v>606</v>
      </c>
      <c r="H118" s="588"/>
    </row>
    <row r="119" spans="2:8" x14ac:dyDescent="0.25">
      <c r="B119" s="581"/>
      <c r="C119" s="582"/>
      <c r="D119" s="582"/>
      <c r="E119" s="582"/>
      <c r="F119" s="583"/>
      <c r="G119" s="589"/>
      <c r="H119" s="590"/>
    </row>
    <row r="120" spans="2:8" x14ac:dyDescent="0.25">
      <c r="B120" s="584"/>
      <c r="C120" s="585"/>
      <c r="D120" s="585"/>
      <c r="E120" s="585"/>
      <c r="F120" s="586"/>
      <c r="G120" s="591"/>
      <c r="H120" s="592"/>
    </row>
    <row r="121" spans="2:8" x14ac:dyDescent="0.25">
      <c r="B121" s="518" t="s">
        <v>0</v>
      </c>
      <c r="C121" s="515">
        <f>+PRESUPUESTO!B47</f>
        <v>5.2</v>
      </c>
      <c r="D121" s="516"/>
      <c r="E121" s="516"/>
      <c r="F121" s="516"/>
      <c r="G121" s="516"/>
      <c r="H121" s="517"/>
    </row>
    <row r="122" spans="2:8" x14ac:dyDescent="0.25">
      <c r="B122" s="214" t="s">
        <v>19</v>
      </c>
      <c r="C122" s="266"/>
      <c r="D122" s="266"/>
      <c r="E122" s="266"/>
      <c r="F122" s="296"/>
      <c r="G122" s="266"/>
      <c r="H122" s="216"/>
    </row>
    <row r="123" spans="2:8" x14ac:dyDescent="0.25">
      <c r="B123" s="560" t="s">
        <v>20</v>
      </c>
      <c r="C123" s="561"/>
      <c r="D123" s="297" t="s">
        <v>21</v>
      </c>
      <c r="E123" s="297" t="s">
        <v>22</v>
      </c>
      <c r="F123" s="298" t="s">
        <v>23</v>
      </c>
      <c r="G123" s="299" t="s">
        <v>24</v>
      </c>
      <c r="H123" s="300" t="s">
        <v>482</v>
      </c>
    </row>
    <row r="124" spans="2:8" x14ac:dyDescent="0.25">
      <c r="B124" s="562" t="s">
        <v>8</v>
      </c>
      <c r="C124" s="563"/>
      <c r="D124" s="301"/>
      <c r="E124" s="302"/>
      <c r="F124" s="303">
        <v>0.1</v>
      </c>
      <c r="G124" s="287">
        <f>+H147</f>
        <v>6959.0302860000002</v>
      </c>
      <c r="H124" s="304">
        <f>+F124*G124</f>
        <v>695.90302860000008</v>
      </c>
    </row>
    <row r="125" spans="2:8" x14ac:dyDescent="0.25">
      <c r="B125" s="600"/>
      <c r="C125" s="601"/>
      <c r="D125" s="301"/>
      <c r="E125" s="302"/>
      <c r="F125" s="289"/>
      <c r="G125" s="287"/>
      <c r="H125" s="304"/>
    </row>
    <row r="126" spans="2:8" x14ac:dyDescent="0.25">
      <c r="B126" s="562"/>
      <c r="C126" s="563"/>
      <c r="D126" s="301"/>
      <c r="E126" s="302"/>
      <c r="F126" s="289"/>
      <c r="G126" s="287"/>
      <c r="H126" s="304"/>
    </row>
    <row r="127" spans="2:8" x14ac:dyDescent="0.25">
      <c r="B127" s="305"/>
      <c r="C127" s="266"/>
      <c r="D127" s="266"/>
      <c r="E127" s="266"/>
      <c r="F127" s="296"/>
      <c r="G127" s="306" t="s">
        <v>25</v>
      </c>
      <c r="H127" s="307">
        <f>SUM(H124:H126)</f>
        <v>695.90302860000008</v>
      </c>
    </row>
    <row r="128" spans="2:8" x14ac:dyDescent="0.25">
      <c r="B128" s="214" t="s">
        <v>26</v>
      </c>
      <c r="C128" s="266"/>
      <c r="D128" s="266"/>
      <c r="E128" s="266"/>
      <c r="F128" s="308"/>
      <c r="G128" s="308"/>
      <c r="H128" s="309"/>
    </row>
    <row r="129" spans="2:8" x14ac:dyDescent="0.25">
      <c r="B129" s="560" t="s">
        <v>20</v>
      </c>
      <c r="C129" s="561"/>
      <c r="D129" s="297" t="s">
        <v>27</v>
      </c>
      <c r="E129" s="297" t="s">
        <v>28</v>
      </c>
      <c r="F129" s="454" t="s">
        <v>29</v>
      </c>
      <c r="G129" s="299" t="s">
        <v>24</v>
      </c>
      <c r="H129" s="310" t="s">
        <v>482</v>
      </c>
    </row>
    <row r="130" spans="2:8" x14ac:dyDescent="0.25">
      <c r="B130" s="455" t="s">
        <v>629</v>
      </c>
      <c r="C130" s="456"/>
      <c r="D130" s="457" t="s">
        <v>463</v>
      </c>
      <c r="E130" s="451">
        <v>145350</v>
      </c>
      <c r="F130" s="452">
        <v>0.125</v>
      </c>
      <c r="G130" s="458">
        <f>+F130*E130</f>
        <v>18168.75</v>
      </c>
      <c r="H130" s="459">
        <f>+G130</f>
        <v>18168.75</v>
      </c>
    </row>
    <row r="131" spans="2:8" x14ac:dyDescent="0.25">
      <c r="B131" s="593" t="s">
        <v>630</v>
      </c>
      <c r="C131" s="594"/>
      <c r="D131" s="457" t="s">
        <v>499</v>
      </c>
      <c r="E131" s="451">
        <v>150</v>
      </c>
      <c r="F131" s="453">
        <v>3</v>
      </c>
      <c r="G131" s="458">
        <f>+F131*E131</f>
        <v>450</v>
      </c>
      <c r="H131" s="459">
        <f>+G131</f>
        <v>450</v>
      </c>
    </row>
    <row r="132" spans="2:8" x14ac:dyDescent="0.25">
      <c r="B132" s="595" t="s">
        <v>628</v>
      </c>
      <c r="C132" s="595"/>
      <c r="D132" s="285" t="s">
        <v>72</v>
      </c>
      <c r="E132" s="286">
        <v>7500</v>
      </c>
      <c r="F132" s="289">
        <v>0.05</v>
      </c>
      <c r="G132" s="274">
        <f>E132*F132</f>
        <v>375</v>
      </c>
      <c r="H132" s="275">
        <f>G132</f>
        <v>375</v>
      </c>
    </row>
    <row r="133" spans="2:8" x14ac:dyDescent="0.25">
      <c r="B133" s="554"/>
      <c r="C133" s="555"/>
      <c r="D133" s="271" t="str">
        <f>+IF(B133=0,"",(VLOOKUP(B133,[7]MATERIALES!$B$6:$D$149,3,FALSE)))</f>
        <v/>
      </c>
      <c r="E133" s="272"/>
      <c r="F133" s="273"/>
      <c r="G133" s="274"/>
      <c r="H133" s="459">
        <f>+G133</f>
        <v>0</v>
      </c>
    </row>
    <row r="134" spans="2:8" x14ac:dyDescent="0.25">
      <c r="B134" s="596" t="s">
        <v>631</v>
      </c>
      <c r="C134" s="597"/>
      <c r="D134" s="271" t="s">
        <v>501</v>
      </c>
      <c r="E134" s="272">
        <f>+SUM(G130:G132)</f>
        <v>18993.75</v>
      </c>
      <c r="F134" s="276">
        <v>0.05</v>
      </c>
      <c r="G134" s="274">
        <f>E134*F134</f>
        <v>949.6875</v>
      </c>
      <c r="H134" s="275">
        <f>G134</f>
        <v>949.6875</v>
      </c>
    </row>
    <row r="135" spans="2:8" x14ac:dyDescent="0.25">
      <c r="B135" s="596"/>
      <c r="C135" s="597"/>
      <c r="D135" s="285"/>
      <c r="E135" s="286"/>
      <c r="F135" s="289"/>
      <c r="G135" s="287"/>
      <c r="H135" s="288"/>
    </row>
    <row r="136" spans="2:8" x14ac:dyDescent="0.25">
      <c r="B136" s="305"/>
      <c r="C136" s="266"/>
      <c r="D136" s="266"/>
      <c r="E136" s="266"/>
      <c r="F136" s="308"/>
      <c r="G136" s="306" t="s">
        <v>25</v>
      </c>
      <c r="H136" s="312">
        <f>SUM(H130:H135)</f>
        <v>19943.4375</v>
      </c>
    </row>
    <row r="137" spans="2:8" x14ac:dyDescent="0.25">
      <c r="B137" s="214" t="s">
        <v>30</v>
      </c>
      <c r="C137" s="266"/>
      <c r="D137" s="266"/>
      <c r="E137" s="266"/>
      <c r="F137" s="308"/>
      <c r="G137" s="308"/>
      <c r="H137" s="304"/>
    </row>
    <row r="138" spans="2:8" x14ac:dyDescent="0.25">
      <c r="B138" s="560" t="s">
        <v>20</v>
      </c>
      <c r="C138" s="561"/>
      <c r="D138" s="297" t="s">
        <v>21</v>
      </c>
      <c r="E138" s="297" t="s">
        <v>127</v>
      </c>
      <c r="F138" s="298" t="s">
        <v>32</v>
      </c>
      <c r="G138" s="297" t="s">
        <v>24</v>
      </c>
      <c r="H138" s="313" t="s">
        <v>481</v>
      </c>
    </row>
    <row r="139" spans="2:8" x14ac:dyDescent="0.25">
      <c r="B139" s="598"/>
      <c r="C139" s="599"/>
      <c r="D139" s="314"/>
      <c r="E139" s="315"/>
      <c r="F139" s="274"/>
      <c r="G139" s="274"/>
      <c r="H139" s="304"/>
    </row>
    <row r="140" spans="2:8" x14ac:dyDescent="0.25">
      <c r="B140" s="598"/>
      <c r="C140" s="599"/>
      <c r="D140" s="314"/>
      <c r="E140" s="316"/>
      <c r="F140" s="317"/>
      <c r="G140" s="316"/>
      <c r="H140" s="318"/>
    </row>
    <row r="141" spans="2:8" x14ac:dyDescent="0.25">
      <c r="B141" s="305"/>
      <c r="C141" s="266"/>
      <c r="D141" s="266"/>
      <c r="E141" s="266"/>
      <c r="F141" s="296"/>
      <c r="G141" s="306" t="s">
        <v>25</v>
      </c>
      <c r="H141" s="319">
        <f>SUM(H139:H140)</f>
        <v>0</v>
      </c>
    </row>
    <row r="142" spans="2:8" x14ac:dyDescent="0.25">
      <c r="B142" s="214" t="s">
        <v>34</v>
      </c>
      <c r="C142" s="266"/>
      <c r="D142" s="266"/>
      <c r="E142" s="266"/>
      <c r="F142" s="296"/>
      <c r="G142" s="308"/>
      <c r="H142" s="320"/>
    </row>
    <row r="143" spans="2:8" x14ac:dyDescent="0.25">
      <c r="B143" s="321" t="s">
        <v>35</v>
      </c>
      <c r="C143" s="321" t="s">
        <v>29</v>
      </c>
      <c r="D143" s="321" t="s">
        <v>36</v>
      </c>
      <c r="E143" s="321" t="s">
        <v>37</v>
      </c>
      <c r="F143" s="322" t="s">
        <v>38</v>
      </c>
      <c r="G143" s="323" t="s">
        <v>23</v>
      </c>
      <c r="H143" s="324" t="s">
        <v>24</v>
      </c>
    </row>
    <row r="144" spans="2:8" x14ac:dyDescent="0.25">
      <c r="B144" s="288" t="s">
        <v>39</v>
      </c>
      <c r="C144" s="316">
        <v>1</v>
      </c>
      <c r="D144" s="325">
        <f>+'4. APU INST SN PRINCIPAL'!D303</f>
        <v>93381.6</v>
      </c>
      <c r="E144" s="326">
        <v>1.8344</v>
      </c>
      <c r="F144" s="327">
        <f>+D144*C144*E144</f>
        <v>171299.20704000001</v>
      </c>
      <c r="G144" s="316">
        <v>40</v>
      </c>
      <c r="H144" s="274">
        <f>F144/G144</f>
        <v>4282.480176</v>
      </c>
    </row>
    <row r="145" spans="2:8" x14ac:dyDescent="0.25">
      <c r="B145" s="288" t="s">
        <v>496</v>
      </c>
      <c r="C145" s="316">
        <v>1</v>
      </c>
      <c r="D145" s="325">
        <f>+'4. APU INST SN PRINCIPAL'!D304</f>
        <v>58363.5</v>
      </c>
      <c r="E145" s="326">
        <v>1.8344</v>
      </c>
      <c r="F145" s="327">
        <f>+D145*C145*E145</f>
        <v>107062.00440000001</v>
      </c>
      <c r="G145" s="316">
        <v>40</v>
      </c>
      <c r="H145" s="274">
        <f>+F145/G145</f>
        <v>2676.5501100000001</v>
      </c>
    </row>
    <row r="146" spans="2:8" x14ac:dyDescent="0.25">
      <c r="B146" s="288"/>
      <c r="C146" s="288"/>
      <c r="D146" s="317"/>
      <c r="E146" s="288"/>
      <c r="F146" s="317"/>
      <c r="G146" s="288"/>
      <c r="H146" s="327"/>
    </row>
    <row r="147" spans="2:8" x14ac:dyDescent="0.25">
      <c r="B147" s="305"/>
      <c r="C147" s="266"/>
      <c r="D147" s="266"/>
      <c r="E147" s="266"/>
      <c r="F147" s="296"/>
      <c r="G147" s="306" t="s">
        <v>25</v>
      </c>
      <c r="H147" s="328">
        <f>+SUM(H144:H146)</f>
        <v>6959.0302860000002</v>
      </c>
    </row>
    <row r="148" spans="2:8" x14ac:dyDescent="0.25">
      <c r="B148" s="305"/>
      <c r="C148" s="266"/>
      <c r="D148" s="266"/>
      <c r="E148" s="266"/>
      <c r="F148" s="296"/>
      <c r="G148" s="449"/>
      <c r="H148" s="320"/>
    </row>
    <row r="149" spans="2:8" ht="15.6" x14ac:dyDescent="0.25">
      <c r="B149" s="258"/>
      <c r="C149" s="479" t="s">
        <v>645</v>
      </c>
      <c r="D149" s="477"/>
      <c r="E149" s="477"/>
      <c r="F149" s="477"/>
      <c r="G149" s="469" t="s">
        <v>41</v>
      </c>
      <c r="H149" s="254">
        <f>+H127+H136+H141+H147</f>
        <v>27598.370814600003</v>
      </c>
    </row>
    <row r="150" spans="2:8" ht="15.6" x14ac:dyDescent="0.25">
      <c r="B150" s="258"/>
      <c r="C150" s="479"/>
      <c r="D150" s="477"/>
      <c r="E150" s="477"/>
      <c r="F150" s="477"/>
      <c r="G150" s="255"/>
      <c r="H150" s="470"/>
    </row>
    <row r="151" spans="2:8" ht="15.6" x14ac:dyDescent="0.25">
      <c r="B151" s="258"/>
      <c r="C151" s="479"/>
      <c r="D151" s="477"/>
      <c r="E151" s="477"/>
      <c r="F151" s="477"/>
      <c r="G151" s="255"/>
      <c r="H151" s="470"/>
    </row>
    <row r="152" spans="2:8" ht="15.6" x14ac:dyDescent="0.25">
      <c r="B152" s="258"/>
      <c r="C152" s="475" t="s">
        <v>643</v>
      </c>
      <c r="D152" s="474"/>
      <c r="E152" s="477"/>
      <c r="F152" s="477"/>
      <c r="G152" s="255"/>
      <c r="H152" s="219"/>
    </row>
    <row r="153" spans="2:8" ht="15" x14ac:dyDescent="0.25">
      <c r="B153" s="262"/>
      <c r="C153" s="200" t="s">
        <v>590</v>
      </c>
      <c r="D153" s="474"/>
      <c r="E153" s="478"/>
      <c r="F153" s="478"/>
      <c r="G153" s="255"/>
      <c r="H153" s="219"/>
    </row>
    <row r="154" spans="2:8" ht="15" x14ac:dyDescent="0.25">
      <c r="B154" s="264"/>
      <c r="C154" s="261" t="s">
        <v>591</v>
      </c>
      <c r="D154" s="474"/>
      <c r="E154" s="478"/>
      <c r="F154" s="478"/>
      <c r="G154" s="255"/>
      <c r="H154" s="219"/>
    </row>
    <row r="155" spans="2:8" ht="15" x14ac:dyDescent="0.25">
      <c r="B155" s="265"/>
      <c r="C155" s="261" t="s">
        <v>644</v>
      </c>
      <c r="D155" s="474"/>
      <c r="E155" s="478"/>
      <c r="F155" s="478"/>
      <c r="G155" s="255"/>
      <c r="H155" s="219"/>
    </row>
    <row r="156" spans="2:8" x14ac:dyDescent="0.25">
      <c r="B156" s="267"/>
      <c r="C156" s="268"/>
      <c r="D156" s="259"/>
      <c r="E156" s="259"/>
      <c r="F156" s="259"/>
      <c r="G156" s="259"/>
      <c r="H156" s="260"/>
    </row>
    <row r="166" spans="2:8" ht="15.6" x14ac:dyDescent="0.25">
      <c r="B166" s="609" t="s">
        <v>320</v>
      </c>
      <c r="C166" s="609"/>
      <c r="D166" s="609"/>
      <c r="E166" s="609"/>
      <c r="F166" s="609"/>
      <c r="G166" s="609"/>
      <c r="H166" s="609"/>
    </row>
    <row r="167" spans="2:8" x14ac:dyDescent="0.25">
      <c r="B167" s="569" t="str">
        <f>+PRESUPUESTO!B1</f>
        <v>MANTENIMIENTO Y ADECUACIÓN DE INSTITUCIONES EDUCATIVAS OFICIALES, DEL MUNICIPIO DE LA APARTADA CORDOBA.</v>
      </c>
      <c r="C167" s="570"/>
      <c r="D167" s="570"/>
      <c r="E167" s="570"/>
      <c r="F167" s="570"/>
      <c r="G167" s="570"/>
      <c r="H167" s="571"/>
    </row>
    <row r="168" spans="2:8" x14ac:dyDescent="0.25">
      <c r="B168" s="572"/>
      <c r="C168" s="573"/>
      <c r="D168" s="573"/>
      <c r="E168" s="573"/>
      <c r="F168" s="573"/>
      <c r="G168" s="573"/>
      <c r="H168" s="574"/>
    </row>
    <row r="169" spans="2:8" x14ac:dyDescent="0.25">
      <c r="B169" s="575"/>
      <c r="C169" s="576"/>
      <c r="D169" s="576"/>
      <c r="E169" s="576"/>
      <c r="F169" s="576"/>
      <c r="G169" s="576"/>
      <c r="H169" s="577"/>
    </row>
    <row r="170" spans="2:8" x14ac:dyDescent="0.25">
      <c r="B170" s="578" t="str">
        <f>+PRESUPUESTO!C48</f>
        <v>S/I DE SANITARIOS CERÁMICO BLANCO, INCLUYE TODOS SUS ACCESORIOS, HASTA SU CORRECTO FUNCIONAMINETO.</v>
      </c>
      <c r="C170" s="579"/>
      <c r="D170" s="579"/>
      <c r="E170" s="579"/>
      <c r="F170" s="580"/>
      <c r="G170" s="615" t="s">
        <v>595</v>
      </c>
      <c r="H170" s="616"/>
    </row>
    <row r="171" spans="2:8" x14ac:dyDescent="0.25">
      <c r="B171" s="581"/>
      <c r="C171" s="582"/>
      <c r="D171" s="582"/>
      <c r="E171" s="582"/>
      <c r="F171" s="583"/>
      <c r="G171" s="617"/>
      <c r="H171" s="618"/>
    </row>
    <row r="172" spans="2:8" x14ac:dyDescent="0.25">
      <c r="B172" s="584"/>
      <c r="C172" s="585"/>
      <c r="D172" s="585"/>
      <c r="E172" s="585"/>
      <c r="F172" s="586"/>
      <c r="G172" s="619"/>
      <c r="H172" s="620"/>
    </row>
    <row r="173" spans="2:8" x14ac:dyDescent="0.25">
      <c r="B173" s="518" t="s">
        <v>0</v>
      </c>
      <c r="C173" s="515">
        <f>+ PRESUPUESTO!B48</f>
        <v>5.3</v>
      </c>
      <c r="D173" s="516"/>
      <c r="E173" s="516"/>
      <c r="F173" s="516"/>
      <c r="G173" s="516"/>
      <c r="H173" s="517"/>
    </row>
    <row r="174" spans="2:8" x14ac:dyDescent="0.25">
      <c r="B174" s="214" t="s">
        <v>19</v>
      </c>
      <c r="C174" s="26"/>
      <c r="D174" s="26"/>
      <c r="E174" s="26"/>
      <c r="F174" s="215"/>
      <c r="G174" s="26"/>
      <c r="H174" s="216"/>
    </row>
    <row r="175" spans="2:8" x14ac:dyDescent="0.25">
      <c r="B175" s="602" t="s">
        <v>20</v>
      </c>
      <c r="C175" s="602"/>
      <c r="D175" s="297" t="s">
        <v>21</v>
      </c>
      <c r="E175" s="297" t="s">
        <v>22</v>
      </c>
      <c r="F175" s="298" t="s">
        <v>23</v>
      </c>
      <c r="G175" s="299" t="s">
        <v>24</v>
      </c>
      <c r="H175" s="300" t="s">
        <v>482</v>
      </c>
    </row>
    <row r="176" spans="2:8" x14ac:dyDescent="0.25">
      <c r="B176" s="605" t="s">
        <v>8</v>
      </c>
      <c r="C176" s="605"/>
      <c r="D176" s="301"/>
      <c r="E176" s="302"/>
      <c r="F176" s="303">
        <v>0.1</v>
      </c>
      <c r="G176" s="287">
        <f>+H199</f>
        <v>96834.001466666668</v>
      </c>
      <c r="H176" s="304">
        <f>+F176*G176</f>
        <v>9683.4001466666668</v>
      </c>
    </row>
    <row r="177" spans="2:8" x14ac:dyDescent="0.25">
      <c r="B177" s="604"/>
      <c r="C177" s="595"/>
      <c r="D177" s="301"/>
      <c r="E177" s="302"/>
      <c r="F177" s="289"/>
      <c r="G177" s="287"/>
      <c r="H177" s="304"/>
    </row>
    <row r="178" spans="2:8" x14ac:dyDescent="0.25">
      <c r="B178" s="605"/>
      <c r="C178" s="605"/>
      <c r="D178" s="301"/>
      <c r="E178" s="302"/>
      <c r="F178" s="289"/>
      <c r="G178" s="287"/>
      <c r="H178" s="304"/>
    </row>
    <row r="179" spans="2:8" x14ac:dyDescent="0.25">
      <c r="B179" s="305"/>
      <c r="C179" s="266"/>
      <c r="D179" s="266"/>
      <c r="E179" s="266"/>
      <c r="F179" s="296"/>
      <c r="G179" s="306" t="s">
        <v>25</v>
      </c>
      <c r="H179" s="307">
        <f>SUM(H176:H178)</f>
        <v>9683.4001466666668</v>
      </c>
    </row>
    <row r="180" spans="2:8" x14ac:dyDescent="0.25">
      <c r="B180" s="214" t="s">
        <v>26</v>
      </c>
      <c r="C180" s="26"/>
      <c r="D180" s="26"/>
      <c r="E180" s="26"/>
      <c r="F180" s="435"/>
      <c r="G180" s="435"/>
      <c r="H180" s="436"/>
    </row>
    <row r="181" spans="2:8" x14ac:dyDescent="0.25">
      <c r="B181" s="602" t="s">
        <v>20</v>
      </c>
      <c r="C181" s="602"/>
      <c r="D181" s="297" t="s">
        <v>27</v>
      </c>
      <c r="E181" s="297" t="s">
        <v>28</v>
      </c>
      <c r="F181" s="298" t="s">
        <v>29</v>
      </c>
      <c r="G181" s="299" t="s">
        <v>24</v>
      </c>
      <c r="H181" s="310" t="s">
        <v>482</v>
      </c>
    </row>
    <row r="182" spans="2:8" x14ac:dyDescent="0.25">
      <c r="B182" s="606" t="s">
        <v>612</v>
      </c>
      <c r="C182" s="606"/>
      <c r="D182" s="271" t="s">
        <v>1</v>
      </c>
      <c r="E182" s="272">
        <v>379000</v>
      </c>
      <c r="F182" s="273">
        <v>1</v>
      </c>
      <c r="G182" s="274">
        <f>E182*F182</f>
        <v>379000</v>
      </c>
      <c r="H182" s="275">
        <f>G182</f>
        <v>379000</v>
      </c>
    </row>
    <row r="183" spans="2:8" x14ac:dyDescent="0.25">
      <c r="B183" s="610" t="s">
        <v>608</v>
      </c>
      <c r="C183" s="611"/>
      <c r="D183" s="271" t="s">
        <v>1</v>
      </c>
      <c r="E183" s="272">
        <v>55000</v>
      </c>
      <c r="F183" s="273">
        <v>1</v>
      </c>
      <c r="G183" s="274">
        <f>E183*F183</f>
        <v>55000</v>
      </c>
      <c r="H183" s="275">
        <f>G183</f>
        <v>55000</v>
      </c>
    </row>
    <row r="184" spans="2:8" x14ac:dyDescent="0.25">
      <c r="B184" s="610" t="s">
        <v>609</v>
      </c>
      <c r="C184" s="611"/>
      <c r="D184" s="271" t="s">
        <v>1</v>
      </c>
      <c r="E184" s="272">
        <v>15000</v>
      </c>
      <c r="F184" s="273">
        <v>1</v>
      </c>
      <c r="G184" s="274">
        <f>E184*F184</f>
        <v>15000</v>
      </c>
      <c r="H184" s="275">
        <f>G184</f>
        <v>15000</v>
      </c>
    </row>
    <row r="185" spans="2:8" x14ac:dyDescent="0.25">
      <c r="B185" s="610" t="s">
        <v>610</v>
      </c>
      <c r="C185" s="611"/>
      <c r="D185" s="271" t="s">
        <v>1</v>
      </c>
      <c r="E185" s="272">
        <v>18000</v>
      </c>
      <c r="F185" s="273">
        <v>0.25</v>
      </c>
      <c r="G185" s="274">
        <f>E185*F185</f>
        <v>4500</v>
      </c>
      <c r="H185" s="275">
        <f>G185</f>
        <v>4500</v>
      </c>
    </row>
    <row r="186" spans="2:8" x14ac:dyDescent="0.25">
      <c r="B186" s="613" t="s">
        <v>611</v>
      </c>
      <c r="C186" s="613"/>
      <c r="D186" s="271" t="s">
        <v>1</v>
      </c>
      <c r="E186" s="272">
        <v>22000</v>
      </c>
      <c r="F186" s="273">
        <v>1</v>
      </c>
      <c r="G186" s="274">
        <f>E186*F186</f>
        <v>22000</v>
      </c>
      <c r="H186" s="275">
        <f>G186</f>
        <v>22000</v>
      </c>
    </row>
    <row r="187" spans="2:8" x14ac:dyDescent="0.25">
      <c r="B187" s="612"/>
      <c r="C187" s="612"/>
      <c r="D187" s="285"/>
      <c r="E187" s="286"/>
      <c r="F187" s="289"/>
      <c r="G187" s="287"/>
      <c r="H187" s="288"/>
    </row>
    <row r="188" spans="2:8" x14ac:dyDescent="0.25">
      <c r="B188" s="217"/>
      <c r="C188" s="26"/>
      <c r="D188" s="26"/>
      <c r="E188" s="26"/>
      <c r="F188" s="435"/>
      <c r="G188" s="306" t="s">
        <v>25</v>
      </c>
      <c r="H188" s="312">
        <f>SUM(H182:H187)</f>
        <v>475500</v>
      </c>
    </row>
    <row r="189" spans="2:8" x14ac:dyDescent="0.25">
      <c r="B189" s="214" t="s">
        <v>30</v>
      </c>
      <c r="C189" s="26"/>
      <c r="D189" s="26"/>
      <c r="E189" s="26"/>
      <c r="F189" s="435"/>
      <c r="G189" s="435"/>
      <c r="H189" s="433"/>
    </row>
    <row r="190" spans="2:8" x14ac:dyDescent="0.25">
      <c r="B190" s="602" t="s">
        <v>20</v>
      </c>
      <c r="C190" s="602"/>
      <c r="D190" s="297" t="s">
        <v>21</v>
      </c>
      <c r="E190" s="297" t="s">
        <v>127</v>
      </c>
      <c r="F190" s="298" t="s">
        <v>32</v>
      </c>
      <c r="G190" s="297" t="s">
        <v>24</v>
      </c>
      <c r="H190" s="313" t="s">
        <v>481</v>
      </c>
    </row>
    <row r="191" spans="2:8" x14ac:dyDescent="0.25">
      <c r="B191" s="614" t="s">
        <v>614</v>
      </c>
      <c r="C191" s="614"/>
      <c r="D191" s="439" t="s">
        <v>600</v>
      </c>
      <c r="E191" s="440">
        <v>12</v>
      </c>
      <c r="F191" s="437">
        <v>3000</v>
      </c>
      <c r="G191" s="437">
        <f>+F191*E191</f>
        <v>36000</v>
      </c>
      <c r="H191" s="433">
        <f>+G191</f>
        <v>36000</v>
      </c>
    </row>
    <row r="192" spans="2:8" x14ac:dyDescent="0.25">
      <c r="B192" s="614"/>
      <c r="C192" s="614"/>
      <c r="D192" s="439"/>
      <c r="E192" s="441"/>
      <c r="F192" s="442"/>
      <c r="G192" s="441"/>
      <c r="H192" s="412"/>
    </row>
    <row r="193" spans="2:8" x14ac:dyDescent="0.25">
      <c r="B193" s="217"/>
      <c r="C193" s="26"/>
      <c r="D193" s="26"/>
      <c r="E193" s="26"/>
      <c r="F193" s="215"/>
      <c r="G193" s="434" t="s">
        <v>25</v>
      </c>
      <c r="H193" s="443">
        <f>SUM(H191:H192)</f>
        <v>36000</v>
      </c>
    </row>
    <row r="194" spans="2:8" x14ac:dyDescent="0.25">
      <c r="B194" s="214" t="s">
        <v>34</v>
      </c>
      <c r="C194" s="26"/>
      <c r="D194" s="26"/>
      <c r="E194" s="26"/>
      <c r="F194" s="215"/>
      <c r="G194" s="435"/>
      <c r="H194" s="218"/>
    </row>
    <row r="195" spans="2:8" x14ac:dyDescent="0.25">
      <c r="B195" s="444" t="s">
        <v>35</v>
      </c>
      <c r="C195" s="444" t="s">
        <v>29</v>
      </c>
      <c r="D195" s="444" t="s">
        <v>36</v>
      </c>
      <c r="E195" s="444" t="s">
        <v>37</v>
      </c>
      <c r="F195" s="445" t="s">
        <v>38</v>
      </c>
      <c r="G195" s="446" t="s">
        <v>23</v>
      </c>
      <c r="H195" s="447" t="s">
        <v>24</v>
      </c>
    </row>
    <row r="196" spans="2:8" x14ac:dyDescent="0.25">
      <c r="B196" s="288" t="s">
        <v>613</v>
      </c>
      <c r="C196" s="316">
        <v>1</v>
      </c>
      <c r="D196" s="325">
        <v>100000</v>
      </c>
      <c r="E196" s="326">
        <v>1.8344</v>
      </c>
      <c r="F196" s="327">
        <f>+D196*C196*E196</f>
        <v>183440</v>
      </c>
      <c r="G196" s="316">
        <v>3</v>
      </c>
      <c r="H196" s="274">
        <f>F196/G196</f>
        <v>61146.666666666664</v>
      </c>
    </row>
    <row r="197" spans="2:8" x14ac:dyDescent="0.25">
      <c r="B197" s="288" t="s">
        <v>496</v>
      </c>
      <c r="C197" s="316">
        <v>1</v>
      </c>
      <c r="D197" s="325">
        <f>+D145</f>
        <v>58363.5</v>
      </c>
      <c r="E197" s="326">
        <v>1.8344</v>
      </c>
      <c r="F197" s="327">
        <f>+D197*C197*E197</f>
        <v>107062.00440000001</v>
      </c>
      <c r="G197" s="316">
        <v>3</v>
      </c>
      <c r="H197" s="274">
        <f>+F197/G197</f>
        <v>35687.334800000004</v>
      </c>
    </row>
    <row r="198" spans="2:8" x14ac:dyDescent="0.25">
      <c r="B198" s="438"/>
      <c r="C198" s="438"/>
      <c r="D198" s="442"/>
      <c r="E198" s="438"/>
      <c r="F198" s="442"/>
      <c r="G198" s="438"/>
      <c r="H198" s="448"/>
    </row>
    <row r="199" spans="2:8" x14ac:dyDescent="0.25">
      <c r="B199" s="217"/>
      <c r="C199" s="26"/>
      <c r="D199" s="26"/>
      <c r="E199" s="26"/>
      <c r="F199" s="215"/>
      <c r="G199" s="306" t="s">
        <v>25</v>
      </c>
      <c r="H199" s="328">
        <f>+SUM(H196:H198)</f>
        <v>96834.001466666668</v>
      </c>
    </row>
    <row r="200" spans="2:8" x14ac:dyDescent="0.25">
      <c r="B200" s="217"/>
      <c r="C200" s="26"/>
      <c r="D200" s="26"/>
      <c r="E200" s="26"/>
      <c r="F200" s="215"/>
      <c r="G200" s="256"/>
      <c r="H200" s="218"/>
    </row>
    <row r="201" spans="2:8" ht="15.6" x14ac:dyDescent="0.25">
      <c r="B201" s="258"/>
      <c r="C201" s="479" t="s">
        <v>645</v>
      </c>
      <c r="D201" s="477"/>
      <c r="E201" s="477"/>
      <c r="F201" s="477"/>
      <c r="G201" s="469" t="s">
        <v>41</v>
      </c>
      <c r="H201" s="254">
        <f>+H179+H188+H193+H199</f>
        <v>618017.40161333338</v>
      </c>
    </row>
    <row r="202" spans="2:8" ht="15.6" x14ac:dyDescent="0.25">
      <c r="B202" s="258"/>
      <c r="C202" s="479"/>
      <c r="D202" s="477"/>
      <c r="E202" s="477"/>
      <c r="F202" s="477"/>
      <c r="G202" s="255"/>
      <c r="H202" s="219"/>
    </row>
    <row r="203" spans="2:8" ht="15.6" x14ac:dyDescent="0.25">
      <c r="B203" s="258"/>
      <c r="C203" s="479"/>
      <c r="D203" s="477"/>
      <c r="E203" s="477"/>
      <c r="F203" s="477"/>
      <c r="G203" s="255"/>
      <c r="H203" s="219"/>
    </row>
    <row r="204" spans="2:8" ht="15.6" x14ac:dyDescent="0.25">
      <c r="B204" s="258"/>
      <c r="C204" s="475" t="s">
        <v>643</v>
      </c>
      <c r="D204" s="474"/>
      <c r="E204" s="477"/>
      <c r="F204" s="477"/>
      <c r="G204" s="255"/>
      <c r="H204" s="219"/>
    </row>
    <row r="205" spans="2:8" ht="15" x14ac:dyDescent="0.25">
      <c r="B205" s="262"/>
      <c r="C205" s="200" t="s">
        <v>590</v>
      </c>
      <c r="D205" s="474"/>
      <c r="E205" s="478"/>
      <c r="F205" s="478"/>
      <c r="G205" s="255"/>
      <c r="H205" s="260"/>
    </row>
    <row r="206" spans="2:8" ht="15" x14ac:dyDescent="0.25">
      <c r="B206" s="264"/>
      <c r="C206" s="261" t="s">
        <v>591</v>
      </c>
      <c r="D206" s="474"/>
      <c r="E206" s="478"/>
      <c r="F206" s="478"/>
      <c r="G206" s="255"/>
      <c r="H206" s="471"/>
    </row>
    <row r="207" spans="2:8" ht="15" x14ac:dyDescent="0.25">
      <c r="B207" s="265"/>
      <c r="C207" s="261" t="s">
        <v>644</v>
      </c>
      <c r="D207" s="474"/>
      <c r="E207" s="478"/>
      <c r="F207" s="478"/>
      <c r="G207" s="255"/>
      <c r="H207" s="465"/>
    </row>
    <row r="208" spans="2:8" x14ac:dyDescent="0.25">
      <c r="B208" s="267"/>
      <c r="C208" s="268"/>
      <c r="D208" s="259"/>
      <c r="E208" s="259"/>
      <c r="F208" s="259"/>
      <c r="G208" s="259"/>
      <c r="H208" s="468"/>
    </row>
    <row r="217" spans="2:8" ht="15.6" hidden="1" x14ac:dyDescent="0.25">
      <c r="B217" s="566" t="s">
        <v>320</v>
      </c>
      <c r="C217" s="567"/>
      <c r="D217" s="567"/>
      <c r="E217" s="567"/>
      <c r="F217" s="567"/>
      <c r="G217" s="567"/>
      <c r="H217" s="568"/>
    </row>
    <row r="218" spans="2:8" hidden="1" x14ac:dyDescent="0.25">
      <c r="B218" s="569" t="str">
        <f>+PRESUPUESTO!B1</f>
        <v>MANTENIMIENTO Y ADECUACIÓN DE INSTITUCIONES EDUCATIVAS OFICIALES, DEL MUNICIPIO DE LA APARTADA CORDOBA.</v>
      </c>
      <c r="C218" s="570"/>
      <c r="D218" s="570"/>
      <c r="E218" s="570"/>
      <c r="F218" s="570"/>
      <c r="G218" s="570"/>
      <c r="H218" s="571"/>
    </row>
    <row r="219" spans="2:8" hidden="1" x14ac:dyDescent="0.25">
      <c r="B219" s="572"/>
      <c r="C219" s="573"/>
      <c r="D219" s="573"/>
      <c r="E219" s="573"/>
      <c r="F219" s="573"/>
      <c r="G219" s="573"/>
      <c r="H219" s="574"/>
    </row>
    <row r="220" spans="2:8" hidden="1" x14ac:dyDescent="0.25">
      <c r="B220" s="575"/>
      <c r="C220" s="576"/>
      <c r="D220" s="576"/>
      <c r="E220" s="576"/>
      <c r="F220" s="576"/>
      <c r="G220" s="576"/>
      <c r="H220" s="577"/>
    </row>
    <row r="221" spans="2:8" hidden="1" x14ac:dyDescent="0.25">
      <c r="B221" s="578" t="e">
        <f>+PRESUPUESTO!#REF!</f>
        <v>#REF!</v>
      </c>
      <c r="C221" s="579"/>
      <c r="D221" s="579"/>
      <c r="E221" s="579"/>
      <c r="F221" s="580"/>
      <c r="G221" s="587" t="s">
        <v>627</v>
      </c>
      <c r="H221" s="588"/>
    </row>
    <row r="222" spans="2:8" hidden="1" x14ac:dyDescent="0.25">
      <c r="B222" s="581"/>
      <c r="C222" s="582"/>
      <c r="D222" s="582"/>
      <c r="E222" s="582"/>
      <c r="F222" s="583"/>
      <c r="G222" s="589"/>
      <c r="H222" s="590"/>
    </row>
    <row r="223" spans="2:8" hidden="1" x14ac:dyDescent="0.25">
      <c r="B223" s="584"/>
      <c r="C223" s="585"/>
      <c r="D223" s="585"/>
      <c r="E223" s="585"/>
      <c r="F223" s="586"/>
      <c r="G223" s="591"/>
      <c r="H223" s="592"/>
    </row>
    <row r="224" spans="2:8" hidden="1" x14ac:dyDescent="0.25">
      <c r="B224" s="651"/>
      <c r="C224" s="652"/>
      <c r="D224" s="652"/>
      <c r="E224" s="652"/>
      <c r="F224" s="652"/>
      <c r="G224" s="652"/>
      <c r="H224" s="653"/>
    </row>
    <row r="225" spans="2:8" hidden="1" x14ac:dyDescent="0.25">
      <c r="B225" s="214" t="s">
        <v>19</v>
      </c>
      <c r="C225" s="266"/>
      <c r="D225" s="266"/>
      <c r="E225" s="266"/>
      <c r="F225" s="296"/>
      <c r="G225" s="266"/>
      <c r="H225" s="216"/>
    </row>
    <row r="226" spans="2:8" hidden="1" x14ac:dyDescent="0.25">
      <c r="B226" s="602" t="s">
        <v>20</v>
      </c>
      <c r="C226" s="602"/>
      <c r="D226" s="297" t="s">
        <v>21</v>
      </c>
      <c r="E226" s="297" t="s">
        <v>22</v>
      </c>
      <c r="F226" s="298" t="s">
        <v>23</v>
      </c>
      <c r="G226" s="299" t="s">
        <v>24</v>
      </c>
      <c r="H226" s="300" t="s">
        <v>482</v>
      </c>
    </row>
    <row r="227" spans="2:8" hidden="1" x14ac:dyDescent="0.25">
      <c r="B227" s="605" t="s">
        <v>8</v>
      </c>
      <c r="C227" s="605"/>
      <c r="D227" s="301"/>
      <c r="E227" s="302"/>
      <c r="F227" s="303">
        <v>0.1</v>
      </c>
      <c r="G227" s="287">
        <f>+H247</f>
        <v>48417.000733333334</v>
      </c>
      <c r="H227" s="304">
        <f>+F227*G227</f>
        <v>4841.7000733333334</v>
      </c>
    </row>
    <row r="228" spans="2:8" hidden="1" x14ac:dyDescent="0.25">
      <c r="B228" s="604" t="s">
        <v>459</v>
      </c>
      <c r="C228" s="595"/>
      <c r="D228" s="301"/>
      <c r="E228" s="302">
        <v>2875</v>
      </c>
      <c r="F228" s="289">
        <v>0.5</v>
      </c>
      <c r="G228" s="287">
        <f>+E228/F228</f>
        <v>5750</v>
      </c>
      <c r="H228" s="304">
        <f t="shared" ref="H228" si="2">G228</f>
        <v>5750</v>
      </c>
    </row>
    <row r="229" spans="2:8" hidden="1" x14ac:dyDescent="0.25">
      <c r="B229" s="605"/>
      <c r="C229" s="605"/>
      <c r="D229" s="301"/>
      <c r="E229" s="302"/>
      <c r="F229" s="289"/>
      <c r="G229" s="287"/>
      <c r="H229" s="304"/>
    </row>
    <row r="230" spans="2:8" hidden="1" x14ac:dyDescent="0.25">
      <c r="B230" s="305"/>
      <c r="C230" s="266"/>
      <c r="D230" s="266"/>
      <c r="E230" s="266"/>
      <c r="F230" s="296"/>
      <c r="G230" s="306" t="s">
        <v>25</v>
      </c>
      <c r="H230" s="307">
        <f>SUM(H227:H229)</f>
        <v>10591.700073333333</v>
      </c>
    </row>
    <row r="231" spans="2:8" hidden="1" x14ac:dyDescent="0.25">
      <c r="B231" s="214" t="s">
        <v>26</v>
      </c>
      <c r="C231" s="266"/>
      <c r="D231" s="266"/>
      <c r="E231" s="266"/>
      <c r="F231" s="308"/>
      <c r="G231" s="308"/>
      <c r="H231" s="309"/>
    </row>
    <row r="232" spans="2:8" hidden="1" x14ac:dyDescent="0.25">
      <c r="B232" s="602" t="s">
        <v>20</v>
      </c>
      <c r="C232" s="602"/>
      <c r="D232" s="297" t="s">
        <v>27</v>
      </c>
      <c r="E232" s="297" t="s">
        <v>28</v>
      </c>
      <c r="F232" s="298" t="s">
        <v>29</v>
      </c>
      <c r="G232" s="299" t="s">
        <v>24</v>
      </c>
      <c r="H232" s="310" t="s">
        <v>482</v>
      </c>
    </row>
    <row r="233" spans="2:8" hidden="1" x14ac:dyDescent="0.25">
      <c r="B233" s="606" t="s">
        <v>491</v>
      </c>
      <c r="C233" s="606"/>
      <c r="D233" s="271" t="str">
        <f>+IF(B233=0,"",(VLOOKUP(B233,[8]MATERIALES!$B$6:$D$149,3,FALSE)))</f>
        <v>und</v>
      </c>
      <c r="E233" s="272">
        <v>92000</v>
      </c>
      <c r="F233" s="273">
        <v>1</v>
      </c>
      <c r="G233" s="274">
        <f t="shared" ref="G233:G234" si="3">E233*F233</f>
        <v>92000</v>
      </c>
      <c r="H233" s="275">
        <f>G233</f>
        <v>92000</v>
      </c>
    </row>
    <row r="234" spans="2:8" hidden="1" x14ac:dyDescent="0.25">
      <c r="B234" s="595" t="s">
        <v>477</v>
      </c>
      <c r="C234" s="595"/>
      <c r="D234" s="271" t="str">
        <f>+IF(B234=0,"",(VLOOKUP(B234,[8]MATERIALES!$B$6:$D$149,3,FALSE)))</f>
        <v>und</v>
      </c>
      <c r="E234" s="272">
        <v>24900</v>
      </c>
      <c r="F234" s="273">
        <v>0.1</v>
      </c>
      <c r="G234" s="274">
        <f t="shared" si="3"/>
        <v>2490</v>
      </c>
      <c r="H234" s="275">
        <f t="shared" ref="H234" si="4">G234</f>
        <v>2490</v>
      </c>
    </row>
    <row r="235" spans="2:8" hidden="1" x14ac:dyDescent="0.25">
      <c r="B235" s="595"/>
      <c r="C235" s="595"/>
      <c r="D235" s="285"/>
      <c r="E235" s="286"/>
      <c r="F235" s="289"/>
      <c r="G235" s="287"/>
      <c r="H235" s="288"/>
    </row>
    <row r="236" spans="2:8" hidden="1" x14ac:dyDescent="0.25">
      <c r="B236" s="305"/>
      <c r="C236" s="266"/>
      <c r="D236" s="266"/>
      <c r="E236" s="266"/>
      <c r="F236" s="308"/>
      <c r="G236" s="306" t="s">
        <v>25</v>
      </c>
      <c r="H236" s="312">
        <f>SUM(H233:H235)</f>
        <v>94490</v>
      </c>
    </row>
    <row r="237" spans="2:8" hidden="1" x14ac:dyDescent="0.25">
      <c r="B237" s="214" t="s">
        <v>30</v>
      </c>
      <c r="C237" s="266"/>
      <c r="D237" s="266"/>
      <c r="E237" s="266"/>
      <c r="F237" s="308"/>
      <c r="G237" s="308"/>
      <c r="H237" s="304"/>
    </row>
    <row r="238" spans="2:8" hidden="1" x14ac:dyDescent="0.25">
      <c r="B238" s="602" t="s">
        <v>20</v>
      </c>
      <c r="C238" s="602"/>
      <c r="D238" s="297" t="s">
        <v>21</v>
      </c>
      <c r="E238" s="297" t="s">
        <v>127</v>
      </c>
      <c r="F238" s="298" t="s">
        <v>32</v>
      </c>
      <c r="G238" s="297" t="s">
        <v>24</v>
      </c>
      <c r="H238" s="313" t="s">
        <v>481</v>
      </c>
    </row>
    <row r="239" spans="2:8" hidden="1" x14ac:dyDescent="0.25">
      <c r="B239" s="603"/>
      <c r="C239" s="603"/>
      <c r="D239" s="314"/>
      <c r="E239" s="315"/>
      <c r="F239" s="274"/>
      <c r="G239" s="274"/>
      <c r="H239" s="304"/>
    </row>
    <row r="240" spans="2:8" hidden="1" x14ac:dyDescent="0.25">
      <c r="B240" s="603"/>
      <c r="C240" s="603"/>
      <c r="D240" s="314"/>
      <c r="E240" s="316"/>
      <c r="F240" s="317"/>
      <c r="G240" s="316"/>
      <c r="H240" s="318"/>
    </row>
    <row r="241" spans="2:8" hidden="1" x14ac:dyDescent="0.25">
      <c r="B241" s="305"/>
      <c r="C241" s="266"/>
      <c r="D241" s="266"/>
      <c r="E241" s="266"/>
      <c r="F241" s="296"/>
      <c r="G241" s="306" t="s">
        <v>25</v>
      </c>
      <c r="H241" s="319">
        <f>SUM(H239:H240)</f>
        <v>0</v>
      </c>
    </row>
    <row r="242" spans="2:8" hidden="1" x14ac:dyDescent="0.25">
      <c r="B242" s="214" t="s">
        <v>34</v>
      </c>
      <c r="C242" s="266"/>
      <c r="D242" s="266"/>
      <c r="E242" s="266"/>
      <c r="F242" s="296"/>
      <c r="G242" s="308"/>
      <c r="H242" s="320"/>
    </row>
    <row r="243" spans="2:8" hidden="1" x14ac:dyDescent="0.25">
      <c r="B243" s="321" t="s">
        <v>35</v>
      </c>
      <c r="C243" s="321" t="s">
        <v>29</v>
      </c>
      <c r="D243" s="321" t="s">
        <v>36</v>
      </c>
      <c r="E243" s="321" t="s">
        <v>37</v>
      </c>
      <c r="F243" s="322" t="s">
        <v>38</v>
      </c>
      <c r="G243" s="323" t="s">
        <v>23</v>
      </c>
      <c r="H243" s="324" t="s">
        <v>24</v>
      </c>
    </row>
    <row r="244" spans="2:8" hidden="1" x14ac:dyDescent="0.25">
      <c r="B244" s="288" t="s">
        <v>626</v>
      </c>
      <c r="C244" s="316">
        <v>1</v>
      </c>
      <c r="D244" s="325">
        <v>100000</v>
      </c>
      <c r="E244" s="326">
        <v>1.8344</v>
      </c>
      <c r="F244" s="327">
        <f>+D244*C244*E244</f>
        <v>183440</v>
      </c>
      <c r="G244" s="316">
        <v>6</v>
      </c>
      <c r="H244" s="274">
        <f>F244/G244</f>
        <v>30573.333333333332</v>
      </c>
    </row>
    <row r="245" spans="2:8" hidden="1" x14ac:dyDescent="0.25">
      <c r="B245" s="288" t="s">
        <v>496</v>
      </c>
      <c r="C245" s="316">
        <v>1</v>
      </c>
      <c r="D245" s="325">
        <f>+D197</f>
        <v>58363.5</v>
      </c>
      <c r="E245" s="326">
        <v>1.8344</v>
      </c>
      <c r="F245" s="327">
        <f>+D245*C245*E245</f>
        <v>107062.00440000001</v>
      </c>
      <c r="G245" s="316">
        <v>6</v>
      </c>
      <c r="H245" s="274">
        <f>+F245/G245</f>
        <v>17843.667400000002</v>
      </c>
    </row>
    <row r="246" spans="2:8" hidden="1" x14ac:dyDescent="0.25">
      <c r="B246" s="288"/>
      <c r="C246" s="288"/>
      <c r="D246" s="317"/>
      <c r="E246" s="288"/>
      <c r="F246" s="317"/>
      <c r="G246" s="288"/>
      <c r="H246" s="327"/>
    </row>
    <row r="247" spans="2:8" hidden="1" x14ac:dyDescent="0.25">
      <c r="B247" s="305"/>
      <c r="C247" s="266"/>
      <c r="D247" s="266"/>
      <c r="E247" s="266"/>
      <c r="F247" s="296"/>
      <c r="G247" s="306" t="s">
        <v>25</v>
      </c>
      <c r="H247" s="328">
        <f>+SUM(H244:H246)</f>
        <v>48417.000733333334</v>
      </c>
    </row>
    <row r="248" spans="2:8" hidden="1" x14ac:dyDescent="0.25">
      <c r="B248" s="305"/>
      <c r="C248" s="266"/>
      <c r="D248" s="266"/>
      <c r="E248" s="266"/>
      <c r="F248" s="296"/>
      <c r="G248" s="449"/>
      <c r="H248" s="320"/>
    </row>
    <row r="249" spans="2:8" ht="15.6" hidden="1" x14ac:dyDescent="0.25">
      <c r="B249" s="258"/>
      <c r="C249" s="479" t="s">
        <v>645</v>
      </c>
      <c r="D249" s="477"/>
      <c r="E249" s="477"/>
      <c r="F249" s="477"/>
      <c r="G249" s="469" t="s">
        <v>41</v>
      </c>
      <c r="H249" s="254">
        <f>+H230+H236+H241+H247</f>
        <v>153498.70080666669</v>
      </c>
    </row>
    <row r="250" spans="2:8" ht="15.6" hidden="1" x14ac:dyDescent="0.25">
      <c r="B250" s="258"/>
      <c r="C250" s="479"/>
      <c r="D250" s="477"/>
      <c r="E250" s="477"/>
      <c r="F250" s="477"/>
      <c r="G250" s="255"/>
      <c r="H250" s="219"/>
    </row>
    <row r="251" spans="2:8" ht="15.6" hidden="1" x14ac:dyDescent="0.25">
      <c r="B251" s="258"/>
      <c r="C251" s="479"/>
      <c r="D251" s="477"/>
      <c r="E251" s="477"/>
      <c r="F251" s="477"/>
      <c r="G251" s="255"/>
      <c r="H251" s="219"/>
    </row>
    <row r="252" spans="2:8" ht="15.6" hidden="1" x14ac:dyDescent="0.25">
      <c r="B252" s="258"/>
      <c r="C252" s="475" t="s">
        <v>643</v>
      </c>
      <c r="D252" s="474"/>
      <c r="E252" s="477"/>
      <c r="F252" s="477"/>
      <c r="G252" s="255"/>
      <c r="H252" s="219"/>
    </row>
    <row r="253" spans="2:8" ht="15" hidden="1" x14ac:dyDescent="0.25">
      <c r="B253" s="262"/>
      <c r="C253" s="200" t="s">
        <v>590</v>
      </c>
      <c r="D253" s="474"/>
      <c r="E253" s="478"/>
      <c r="F253" s="478"/>
      <c r="G253" s="255"/>
      <c r="H253" s="219"/>
    </row>
    <row r="254" spans="2:8" ht="15" hidden="1" x14ac:dyDescent="0.25">
      <c r="B254" s="264"/>
      <c r="C254" s="261" t="s">
        <v>591</v>
      </c>
      <c r="D254" s="474"/>
      <c r="E254" s="478"/>
      <c r="F254" s="478"/>
      <c r="G254" s="255"/>
      <c r="H254" s="219"/>
    </row>
    <row r="255" spans="2:8" ht="15" hidden="1" x14ac:dyDescent="0.25">
      <c r="B255" s="265"/>
      <c r="C255" s="261" t="s">
        <v>644</v>
      </c>
      <c r="D255" s="474"/>
      <c r="E255" s="478"/>
      <c r="F255" s="478"/>
      <c r="G255" s="255"/>
      <c r="H255" s="219"/>
    </row>
    <row r="256" spans="2:8" hidden="1" x14ac:dyDescent="0.25">
      <c r="B256" s="265"/>
      <c r="C256" s="266"/>
      <c r="D256" s="255"/>
      <c r="E256" s="255"/>
      <c r="F256" s="255"/>
      <c r="G256" s="255"/>
      <c r="H256" s="219"/>
    </row>
    <row r="257" spans="2:8" hidden="1" x14ac:dyDescent="0.25">
      <c r="B257" s="265"/>
      <c r="C257" s="266"/>
      <c r="D257" s="255"/>
      <c r="E257" s="255"/>
      <c r="F257" s="255"/>
      <c r="G257" s="255"/>
      <c r="H257" s="219"/>
    </row>
    <row r="258" spans="2:8" hidden="1" x14ac:dyDescent="0.25">
      <c r="B258" s="267"/>
      <c r="C258" s="268"/>
      <c r="D258" s="259"/>
      <c r="E258" s="259"/>
      <c r="F258" s="259"/>
      <c r="G258" s="259"/>
      <c r="H258" s="260"/>
    </row>
    <row r="259" spans="2:8" hidden="1" x14ac:dyDescent="0.25"/>
    <row r="260" spans="2:8" hidden="1" x14ac:dyDescent="0.25"/>
    <row r="261" spans="2:8" hidden="1" x14ac:dyDescent="0.25"/>
    <row r="262" spans="2:8" hidden="1" x14ac:dyDescent="0.25"/>
    <row r="263" spans="2:8" hidden="1" x14ac:dyDescent="0.25"/>
    <row r="264" spans="2:8" hidden="1" x14ac:dyDescent="0.25"/>
    <row r="265" spans="2:8" hidden="1" x14ac:dyDescent="0.25"/>
    <row r="266" spans="2:8" hidden="1" x14ac:dyDescent="0.25"/>
    <row r="267" spans="2:8" hidden="1" x14ac:dyDescent="0.25"/>
    <row r="268" spans="2:8" hidden="1" x14ac:dyDescent="0.25"/>
    <row r="269" spans="2:8" hidden="1" x14ac:dyDescent="0.25"/>
    <row r="270" spans="2:8" ht="15.6" hidden="1" x14ac:dyDescent="0.25">
      <c r="B270" s="566" t="s">
        <v>320</v>
      </c>
      <c r="C270" s="567"/>
      <c r="D270" s="567"/>
      <c r="E270" s="567"/>
      <c r="F270" s="567"/>
      <c r="G270" s="567"/>
      <c r="H270" s="568"/>
    </row>
    <row r="271" spans="2:8" hidden="1" x14ac:dyDescent="0.25">
      <c r="B271" s="569" t="str">
        <f>+PRESUPUESTO!B1</f>
        <v>MANTENIMIENTO Y ADECUACIÓN DE INSTITUCIONES EDUCATIVAS OFICIALES, DEL MUNICIPIO DE LA APARTADA CORDOBA.</v>
      </c>
      <c r="C271" s="570"/>
      <c r="D271" s="570"/>
      <c r="E271" s="570"/>
      <c r="F271" s="570"/>
      <c r="G271" s="570"/>
      <c r="H271" s="571"/>
    </row>
    <row r="272" spans="2:8" hidden="1" x14ac:dyDescent="0.25">
      <c r="B272" s="572"/>
      <c r="C272" s="573"/>
      <c r="D272" s="573"/>
      <c r="E272" s="573"/>
      <c r="F272" s="573"/>
      <c r="G272" s="573"/>
      <c r="H272" s="574"/>
    </row>
    <row r="273" spans="2:8" hidden="1" x14ac:dyDescent="0.25">
      <c r="B273" s="575"/>
      <c r="C273" s="576"/>
      <c r="D273" s="576"/>
      <c r="E273" s="576"/>
      <c r="F273" s="576"/>
      <c r="G273" s="576"/>
      <c r="H273" s="577"/>
    </row>
    <row r="274" spans="2:8" hidden="1" x14ac:dyDescent="0.25">
      <c r="B274" s="578" t="e">
        <f>+PRESUPUESTO!#REF!</f>
        <v>#REF!</v>
      </c>
      <c r="C274" s="579"/>
      <c r="D274" s="579"/>
      <c r="E274" s="579"/>
      <c r="F274" s="580"/>
      <c r="G274" s="587" t="s">
        <v>595</v>
      </c>
      <c r="H274" s="588"/>
    </row>
    <row r="275" spans="2:8" hidden="1" x14ac:dyDescent="0.25">
      <c r="B275" s="581"/>
      <c r="C275" s="582"/>
      <c r="D275" s="582"/>
      <c r="E275" s="582"/>
      <c r="F275" s="583"/>
      <c r="G275" s="589"/>
      <c r="H275" s="590"/>
    </row>
    <row r="276" spans="2:8" hidden="1" x14ac:dyDescent="0.25">
      <c r="B276" s="584"/>
      <c r="C276" s="585"/>
      <c r="D276" s="585"/>
      <c r="E276" s="585"/>
      <c r="F276" s="586"/>
      <c r="G276" s="591"/>
      <c r="H276" s="592"/>
    </row>
    <row r="277" spans="2:8" hidden="1" x14ac:dyDescent="0.25">
      <c r="B277" s="651"/>
      <c r="C277" s="652"/>
      <c r="D277" s="652"/>
      <c r="E277" s="652"/>
      <c r="F277" s="652"/>
      <c r="G277" s="652"/>
      <c r="H277" s="653"/>
    </row>
    <row r="278" spans="2:8" hidden="1" x14ac:dyDescent="0.25">
      <c r="B278" s="214" t="s">
        <v>19</v>
      </c>
      <c r="C278" s="266"/>
      <c r="D278" s="266"/>
      <c r="E278" s="266"/>
      <c r="F278" s="296"/>
      <c r="G278" s="266"/>
      <c r="H278" s="216"/>
    </row>
    <row r="279" spans="2:8" hidden="1" x14ac:dyDescent="0.25">
      <c r="B279" s="560" t="s">
        <v>20</v>
      </c>
      <c r="C279" s="561"/>
      <c r="D279" s="297" t="s">
        <v>21</v>
      </c>
      <c r="E279" s="297" t="s">
        <v>22</v>
      </c>
      <c r="F279" s="298" t="s">
        <v>23</v>
      </c>
      <c r="G279" s="299" t="s">
        <v>24</v>
      </c>
      <c r="H279" s="300" t="s">
        <v>482</v>
      </c>
    </row>
    <row r="280" spans="2:8" hidden="1" x14ac:dyDescent="0.25">
      <c r="B280" s="562" t="s">
        <v>8</v>
      </c>
      <c r="C280" s="563"/>
      <c r="D280" s="301"/>
      <c r="E280" s="302"/>
      <c r="F280" s="303">
        <v>0.1</v>
      </c>
      <c r="G280" s="287">
        <f>+H300</f>
        <v>58100.400880000001</v>
      </c>
      <c r="H280" s="304">
        <f>+F280*G280</f>
        <v>5810.0400880000007</v>
      </c>
    </row>
    <row r="281" spans="2:8" hidden="1" x14ac:dyDescent="0.25">
      <c r="B281" s="600"/>
      <c r="C281" s="601"/>
      <c r="D281" s="301"/>
      <c r="E281" s="302"/>
      <c r="F281" s="289"/>
      <c r="G281" s="287"/>
      <c r="H281" s="304"/>
    </row>
    <row r="282" spans="2:8" hidden="1" x14ac:dyDescent="0.25">
      <c r="B282" s="562"/>
      <c r="C282" s="563"/>
      <c r="D282" s="301"/>
      <c r="E282" s="302"/>
      <c r="F282" s="289"/>
      <c r="G282" s="287"/>
      <c r="H282" s="304"/>
    </row>
    <row r="283" spans="2:8" hidden="1" x14ac:dyDescent="0.25">
      <c r="B283" s="305"/>
      <c r="C283" s="266"/>
      <c r="D283" s="266"/>
      <c r="E283" s="266"/>
      <c r="F283" s="296"/>
      <c r="G283" s="306" t="s">
        <v>25</v>
      </c>
      <c r="H283" s="307">
        <f>SUM(H280:H282)</f>
        <v>5810.0400880000007</v>
      </c>
    </row>
    <row r="284" spans="2:8" hidden="1" x14ac:dyDescent="0.25">
      <c r="B284" s="214" t="s">
        <v>26</v>
      </c>
      <c r="C284" s="266"/>
      <c r="D284" s="266"/>
      <c r="E284" s="266"/>
      <c r="F284" s="308"/>
      <c r="G284" s="308"/>
      <c r="H284" s="309"/>
    </row>
    <row r="285" spans="2:8" hidden="1" x14ac:dyDescent="0.25">
      <c r="B285" s="560" t="s">
        <v>20</v>
      </c>
      <c r="C285" s="561"/>
      <c r="D285" s="297" t="s">
        <v>27</v>
      </c>
      <c r="E285" s="297" t="s">
        <v>29</v>
      </c>
      <c r="F285" s="298" t="s">
        <v>598</v>
      </c>
      <c r="G285" s="299" t="s">
        <v>597</v>
      </c>
      <c r="H285" s="310" t="s">
        <v>482</v>
      </c>
    </row>
    <row r="286" spans="2:8" hidden="1" x14ac:dyDescent="0.25">
      <c r="B286" s="554" t="s">
        <v>659</v>
      </c>
      <c r="C286" s="555"/>
      <c r="D286" s="285" t="s">
        <v>1</v>
      </c>
      <c r="E286" s="413">
        <v>1</v>
      </c>
      <c r="F286" s="289">
        <v>300000</v>
      </c>
      <c r="G286" s="274">
        <f>+F286*E286</f>
        <v>300000</v>
      </c>
      <c r="H286" s="275">
        <f>+G286</f>
        <v>300000</v>
      </c>
    </row>
    <row r="287" spans="2:8" hidden="1" x14ac:dyDescent="0.25">
      <c r="B287" s="596" t="s">
        <v>660</v>
      </c>
      <c r="C287" s="597"/>
      <c r="D287" s="285" t="s">
        <v>661</v>
      </c>
      <c r="E287" s="484">
        <v>1</v>
      </c>
      <c r="F287" s="289">
        <v>30000</v>
      </c>
      <c r="G287" s="274">
        <f>+E287*F287</f>
        <v>30000</v>
      </c>
      <c r="H287" s="275">
        <f>+G287</f>
        <v>30000</v>
      </c>
    </row>
    <row r="288" spans="2:8" hidden="1" x14ac:dyDescent="0.25">
      <c r="B288" s="596"/>
      <c r="C288" s="597"/>
      <c r="D288" s="285"/>
      <c r="E288" s="286"/>
      <c r="F288" s="303"/>
      <c r="G288" s="287"/>
      <c r="H288" s="275"/>
    </row>
    <row r="289" spans="2:8" hidden="1" x14ac:dyDescent="0.25">
      <c r="B289" s="305"/>
      <c r="C289" s="266"/>
      <c r="D289" s="266"/>
      <c r="E289" s="266"/>
      <c r="F289" s="308"/>
      <c r="G289" s="306" t="s">
        <v>25</v>
      </c>
      <c r="H289" s="312">
        <f>SUM(H286:H288)</f>
        <v>330000</v>
      </c>
    </row>
    <row r="290" spans="2:8" hidden="1" x14ac:dyDescent="0.25">
      <c r="B290" s="214" t="s">
        <v>30</v>
      </c>
      <c r="C290" s="266"/>
      <c r="D290" s="266"/>
      <c r="E290" s="266"/>
      <c r="F290" s="308"/>
      <c r="G290" s="308"/>
      <c r="H290" s="304"/>
    </row>
    <row r="291" spans="2:8" hidden="1" x14ac:dyDescent="0.25">
      <c r="B291" s="560" t="s">
        <v>20</v>
      </c>
      <c r="C291" s="561"/>
      <c r="D291" s="297" t="s">
        <v>21</v>
      </c>
      <c r="E291" s="297" t="s">
        <v>127</v>
      </c>
      <c r="F291" s="298" t="s">
        <v>32</v>
      </c>
      <c r="G291" s="297" t="s">
        <v>24</v>
      </c>
      <c r="H291" s="313" t="s">
        <v>481</v>
      </c>
    </row>
    <row r="292" spans="2:8" hidden="1" x14ac:dyDescent="0.25">
      <c r="B292" s="598" t="s">
        <v>662</v>
      </c>
      <c r="C292" s="599"/>
      <c r="D292" s="314" t="s">
        <v>600</v>
      </c>
      <c r="E292" s="315">
        <v>12</v>
      </c>
      <c r="F292" s="274">
        <v>3000</v>
      </c>
      <c r="G292" s="274">
        <f>+E292*F292</f>
        <v>36000</v>
      </c>
      <c r="H292" s="304">
        <f>+G292</f>
        <v>36000</v>
      </c>
    </row>
    <row r="293" spans="2:8" hidden="1" x14ac:dyDescent="0.25">
      <c r="B293" s="598"/>
      <c r="C293" s="599"/>
      <c r="D293" s="314"/>
      <c r="E293" s="316"/>
      <c r="F293" s="317"/>
      <c r="G293" s="316"/>
      <c r="H293" s="318"/>
    </row>
    <row r="294" spans="2:8" hidden="1" x14ac:dyDescent="0.25">
      <c r="B294" s="305"/>
      <c r="C294" s="266"/>
      <c r="D294" s="266"/>
      <c r="E294" s="266"/>
      <c r="F294" s="296"/>
      <c r="G294" s="306" t="s">
        <v>25</v>
      </c>
      <c r="H294" s="319">
        <f>+H292</f>
        <v>36000</v>
      </c>
    </row>
    <row r="295" spans="2:8" hidden="1" x14ac:dyDescent="0.25">
      <c r="B295" s="214" t="s">
        <v>34</v>
      </c>
      <c r="C295" s="266"/>
      <c r="D295" s="266"/>
      <c r="E295" s="266"/>
      <c r="F295" s="296"/>
      <c r="G295" s="308"/>
      <c r="H295" s="320"/>
    </row>
    <row r="296" spans="2:8" hidden="1" x14ac:dyDescent="0.25">
      <c r="B296" s="321" t="s">
        <v>35</v>
      </c>
      <c r="C296" s="321" t="s">
        <v>29</v>
      </c>
      <c r="D296" s="321" t="s">
        <v>36</v>
      </c>
      <c r="E296" s="321" t="s">
        <v>37</v>
      </c>
      <c r="F296" s="322" t="s">
        <v>38</v>
      </c>
      <c r="G296" s="323" t="s">
        <v>23</v>
      </c>
      <c r="H296" s="324" t="s">
        <v>24</v>
      </c>
    </row>
    <row r="297" spans="2:8" hidden="1" x14ac:dyDescent="0.25">
      <c r="B297" s="288" t="s">
        <v>663</v>
      </c>
      <c r="C297" s="316">
        <v>1</v>
      </c>
      <c r="D297" s="325">
        <v>100000</v>
      </c>
      <c r="E297" s="326">
        <v>1.8344</v>
      </c>
      <c r="F297" s="327">
        <f>+D297*C297*E297</f>
        <v>183440</v>
      </c>
      <c r="G297" s="316">
        <v>5</v>
      </c>
      <c r="H297" s="274">
        <f>F297/G297</f>
        <v>36688</v>
      </c>
    </row>
    <row r="298" spans="2:8" hidden="1" x14ac:dyDescent="0.25">
      <c r="B298" s="288" t="s">
        <v>664</v>
      </c>
      <c r="C298" s="316">
        <v>1</v>
      </c>
      <c r="D298" s="325">
        <v>58363.5</v>
      </c>
      <c r="E298" s="326">
        <v>1.8344</v>
      </c>
      <c r="F298" s="327">
        <f>+D298*C298*E298</f>
        <v>107062.00440000001</v>
      </c>
      <c r="G298" s="316">
        <v>5</v>
      </c>
      <c r="H298" s="274">
        <f>+F298/G298</f>
        <v>21412.400880000001</v>
      </c>
    </row>
    <row r="299" spans="2:8" hidden="1" x14ac:dyDescent="0.25">
      <c r="B299" s="288"/>
      <c r="C299" s="288"/>
      <c r="D299" s="317"/>
      <c r="E299" s="288"/>
      <c r="F299" s="317"/>
      <c r="G299" s="288"/>
      <c r="H299" s="327"/>
    </row>
    <row r="300" spans="2:8" hidden="1" x14ac:dyDescent="0.25">
      <c r="B300" s="305"/>
      <c r="C300" s="266"/>
      <c r="D300" s="266"/>
      <c r="E300" s="266"/>
      <c r="F300" s="296"/>
      <c r="G300" s="306" t="s">
        <v>25</v>
      </c>
      <c r="H300" s="328">
        <f>+SUM(H297:H299)</f>
        <v>58100.400880000001</v>
      </c>
    </row>
    <row r="301" spans="2:8" hidden="1" x14ac:dyDescent="0.25">
      <c r="B301" s="217"/>
      <c r="C301" s="26"/>
      <c r="D301" s="26"/>
      <c r="E301" s="26"/>
      <c r="F301" s="215"/>
      <c r="G301" s="256"/>
      <c r="H301" s="218"/>
    </row>
    <row r="302" spans="2:8" ht="15.6" hidden="1" x14ac:dyDescent="0.25">
      <c r="B302" s="258"/>
      <c r="C302" s="479" t="s">
        <v>645</v>
      </c>
      <c r="D302" s="477"/>
      <c r="E302" s="477"/>
      <c r="F302" s="477"/>
      <c r="G302" s="469" t="s">
        <v>41</v>
      </c>
      <c r="H302" s="254">
        <f>+H283+H289+H294+H300</f>
        <v>429910.44096799998</v>
      </c>
    </row>
    <row r="303" spans="2:8" ht="15.6" hidden="1" x14ac:dyDescent="0.25">
      <c r="B303" s="258"/>
      <c r="C303" s="479"/>
      <c r="D303" s="477"/>
      <c r="E303" s="477"/>
      <c r="F303" s="477"/>
      <c r="G303" s="255"/>
      <c r="H303" s="219"/>
    </row>
    <row r="304" spans="2:8" ht="15.6" hidden="1" x14ac:dyDescent="0.25">
      <c r="B304" s="258"/>
      <c r="C304" s="479"/>
      <c r="D304" s="477"/>
      <c r="E304" s="477"/>
      <c r="F304" s="477"/>
      <c r="G304" s="255"/>
      <c r="H304" s="219"/>
    </row>
    <row r="305" spans="2:8" ht="15.6" hidden="1" x14ac:dyDescent="0.25">
      <c r="B305" s="258"/>
      <c r="C305" s="475" t="s">
        <v>643</v>
      </c>
      <c r="D305" s="474"/>
      <c r="E305" s="477"/>
      <c r="F305" s="477"/>
      <c r="G305" s="255"/>
      <c r="H305" s="219"/>
    </row>
    <row r="306" spans="2:8" ht="15" hidden="1" x14ac:dyDescent="0.25">
      <c r="B306" s="262"/>
      <c r="C306" s="200" t="s">
        <v>590</v>
      </c>
      <c r="D306" s="474"/>
      <c r="E306" s="478"/>
      <c r="F306" s="478"/>
      <c r="G306" s="255"/>
      <c r="H306" s="219"/>
    </row>
    <row r="307" spans="2:8" ht="15" hidden="1" x14ac:dyDescent="0.25">
      <c r="B307" s="264"/>
      <c r="C307" s="261" t="s">
        <v>591</v>
      </c>
      <c r="D307" s="474"/>
      <c r="E307" s="478"/>
      <c r="F307" s="478"/>
      <c r="G307" s="255"/>
      <c r="H307" s="219"/>
    </row>
    <row r="308" spans="2:8" ht="15" hidden="1" x14ac:dyDescent="0.25">
      <c r="B308" s="265"/>
      <c r="C308" s="261" t="s">
        <v>644</v>
      </c>
      <c r="D308" s="474"/>
      <c r="E308" s="478"/>
      <c r="F308" s="478"/>
      <c r="G308" s="255"/>
      <c r="H308" s="219"/>
    </row>
    <row r="309" spans="2:8" hidden="1" x14ac:dyDescent="0.25">
      <c r="B309" s="267"/>
      <c r="C309" s="268"/>
      <c r="D309" s="259"/>
      <c r="E309" s="259"/>
      <c r="F309" s="259"/>
      <c r="G309" s="259"/>
      <c r="H309" s="260"/>
    </row>
    <row r="310" spans="2:8" hidden="1" x14ac:dyDescent="0.25"/>
    <row r="311" spans="2:8" hidden="1" x14ac:dyDescent="0.25"/>
    <row r="312" spans="2:8" hidden="1" x14ac:dyDescent="0.25"/>
  </sheetData>
  <mergeCells count="100">
    <mergeCell ref="B77:C77"/>
    <mergeCell ref="B133:C133"/>
    <mergeCell ref="B134:C134"/>
    <mergeCell ref="B138:C138"/>
    <mergeCell ref="B129:C129"/>
    <mergeCell ref="B131:C131"/>
    <mergeCell ref="B132:C132"/>
    <mergeCell ref="B135:C135"/>
    <mergeCell ref="B123:C123"/>
    <mergeCell ref="B124:C124"/>
    <mergeCell ref="B125:C125"/>
    <mergeCell ref="B126:C126"/>
    <mergeCell ref="B78:C78"/>
    <mergeCell ref="B79:C79"/>
    <mergeCell ref="B82:C82"/>
    <mergeCell ref="B83:C83"/>
    <mergeCell ref="B84:C84"/>
    <mergeCell ref="B114:H114"/>
    <mergeCell ref="B115:H117"/>
    <mergeCell ref="B118:F120"/>
    <mergeCell ref="G118:H120"/>
    <mergeCell ref="B239:C239"/>
    <mergeCell ref="B240:C240"/>
    <mergeCell ref="B270:H270"/>
    <mergeCell ref="B271:H273"/>
    <mergeCell ref="B274:F276"/>
    <mergeCell ref="G274:H276"/>
    <mergeCell ref="B277:H277"/>
    <mergeCell ref="B279:C279"/>
    <mergeCell ref="B280:C280"/>
    <mergeCell ref="B281:C281"/>
    <mergeCell ref="B282:C282"/>
    <mergeCell ref="B292:C292"/>
    <mergeCell ref="B293:C293"/>
    <mergeCell ref="B285:C285"/>
    <mergeCell ref="B286:C286"/>
    <mergeCell ref="B287:C287"/>
    <mergeCell ref="B288:C288"/>
    <mergeCell ref="B291:C291"/>
    <mergeCell ref="B139:C139"/>
    <mergeCell ref="B140:C140"/>
    <mergeCell ref="B185:C185"/>
    <mergeCell ref="B186:C186"/>
    <mergeCell ref="B190:C190"/>
    <mergeCell ref="B233:C233"/>
    <mergeCell ref="B234:C234"/>
    <mergeCell ref="B235:C235"/>
    <mergeCell ref="B238:C238"/>
    <mergeCell ref="B224:H224"/>
    <mergeCell ref="B226:C226"/>
    <mergeCell ref="B227:C227"/>
    <mergeCell ref="B228:C228"/>
    <mergeCell ref="B229:C229"/>
    <mergeCell ref="B232:C232"/>
    <mergeCell ref="B181:C181"/>
    <mergeCell ref="B182:C182"/>
    <mergeCell ref="B183:C183"/>
    <mergeCell ref="B184:C184"/>
    <mergeCell ref="B187:C187"/>
    <mergeCell ref="B217:H217"/>
    <mergeCell ref="B218:H220"/>
    <mergeCell ref="B221:F223"/>
    <mergeCell ref="G221:H223"/>
    <mergeCell ref="B191:C191"/>
    <mergeCell ref="B192:C192"/>
    <mergeCell ref="B175:C175"/>
    <mergeCell ref="B176:C176"/>
    <mergeCell ref="B177:C177"/>
    <mergeCell ref="B178:C178"/>
    <mergeCell ref="B166:H166"/>
    <mergeCell ref="B167:H169"/>
    <mergeCell ref="B170:F172"/>
    <mergeCell ref="G170:H172"/>
    <mergeCell ref="B72:C72"/>
    <mergeCell ref="B73:C73"/>
    <mergeCell ref="B76:C76"/>
    <mergeCell ref="B61:H61"/>
    <mergeCell ref="B62:H64"/>
    <mergeCell ref="B65:F67"/>
    <mergeCell ref="G65:H67"/>
    <mergeCell ref="B18:C18"/>
    <mergeCell ref="B23:C23"/>
    <mergeCell ref="B24:C24"/>
    <mergeCell ref="B70:C70"/>
    <mergeCell ref="B71:C71"/>
    <mergeCell ref="B8:H8"/>
    <mergeCell ref="B9:H11"/>
    <mergeCell ref="B12:F14"/>
    <mergeCell ref="G12:H14"/>
    <mergeCell ref="B17:C17"/>
    <mergeCell ref="B34:C34"/>
    <mergeCell ref="B37:C37"/>
    <mergeCell ref="B38:C38"/>
    <mergeCell ref="B39:C39"/>
    <mergeCell ref="B25:C25"/>
    <mergeCell ref="B26:C26"/>
    <mergeCell ref="B30:C30"/>
    <mergeCell ref="B31:C31"/>
    <mergeCell ref="B27:C27"/>
    <mergeCell ref="B33:C33"/>
  </mergeCells>
  <dataValidations count="3">
    <dataValidation type="list" allowBlank="1" showInputMessage="1" showErrorMessage="1" sqref="B288:C288 B135:C135" xr:uid="{0FF8138E-B675-4D97-8CC6-C4A6BF541375}">
      <formula1>#REF!</formula1>
    </dataValidation>
    <dataValidation type="list" allowBlank="1" showInputMessage="1" showErrorMessage="1" sqref="B34:C34 B187:C187" xr:uid="{88B970F9-2A59-4C56-9C20-04DCF8CEDC35}">
      <formula1>$C$1:$C$45</formula1>
    </dataValidation>
    <dataValidation type="list" allowBlank="1" showInputMessage="1" showErrorMessage="1" sqref="B235:C235" xr:uid="{4353E28A-4487-4C28-B640-C70E34CC2E37}">
      <formula1>$C$1:$C$91</formula1>
    </dataValidation>
  </dataValidations>
  <pageMargins left="0.70866141732283472" right="0.70866141732283472" top="0.74803149606299213" bottom="0.74803149606299213" header="0.31496062992125984" footer="0.31496062992125984"/>
  <pageSetup scale="15" orientation="portrait" r:id="rId1"/>
  <ignoredErrors>
    <ignoredError sqref="H13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98FCA27-7315-46F7-AF71-02DF15F4A1F1}">
          <x14:formula1>
            <xm:f>EQUIPOS!$B$6:$B$25</xm:f>
          </x14:formula1>
          <xm:sqref>B281:C281</xm:sqref>
        </x14:dataValidation>
        <x14:dataValidation type="list" allowBlank="1" showInputMessage="1" showErrorMessage="1" xr:uid="{A0D12DD1-6F2D-40DD-90CD-96DBB505ED42}">
          <x14:formula1>
            <xm:f>MATERIALES!$B$5:$B$146</xm:f>
          </x14:formula1>
          <xm:sqref>B286:C287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A4282-0EF5-4C6C-B67C-66A646BD64FC}">
  <sheetPr>
    <tabColor rgb="FF00B0F0"/>
    <pageSetUpPr fitToPage="1"/>
  </sheetPr>
  <dimension ref="B5:K287"/>
  <sheetViews>
    <sheetView showGridLines="0" zoomScale="89" zoomScaleNormal="77" workbookViewId="0">
      <selection activeCell="K15" sqref="K15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ht="14.25" customHeight="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ht="14.25" customHeight="1" x14ac:dyDescent="0.25">
      <c r="B10" s="572"/>
      <c r="C10" s="573"/>
      <c r="D10" s="573"/>
      <c r="E10" s="573"/>
      <c r="F10" s="573"/>
      <c r="G10" s="573"/>
      <c r="H10" s="574"/>
    </row>
    <row r="11" spans="2:11" ht="14.25" customHeight="1" x14ac:dyDescent="0.25">
      <c r="B11" s="575"/>
      <c r="C11" s="576"/>
      <c r="D11" s="576"/>
      <c r="E11" s="576"/>
      <c r="F11" s="576"/>
      <c r="G11" s="576"/>
      <c r="H11" s="577"/>
    </row>
    <row r="12" spans="2:11" x14ac:dyDescent="0.25">
      <c r="B12" s="578" t="str">
        <f>+PRESUPUESTO!C51</f>
        <v>EXCAVACIÓN MANUAL DE ZAPATA AISLADA (1.80 X MTS X 1.80 MTS X 1.50 MTS )</v>
      </c>
      <c r="C12" s="579"/>
      <c r="D12" s="579"/>
      <c r="E12" s="579"/>
      <c r="F12" s="580"/>
      <c r="G12" s="587" t="s">
        <v>667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+PRESUPUESTO!B51</f>
        <v>6.1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8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8" x14ac:dyDescent="0.25">
      <c r="B18" s="562" t="s">
        <v>8</v>
      </c>
      <c r="C18" s="563"/>
      <c r="D18" s="301"/>
      <c r="E18" s="302"/>
      <c r="F18" s="303">
        <v>0.1</v>
      </c>
      <c r="G18" s="287">
        <f>+H38</f>
        <v>128474.40528000001</v>
      </c>
      <c r="H18" s="304">
        <f>+F18*G18</f>
        <v>12847.440528000001</v>
      </c>
    </row>
    <row r="19" spans="2:8" x14ac:dyDescent="0.25">
      <c r="B19" s="600"/>
      <c r="C19" s="601"/>
      <c r="D19" s="301"/>
      <c r="E19" s="302"/>
      <c r="F19" s="289"/>
      <c r="G19" s="287"/>
      <c r="H19" s="304"/>
    </row>
    <row r="20" spans="2:8" x14ac:dyDescent="0.25">
      <c r="B20" s="562"/>
      <c r="C20" s="563"/>
      <c r="D20" s="301"/>
      <c r="E20" s="302"/>
      <c r="F20" s="289"/>
      <c r="G20" s="287"/>
      <c r="H20" s="304"/>
    </row>
    <row r="21" spans="2:8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12847.440528000001</v>
      </c>
    </row>
    <row r="22" spans="2:8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8" x14ac:dyDescent="0.25">
      <c r="B23" s="560" t="s">
        <v>20</v>
      </c>
      <c r="C23" s="561"/>
      <c r="D23" s="297" t="s">
        <v>27</v>
      </c>
      <c r="E23" s="297" t="s">
        <v>29</v>
      </c>
      <c r="F23" s="298" t="s">
        <v>598</v>
      </c>
      <c r="G23" s="299" t="s">
        <v>597</v>
      </c>
      <c r="H23" s="310" t="s">
        <v>482</v>
      </c>
    </row>
    <row r="24" spans="2:8" ht="27.6" customHeight="1" x14ac:dyDescent="0.25">
      <c r="B24" s="554"/>
      <c r="C24" s="555"/>
      <c r="D24" s="285"/>
      <c r="E24" s="311"/>
      <c r="F24" s="289"/>
      <c r="G24" s="274"/>
      <c r="H24" s="275"/>
    </row>
    <row r="25" spans="2:8" ht="22.5" customHeight="1" x14ac:dyDescent="0.25">
      <c r="B25" s="596"/>
      <c r="C25" s="597"/>
      <c r="D25" s="285"/>
      <c r="E25" s="272"/>
      <c r="F25" s="289"/>
      <c r="G25" s="274"/>
      <c r="H25" s="275"/>
    </row>
    <row r="26" spans="2:8" ht="18.75" customHeight="1" x14ac:dyDescent="0.25">
      <c r="B26" s="596"/>
      <c r="C26" s="597"/>
      <c r="D26" s="285"/>
      <c r="E26" s="286"/>
      <c r="F26" s="303"/>
      <c r="G26" s="287"/>
      <c r="H26" s="275"/>
    </row>
    <row r="27" spans="2:8" x14ac:dyDescent="0.25">
      <c r="B27" s="305"/>
      <c r="C27" s="266"/>
      <c r="D27" s="266"/>
      <c r="E27" s="266"/>
      <c r="F27" s="308"/>
      <c r="G27" s="306" t="s">
        <v>25</v>
      </c>
      <c r="H27" s="312">
        <f>SUM(H24:H26)</f>
        <v>0</v>
      </c>
    </row>
    <row r="28" spans="2:8" x14ac:dyDescent="0.25">
      <c r="B28" s="214" t="s">
        <v>30</v>
      </c>
      <c r="C28" s="266"/>
      <c r="D28" s="266"/>
      <c r="E28" s="266"/>
      <c r="F28" s="308"/>
      <c r="G28" s="308"/>
      <c r="H28" s="304"/>
    </row>
    <row r="29" spans="2:8" x14ac:dyDescent="0.25">
      <c r="B29" s="560" t="s">
        <v>20</v>
      </c>
      <c r="C29" s="561"/>
      <c r="D29" s="297" t="s">
        <v>21</v>
      </c>
      <c r="E29" s="297" t="s">
        <v>127</v>
      </c>
      <c r="F29" s="298" t="s">
        <v>32</v>
      </c>
      <c r="G29" s="297" t="s">
        <v>24</v>
      </c>
      <c r="H29" s="313" t="s">
        <v>481</v>
      </c>
    </row>
    <row r="30" spans="2:8" x14ac:dyDescent="0.25">
      <c r="B30" s="598"/>
      <c r="C30" s="599"/>
      <c r="D30" s="314"/>
      <c r="E30" s="315"/>
      <c r="F30" s="274"/>
      <c r="G30" s="274">
        <f>+E30*F30</f>
        <v>0</v>
      </c>
      <c r="H30" s="304">
        <f>+G30</f>
        <v>0</v>
      </c>
    </row>
    <row r="31" spans="2:8" x14ac:dyDescent="0.25">
      <c r="B31" s="598"/>
      <c r="C31" s="599"/>
      <c r="D31" s="314"/>
      <c r="E31" s="316"/>
      <c r="F31" s="317"/>
      <c r="G31" s="316"/>
      <c r="H31" s="318"/>
    </row>
    <row r="32" spans="2:8" x14ac:dyDescent="0.25">
      <c r="B32" s="305"/>
      <c r="C32" s="266"/>
      <c r="D32" s="266"/>
      <c r="E32" s="266"/>
      <c r="F32" s="296"/>
      <c r="G32" s="306" t="s">
        <v>25</v>
      </c>
      <c r="H32" s="319">
        <f>+H30</f>
        <v>0</v>
      </c>
    </row>
    <row r="33" spans="2:11" x14ac:dyDescent="0.25">
      <c r="B33" s="214" t="s">
        <v>34</v>
      </c>
      <c r="C33" s="266"/>
      <c r="D33" s="266"/>
      <c r="E33" s="266"/>
      <c r="F33" s="296"/>
      <c r="G33" s="308"/>
      <c r="H33" s="320"/>
    </row>
    <row r="34" spans="2:11" x14ac:dyDescent="0.25">
      <c r="B34" s="321" t="s">
        <v>35</v>
      </c>
      <c r="C34" s="321" t="s">
        <v>29</v>
      </c>
      <c r="D34" s="321" t="s">
        <v>36</v>
      </c>
      <c r="E34" s="321" t="s">
        <v>37</v>
      </c>
      <c r="F34" s="322" t="s">
        <v>38</v>
      </c>
      <c r="G34" s="323" t="s">
        <v>23</v>
      </c>
      <c r="H34" s="324" t="s">
        <v>24</v>
      </c>
    </row>
    <row r="35" spans="2:11" x14ac:dyDescent="0.25">
      <c r="B35" s="288" t="s">
        <v>39</v>
      </c>
      <c r="C35" s="316">
        <v>1</v>
      </c>
      <c r="D35" s="325">
        <v>93381.6</v>
      </c>
      <c r="E35" s="326">
        <v>1.8344</v>
      </c>
      <c r="F35" s="327">
        <f>+D35*C35*E35</f>
        <v>171299.20704000001</v>
      </c>
      <c r="G35" s="316">
        <v>3</v>
      </c>
      <c r="H35" s="274">
        <f>F35/G35</f>
        <v>57099.735680000005</v>
      </c>
    </row>
    <row r="36" spans="2:11" x14ac:dyDescent="0.25">
      <c r="B36" s="288" t="s">
        <v>496</v>
      </c>
      <c r="C36" s="316">
        <v>2</v>
      </c>
      <c r="D36" s="325">
        <v>58363.5</v>
      </c>
      <c r="E36" s="326">
        <v>1.8344</v>
      </c>
      <c r="F36" s="327">
        <f>+D36*C36*E36</f>
        <v>214124.00880000001</v>
      </c>
      <c r="G36" s="316">
        <v>3</v>
      </c>
      <c r="H36" s="274">
        <f>+F36/G36</f>
        <v>71374.669600000008</v>
      </c>
    </row>
    <row r="37" spans="2:11" x14ac:dyDescent="0.25">
      <c r="B37" s="288"/>
      <c r="C37" s="288"/>
      <c r="D37" s="317"/>
      <c r="E37" s="288"/>
      <c r="F37" s="317"/>
      <c r="G37" s="288"/>
      <c r="H37" s="327"/>
    </row>
    <row r="38" spans="2:11" x14ac:dyDescent="0.25">
      <c r="B38" s="305"/>
      <c r="C38" s="266"/>
      <c r="D38" s="266"/>
      <c r="E38" s="266"/>
      <c r="F38" s="296"/>
      <c r="G38" s="306" t="s">
        <v>25</v>
      </c>
      <c r="H38" s="328">
        <f>+SUM(H35:H37)</f>
        <v>128474.40528000001</v>
      </c>
      <c r="K38" s="257" t="s">
        <v>497</v>
      </c>
    </row>
    <row r="39" spans="2:11" x14ac:dyDescent="0.25">
      <c r="B39" s="217"/>
      <c r="C39" s="26"/>
      <c r="D39" s="26"/>
      <c r="E39" s="26"/>
      <c r="F39" s="215"/>
      <c r="G39" s="256"/>
      <c r="H39" s="218"/>
    </row>
    <row r="40" spans="2:11" ht="15.6" x14ac:dyDescent="0.25">
      <c r="B40" s="258"/>
      <c r="C40" s="479" t="s">
        <v>645</v>
      </c>
      <c r="D40" s="477"/>
      <c r="E40" s="477"/>
      <c r="F40" s="477"/>
      <c r="G40" s="469" t="s">
        <v>41</v>
      </c>
      <c r="H40" s="254">
        <f>+H21+H27+H32+H38</f>
        <v>141321.84580800001</v>
      </c>
    </row>
    <row r="41" spans="2:11" ht="15.6" x14ac:dyDescent="0.25">
      <c r="B41" s="258"/>
      <c r="C41" s="479"/>
      <c r="D41" s="477"/>
      <c r="E41" s="477"/>
      <c r="F41" s="477"/>
      <c r="G41" s="255"/>
      <c r="H41" s="219"/>
    </row>
    <row r="42" spans="2:11" ht="15.6" x14ac:dyDescent="0.25">
      <c r="B42" s="258"/>
      <c r="C42" s="479"/>
      <c r="D42" s="477"/>
      <c r="E42" s="477"/>
      <c r="F42" s="477"/>
      <c r="G42" s="255"/>
      <c r="H42" s="219"/>
      <c r="I42" s="257" t="s">
        <v>497</v>
      </c>
    </row>
    <row r="43" spans="2:11" ht="15.6" x14ac:dyDescent="0.25">
      <c r="B43" s="258"/>
      <c r="C43" s="475" t="s">
        <v>643</v>
      </c>
      <c r="D43" s="474"/>
      <c r="E43" s="477"/>
      <c r="F43" s="477"/>
      <c r="G43" s="255"/>
      <c r="H43" s="219"/>
    </row>
    <row r="44" spans="2:11" ht="15" x14ac:dyDescent="0.25">
      <c r="B44" s="262"/>
      <c r="C44" s="200" t="s">
        <v>590</v>
      </c>
      <c r="D44" s="474"/>
      <c r="E44" s="478"/>
      <c r="F44" s="478"/>
      <c r="G44" s="255"/>
      <c r="H44" s="219"/>
    </row>
    <row r="45" spans="2:11" ht="15" x14ac:dyDescent="0.25">
      <c r="B45" s="264"/>
      <c r="C45" s="261" t="s">
        <v>591</v>
      </c>
      <c r="D45" s="474"/>
      <c r="E45" s="478"/>
      <c r="F45" s="478"/>
      <c r="G45" s="255"/>
      <c r="H45" s="219"/>
    </row>
    <row r="46" spans="2:11" ht="15" x14ac:dyDescent="0.25">
      <c r="B46" s="265"/>
      <c r="C46" s="261" t="s">
        <v>644</v>
      </c>
      <c r="D46" s="474"/>
      <c r="E46" s="478"/>
      <c r="F46" s="478"/>
      <c r="G46" s="255"/>
      <c r="H46" s="219"/>
    </row>
    <row r="47" spans="2:11" x14ac:dyDescent="0.25">
      <c r="B47" s="267"/>
      <c r="C47" s="268"/>
      <c r="D47" s="259"/>
      <c r="E47" s="259"/>
      <c r="F47" s="259"/>
      <c r="G47" s="259"/>
      <c r="H47" s="260"/>
    </row>
    <row r="60" spans="2:8" ht="15.6" x14ac:dyDescent="0.25">
      <c r="B60" s="566" t="s">
        <v>320</v>
      </c>
      <c r="C60" s="567"/>
      <c r="D60" s="567"/>
      <c r="E60" s="567"/>
      <c r="F60" s="567"/>
      <c r="G60" s="567"/>
      <c r="H60" s="568"/>
    </row>
    <row r="61" spans="2:8" x14ac:dyDescent="0.25">
      <c r="B61" s="569" t="str">
        <f>+PRESUPUESTO!B1</f>
        <v>MANTENIMIENTO Y ADECUACIÓN DE INSTITUCIONES EDUCATIVAS OFICIALES, DEL MUNICIPIO DE LA APARTADA CORDOBA.</v>
      </c>
      <c r="C61" s="570"/>
      <c r="D61" s="570"/>
      <c r="E61" s="570"/>
      <c r="F61" s="570"/>
      <c r="G61" s="570"/>
      <c r="H61" s="571"/>
    </row>
    <row r="62" spans="2:8" x14ac:dyDescent="0.25">
      <c r="B62" s="572"/>
      <c r="C62" s="573"/>
      <c r="D62" s="573"/>
      <c r="E62" s="573"/>
      <c r="F62" s="573"/>
      <c r="G62" s="573"/>
      <c r="H62" s="574"/>
    </row>
    <row r="63" spans="2:8" x14ac:dyDescent="0.25">
      <c r="B63" s="575"/>
      <c r="C63" s="576"/>
      <c r="D63" s="576"/>
      <c r="E63" s="576"/>
      <c r="F63" s="576"/>
      <c r="G63" s="576"/>
      <c r="H63" s="577"/>
    </row>
    <row r="64" spans="2:8" x14ac:dyDescent="0.25">
      <c r="B64" s="578" t="str">
        <f>+PRESUPUESTO!C52</f>
        <v>CONSTRUCCION ZAPATA AISLADA DE (1.80 MTS X 1.80 MTS X 0.40 MTS) EN CONCRETO DE 3500 PSI, INCLUYE ACERO DE REFUERZO #4@0.15M EN AMBOS SENTIDOS, DESPLANTADA A 1,50 MTS.</v>
      </c>
      <c r="C64" s="579"/>
      <c r="D64" s="579"/>
      <c r="E64" s="579"/>
      <c r="F64" s="580"/>
      <c r="G64" s="587" t="s">
        <v>595</v>
      </c>
      <c r="H64" s="588"/>
    </row>
    <row r="65" spans="2:10" x14ac:dyDescent="0.25">
      <c r="B65" s="581"/>
      <c r="C65" s="582"/>
      <c r="D65" s="582"/>
      <c r="E65" s="582"/>
      <c r="F65" s="583"/>
      <c r="G65" s="589"/>
      <c r="H65" s="590"/>
    </row>
    <row r="66" spans="2:10" ht="30.75" customHeight="1" x14ac:dyDescent="0.25">
      <c r="B66" s="584"/>
      <c r="C66" s="585"/>
      <c r="D66" s="585"/>
      <c r="E66" s="585"/>
      <c r="F66" s="586"/>
      <c r="G66" s="591"/>
      <c r="H66" s="592"/>
    </row>
    <row r="67" spans="2:10" x14ac:dyDescent="0.25">
      <c r="B67" s="518" t="s">
        <v>0</v>
      </c>
      <c r="C67" s="515">
        <f>+PRESUPUESTO!B52</f>
        <v>6.2</v>
      </c>
      <c r="D67" s="516"/>
      <c r="E67" s="516"/>
      <c r="F67" s="516"/>
      <c r="G67" s="516"/>
      <c r="H67" s="517"/>
    </row>
    <row r="68" spans="2:10" x14ac:dyDescent="0.25">
      <c r="B68" s="214" t="s">
        <v>19</v>
      </c>
      <c r="C68" s="266"/>
      <c r="D68" s="266"/>
      <c r="E68" s="266"/>
      <c r="F68" s="296"/>
      <c r="G68" s="266"/>
      <c r="H68" s="216"/>
    </row>
    <row r="69" spans="2:10" x14ac:dyDescent="0.25">
      <c r="B69" s="560" t="s">
        <v>20</v>
      </c>
      <c r="C69" s="561"/>
      <c r="D69" s="297" t="s">
        <v>21</v>
      </c>
      <c r="E69" s="297" t="s">
        <v>22</v>
      </c>
      <c r="F69" s="298" t="s">
        <v>23</v>
      </c>
      <c r="G69" s="299" t="s">
        <v>24</v>
      </c>
      <c r="H69" s="300" t="s">
        <v>482</v>
      </c>
    </row>
    <row r="70" spans="2:10" x14ac:dyDescent="0.25">
      <c r="B70" s="562" t="s">
        <v>8</v>
      </c>
      <c r="C70" s="563"/>
      <c r="D70" s="301"/>
      <c r="E70" s="302"/>
      <c r="F70" s="303">
        <v>0.1</v>
      </c>
      <c r="G70" s="287">
        <f>+H96</f>
        <v>256948.81056000001</v>
      </c>
      <c r="H70" s="304">
        <f>+F70*G70</f>
        <v>25694.881056000002</v>
      </c>
    </row>
    <row r="71" spans="2:10" x14ac:dyDescent="0.25">
      <c r="B71" s="600" t="s">
        <v>668</v>
      </c>
      <c r="C71" s="601"/>
      <c r="D71" s="301"/>
      <c r="E71" s="302">
        <v>10000</v>
      </c>
      <c r="F71" s="289">
        <v>3</v>
      </c>
      <c r="G71" s="287">
        <f>+E71/F71</f>
        <v>3333.3333333333335</v>
      </c>
      <c r="H71" s="304">
        <f>+G71</f>
        <v>3333.3333333333335</v>
      </c>
    </row>
    <row r="72" spans="2:10" x14ac:dyDescent="0.25">
      <c r="B72" s="562"/>
      <c r="C72" s="563"/>
      <c r="D72" s="301"/>
      <c r="E72" s="302"/>
      <c r="F72" s="289"/>
      <c r="G72" s="287"/>
      <c r="H72" s="304"/>
    </row>
    <row r="73" spans="2:10" x14ac:dyDescent="0.25">
      <c r="B73" s="305"/>
      <c r="C73" s="266"/>
      <c r="D73" s="266"/>
      <c r="E73" s="266"/>
      <c r="F73" s="296"/>
      <c r="G73" s="306" t="s">
        <v>25</v>
      </c>
      <c r="H73" s="307">
        <f>SUM(H70:H72)</f>
        <v>29028.214389333334</v>
      </c>
    </row>
    <row r="74" spans="2:10" x14ac:dyDescent="0.25">
      <c r="B74" s="214" t="s">
        <v>26</v>
      </c>
      <c r="C74" s="266"/>
      <c r="D74" s="266"/>
      <c r="E74" s="266"/>
      <c r="F74" s="308"/>
      <c r="G74" s="308"/>
      <c r="H74" s="309"/>
    </row>
    <row r="75" spans="2:10" x14ac:dyDescent="0.25">
      <c r="B75" s="560" t="s">
        <v>20</v>
      </c>
      <c r="C75" s="561"/>
      <c r="D75" s="297" t="s">
        <v>27</v>
      </c>
      <c r="E75" s="297" t="s">
        <v>28</v>
      </c>
      <c r="F75" s="298" t="s">
        <v>29</v>
      </c>
      <c r="G75" s="299" t="s">
        <v>24</v>
      </c>
      <c r="H75" s="310" t="s">
        <v>482</v>
      </c>
      <c r="J75" s="257">
        <f>(1.8/0.15)*1.75*2</f>
        <v>42</v>
      </c>
    </row>
    <row r="76" spans="2:10" x14ac:dyDescent="0.25">
      <c r="B76" s="654" t="s">
        <v>669</v>
      </c>
      <c r="C76" s="655"/>
      <c r="D76" s="278" t="s">
        <v>44</v>
      </c>
      <c r="E76" s="279">
        <f>(24300)/(1*6)</f>
        <v>4050</v>
      </c>
      <c r="F76" s="277">
        <f>0.56*1*J75</f>
        <v>23.520000000000003</v>
      </c>
      <c r="G76" s="280">
        <f t="shared" ref="G76:G81" si="0">+E76*F76</f>
        <v>95256.000000000015</v>
      </c>
      <c r="H76" s="281">
        <f t="shared" ref="H76:H81" si="1">+G76</f>
        <v>95256.000000000015</v>
      </c>
    </row>
    <row r="77" spans="2:10" x14ac:dyDescent="0.25">
      <c r="B77" s="596" t="s">
        <v>670</v>
      </c>
      <c r="C77" s="597"/>
      <c r="D77" s="278" t="s">
        <v>4</v>
      </c>
      <c r="E77" s="279">
        <v>90000</v>
      </c>
      <c r="F77" s="277">
        <f>+J80*0.67</f>
        <v>0.8683200000000002</v>
      </c>
      <c r="G77" s="280">
        <f t="shared" si="0"/>
        <v>78148.800000000017</v>
      </c>
      <c r="H77" s="281">
        <f t="shared" si="1"/>
        <v>78148.800000000017</v>
      </c>
    </row>
    <row r="78" spans="2:10" x14ac:dyDescent="0.25">
      <c r="B78" s="596" t="s">
        <v>671</v>
      </c>
      <c r="C78" s="597"/>
      <c r="D78" s="278" t="s">
        <v>4</v>
      </c>
      <c r="E78" s="279">
        <v>55000</v>
      </c>
      <c r="F78" s="277">
        <f>+J80*0.67</f>
        <v>0.8683200000000002</v>
      </c>
      <c r="G78" s="280">
        <f t="shared" si="0"/>
        <v>47757.600000000013</v>
      </c>
      <c r="H78" s="281">
        <f t="shared" si="1"/>
        <v>47757.600000000013</v>
      </c>
    </row>
    <row r="79" spans="2:10" x14ac:dyDescent="0.25">
      <c r="B79" s="596" t="s">
        <v>523</v>
      </c>
      <c r="C79" s="597"/>
      <c r="D79" s="278" t="s">
        <v>72</v>
      </c>
      <c r="E79" s="279">
        <v>32000</v>
      </c>
      <c r="F79" s="277">
        <f>+(J80*420)/50</f>
        <v>10.886400000000004</v>
      </c>
      <c r="G79" s="280">
        <f t="shared" si="0"/>
        <v>348364.8000000001</v>
      </c>
      <c r="H79" s="281">
        <f t="shared" si="1"/>
        <v>348364.8000000001</v>
      </c>
    </row>
    <row r="80" spans="2:10" x14ac:dyDescent="0.25">
      <c r="B80" s="596" t="s">
        <v>524</v>
      </c>
      <c r="C80" s="597"/>
      <c r="D80" s="278" t="s">
        <v>499</v>
      </c>
      <c r="E80" s="279">
        <v>150</v>
      </c>
      <c r="F80" s="277">
        <f>+J80*250</f>
        <v>324.00000000000006</v>
      </c>
      <c r="G80" s="280">
        <f t="shared" si="0"/>
        <v>48600.000000000007</v>
      </c>
      <c r="H80" s="281">
        <f t="shared" si="1"/>
        <v>48600.000000000007</v>
      </c>
      <c r="J80" s="257">
        <f>1.8*1.8*0.4</f>
        <v>1.2960000000000003</v>
      </c>
    </row>
    <row r="81" spans="2:8" x14ac:dyDescent="0.25">
      <c r="B81" s="596" t="s">
        <v>672</v>
      </c>
      <c r="C81" s="597"/>
      <c r="D81" s="278" t="s">
        <v>44</v>
      </c>
      <c r="E81" s="279">
        <v>9500</v>
      </c>
      <c r="F81" s="277">
        <v>0.25</v>
      </c>
      <c r="G81" s="280">
        <f t="shared" si="0"/>
        <v>2375</v>
      </c>
      <c r="H81" s="281">
        <f t="shared" si="1"/>
        <v>2375</v>
      </c>
    </row>
    <row r="82" spans="2:8" x14ac:dyDescent="0.25">
      <c r="B82" s="554"/>
      <c r="C82" s="555"/>
      <c r="D82" s="271" t="str">
        <f>+IF(B82=0,"",(VLOOKUP(B82,[7]MATERIALES!$B$6:$D$149,3,FALSE)))</f>
        <v/>
      </c>
      <c r="E82" s="272"/>
      <c r="F82" s="273"/>
      <c r="G82" s="274"/>
      <c r="H82" s="275"/>
    </row>
    <row r="83" spans="2:8" x14ac:dyDescent="0.25">
      <c r="B83" s="596" t="s">
        <v>631</v>
      </c>
      <c r="C83" s="597"/>
      <c r="D83" s="271" t="s">
        <v>501</v>
      </c>
      <c r="E83" s="272"/>
      <c r="F83" s="276">
        <v>0.05</v>
      </c>
      <c r="G83" s="274">
        <f>+SUM(G76:G81)</f>
        <v>620502.20000000019</v>
      </c>
      <c r="H83" s="275">
        <f>G83*F83</f>
        <v>31025.110000000011</v>
      </c>
    </row>
    <row r="84" spans="2:8" x14ac:dyDescent="0.25">
      <c r="B84" s="596"/>
      <c r="C84" s="597"/>
      <c r="D84" s="285"/>
      <c r="E84" s="286"/>
      <c r="F84" s="289"/>
      <c r="G84" s="287"/>
      <c r="H84" s="288"/>
    </row>
    <row r="85" spans="2:8" x14ac:dyDescent="0.25">
      <c r="B85" s="305"/>
      <c r="C85" s="266"/>
      <c r="D85" s="266"/>
      <c r="E85" s="266"/>
      <c r="F85" s="308"/>
      <c r="G85" s="306" t="s">
        <v>25</v>
      </c>
      <c r="H85" s="312">
        <f>+SUM(H76:H83)</f>
        <v>651527.31000000017</v>
      </c>
    </row>
    <row r="86" spans="2:8" x14ac:dyDescent="0.25">
      <c r="B86" s="214" t="s">
        <v>30</v>
      </c>
      <c r="C86" s="266"/>
      <c r="D86" s="266"/>
      <c r="E86" s="266"/>
      <c r="F86" s="308"/>
      <c r="G86" s="308"/>
      <c r="H86" s="304"/>
    </row>
    <row r="87" spans="2:8" x14ac:dyDescent="0.25">
      <c r="B87" s="560" t="s">
        <v>20</v>
      </c>
      <c r="C87" s="561"/>
      <c r="D87" s="297" t="s">
        <v>21</v>
      </c>
      <c r="E87" s="297" t="s">
        <v>127</v>
      </c>
      <c r="F87" s="298" t="s">
        <v>32</v>
      </c>
      <c r="G87" s="297" t="s">
        <v>24</v>
      </c>
      <c r="H87" s="313" t="s">
        <v>481</v>
      </c>
    </row>
    <row r="88" spans="2:8" x14ac:dyDescent="0.25">
      <c r="B88" s="598"/>
      <c r="C88" s="599"/>
      <c r="D88" s="314"/>
      <c r="E88" s="315"/>
      <c r="F88" s="274"/>
      <c r="G88" s="274"/>
      <c r="H88" s="304"/>
    </row>
    <row r="89" spans="2:8" x14ac:dyDescent="0.25">
      <c r="B89" s="598"/>
      <c r="C89" s="599"/>
      <c r="D89" s="314"/>
      <c r="E89" s="316"/>
      <c r="F89" s="317"/>
      <c r="G89" s="316"/>
      <c r="H89" s="318"/>
    </row>
    <row r="90" spans="2:8" x14ac:dyDescent="0.25">
      <c r="B90" s="305"/>
      <c r="C90" s="266"/>
      <c r="D90" s="266"/>
      <c r="E90" s="266"/>
      <c r="F90" s="296"/>
      <c r="G90" s="306" t="s">
        <v>25</v>
      </c>
      <c r="H90" s="319">
        <f>SUM(H88:H89)</f>
        <v>0</v>
      </c>
    </row>
    <row r="91" spans="2:8" x14ac:dyDescent="0.25">
      <c r="B91" s="214" t="s">
        <v>34</v>
      </c>
      <c r="C91" s="266"/>
      <c r="D91" s="266"/>
      <c r="E91" s="266"/>
      <c r="F91" s="296"/>
      <c r="G91" s="308"/>
      <c r="H91" s="320"/>
    </row>
    <row r="92" spans="2:8" x14ac:dyDescent="0.25">
      <c r="B92" s="321" t="s">
        <v>35</v>
      </c>
      <c r="C92" s="321" t="s">
        <v>29</v>
      </c>
      <c r="D92" s="321" t="s">
        <v>36</v>
      </c>
      <c r="E92" s="321" t="s">
        <v>37</v>
      </c>
      <c r="F92" s="322" t="s">
        <v>38</v>
      </c>
      <c r="G92" s="323" t="s">
        <v>23</v>
      </c>
      <c r="H92" s="324" t="s">
        <v>24</v>
      </c>
    </row>
    <row r="93" spans="2:8" x14ac:dyDescent="0.25">
      <c r="B93" s="288" t="s">
        <v>39</v>
      </c>
      <c r="C93" s="316">
        <v>1</v>
      </c>
      <c r="D93" s="325">
        <f>+D35</f>
        <v>93381.6</v>
      </c>
      <c r="E93" s="326">
        <v>1.8344</v>
      </c>
      <c r="F93" s="327">
        <f>+D93*C93*E93</f>
        <v>171299.20704000001</v>
      </c>
      <c r="G93" s="316">
        <v>1.5</v>
      </c>
      <c r="H93" s="274">
        <f>F93/G93</f>
        <v>114199.47136000001</v>
      </c>
    </row>
    <row r="94" spans="2:8" x14ac:dyDescent="0.25">
      <c r="B94" s="288" t="s">
        <v>496</v>
      </c>
      <c r="C94" s="316">
        <v>2</v>
      </c>
      <c r="D94" s="325">
        <f>+D36</f>
        <v>58363.5</v>
      </c>
      <c r="E94" s="326">
        <v>1.8344</v>
      </c>
      <c r="F94" s="327">
        <f>+D94*C94*E94</f>
        <v>214124.00880000001</v>
      </c>
      <c r="G94" s="316">
        <v>1.5</v>
      </c>
      <c r="H94" s="274">
        <f>+F94/G94</f>
        <v>142749.33920000002</v>
      </c>
    </row>
    <row r="95" spans="2:8" x14ac:dyDescent="0.25">
      <c r="B95" s="288"/>
      <c r="C95" s="288"/>
      <c r="D95" s="317"/>
      <c r="E95" s="288"/>
      <c r="F95" s="317"/>
      <c r="G95" s="288"/>
      <c r="H95" s="327"/>
    </row>
    <row r="96" spans="2:8" x14ac:dyDescent="0.25">
      <c r="B96" s="305"/>
      <c r="C96" s="266"/>
      <c r="D96" s="266"/>
      <c r="E96" s="266"/>
      <c r="F96" s="296"/>
      <c r="G96" s="306" t="s">
        <v>25</v>
      </c>
      <c r="H96" s="328">
        <f>+SUM(H93:H95)</f>
        <v>256948.81056000001</v>
      </c>
    </row>
    <row r="97" spans="2:8" x14ac:dyDescent="0.25">
      <c r="B97" s="305"/>
      <c r="C97" s="266"/>
      <c r="D97" s="266"/>
      <c r="E97" s="266"/>
      <c r="F97" s="296"/>
      <c r="G97" s="449"/>
      <c r="H97" s="320"/>
    </row>
    <row r="98" spans="2:8" x14ac:dyDescent="0.25">
      <c r="B98" s="265"/>
      <c r="C98" s="266"/>
      <c r="D98" s="648" t="s">
        <v>41</v>
      </c>
      <c r="E98" s="648"/>
      <c r="F98" s="648"/>
      <c r="G98" s="649"/>
      <c r="H98" s="486">
        <f>+H73+H85+H90+H96</f>
        <v>937504.33494933357</v>
      </c>
    </row>
    <row r="99" spans="2:8" ht="15.6" x14ac:dyDescent="0.25">
      <c r="B99" s="258"/>
      <c r="C99" s="479" t="s">
        <v>645</v>
      </c>
      <c r="D99" s="477"/>
      <c r="E99" s="477"/>
      <c r="F99" s="477"/>
      <c r="G99" s="255"/>
      <c r="H99" s="488"/>
    </row>
    <row r="100" spans="2:8" ht="15.6" x14ac:dyDescent="0.25">
      <c r="B100" s="258"/>
      <c r="C100" s="479"/>
      <c r="D100" s="477"/>
      <c r="E100" s="477"/>
      <c r="F100" s="477"/>
      <c r="G100" s="255"/>
      <c r="H100" s="219"/>
    </row>
    <row r="101" spans="2:8" ht="15.6" x14ac:dyDescent="0.25">
      <c r="B101" s="258"/>
      <c r="C101" s="479"/>
      <c r="D101" s="477"/>
      <c r="E101" s="477"/>
      <c r="F101" s="477"/>
      <c r="G101" s="255"/>
      <c r="H101" s="219"/>
    </row>
    <row r="102" spans="2:8" ht="15.6" x14ac:dyDescent="0.25">
      <c r="B102" s="258"/>
      <c r="C102" s="475" t="s">
        <v>643</v>
      </c>
      <c r="D102" s="474"/>
      <c r="E102" s="477"/>
      <c r="F102" s="477"/>
      <c r="G102" s="255"/>
      <c r="H102" s="219"/>
    </row>
    <row r="103" spans="2:8" ht="15" x14ac:dyDescent="0.25">
      <c r="B103" s="258"/>
      <c r="C103" s="200" t="s">
        <v>590</v>
      </c>
      <c r="D103" s="474"/>
      <c r="E103" s="478"/>
      <c r="F103" s="478"/>
      <c r="G103" s="255"/>
      <c r="H103" s="219"/>
    </row>
    <row r="104" spans="2:8" ht="15" x14ac:dyDescent="0.25">
      <c r="B104" s="258"/>
      <c r="C104" s="261" t="s">
        <v>591</v>
      </c>
      <c r="D104" s="474"/>
      <c r="E104" s="478"/>
      <c r="F104" s="478"/>
      <c r="G104" s="255"/>
      <c r="H104" s="219"/>
    </row>
    <row r="105" spans="2:8" ht="15" x14ac:dyDescent="0.25">
      <c r="B105" s="258"/>
      <c r="C105" s="261" t="s">
        <v>644</v>
      </c>
      <c r="D105" s="474"/>
      <c r="E105" s="478"/>
      <c r="F105" s="478"/>
      <c r="G105" s="255"/>
      <c r="H105" s="219"/>
    </row>
    <row r="106" spans="2:8" x14ac:dyDescent="0.25">
      <c r="B106" s="258"/>
      <c r="C106" s="268"/>
      <c r="D106" s="259"/>
      <c r="E106" s="259"/>
      <c r="F106" s="259"/>
      <c r="G106" s="255"/>
      <c r="H106" s="219"/>
    </row>
    <row r="107" spans="2:8" x14ac:dyDescent="0.25">
      <c r="B107" s="267"/>
      <c r="C107" s="268"/>
      <c r="D107" s="259"/>
      <c r="E107" s="259"/>
      <c r="F107" s="259"/>
      <c r="G107" s="259"/>
      <c r="H107" s="260"/>
    </row>
    <row r="121" spans="2:8" ht="15.6" x14ac:dyDescent="0.25">
      <c r="B121" s="566" t="s">
        <v>320</v>
      </c>
      <c r="C121" s="567"/>
      <c r="D121" s="567"/>
      <c r="E121" s="567"/>
      <c r="F121" s="567"/>
      <c r="G121" s="567"/>
      <c r="H121" s="568"/>
    </row>
    <row r="122" spans="2:8" x14ac:dyDescent="0.25">
      <c r="B122" s="569" t="str">
        <f>+PRESUPUESTO!B1</f>
        <v>MANTENIMIENTO Y ADECUACIÓN DE INSTITUCIONES EDUCATIVAS OFICIALES, DEL MUNICIPIO DE LA APARTADA CORDOBA.</v>
      </c>
      <c r="C122" s="570"/>
      <c r="D122" s="570"/>
      <c r="E122" s="570"/>
      <c r="F122" s="570"/>
      <c r="G122" s="570"/>
      <c r="H122" s="571"/>
    </row>
    <row r="123" spans="2:8" x14ac:dyDescent="0.25">
      <c r="B123" s="572"/>
      <c r="C123" s="573"/>
      <c r="D123" s="573"/>
      <c r="E123" s="573"/>
      <c r="F123" s="573"/>
      <c r="G123" s="573"/>
      <c r="H123" s="574"/>
    </row>
    <row r="124" spans="2:8" x14ac:dyDescent="0.25">
      <c r="B124" s="575"/>
      <c r="C124" s="576"/>
      <c r="D124" s="576"/>
      <c r="E124" s="576"/>
      <c r="F124" s="576"/>
      <c r="G124" s="576"/>
      <c r="H124" s="577"/>
    </row>
    <row r="125" spans="2:8" x14ac:dyDescent="0.25">
      <c r="B125" s="578" t="str">
        <f>+PRESUPUESTO!C53</f>
        <v>CONSTRUCCION COLUMNA DE (0,30 MTS X 0.30 MTS X 5.50 MTS) EN CONCRETO DE 3500 PSI, INCLUYE ACERO DE REFUERZO:  8#5 LONGITUDINAL, E#3@0.10M.</v>
      </c>
      <c r="C125" s="579"/>
      <c r="D125" s="579"/>
      <c r="E125" s="579"/>
      <c r="F125" s="580"/>
      <c r="G125" s="587" t="s">
        <v>646</v>
      </c>
      <c r="H125" s="588"/>
    </row>
    <row r="126" spans="2:8" x14ac:dyDescent="0.25">
      <c r="B126" s="581"/>
      <c r="C126" s="582"/>
      <c r="D126" s="582"/>
      <c r="E126" s="582"/>
      <c r="F126" s="583"/>
      <c r="G126" s="589"/>
      <c r="H126" s="590"/>
    </row>
    <row r="127" spans="2:8" x14ac:dyDescent="0.25">
      <c r="B127" s="584"/>
      <c r="C127" s="585"/>
      <c r="D127" s="585"/>
      <c r="E127" s="585"/>
      <c r="F127" s="586"/>
      <c r="G127" s="591"/>
      <c r="H127" s="592"/>
    </row>
    <row r="128" spans="2:8" x14ac:dyDescent="0.25">
      <c r="B128" s="518" t="s">
        <v>0</v>
      </c>
      <c r="C128" s="515">
        <f>+PRESUPUESTO!B53</f>
        <v>6.3</v>
      </c>
      <c r="D128" s="516"/>
      <c r="E128" s="516"/>
      <c r="F128" s="516"/>
      <c r="G128" s="516"/>
      <c r="H128" s="517"/>
    </row>
    <row r="129" spans="2:10" x14ac:dyDescent="0.25">
      <c r="B129" s="214" t="s">
        <v>19</v>
      </c>
      <c r="C129" s="266"/>
      <c r="D129" s="266"/>
      <c r="E129" s="266"/>
      <c r="F129" s="296"/>
      <c r="G129" s="266"/>
      <c r="H129" s="216"/>
    </row>
    <row r="130" spans="2:10" x14ac:dyDescent="0.25">
      <c r="B130" s="560" t="s">
        <v>20</v>
      </c>
      <c r="C130" s="561"/>
      <c r="D130" s="297" t="s">
        <v>21</v>
      </c>
      <c r="E130" s="297" t="s">
        <v>22</v>
      </c>
      <c r="F130" s="298" t="s">
        <v>23</v>
      </c>
      <c r="G130" s="299" t="s">
        <v>24</v>
      </c>
      <c r="H130" s="300" t="s">
        <v>482</v>
      </c>
    </row>
    <row r="131" spans="2:10" x14ac:dyDescent="0.25">
      <c r="B131" s="562" t="s">
        <v>8</v>
      </c>
      <c r="C131" s="563"/>
      <c r="D131" s="301"/>
      <c r="E131" s="302"/>
      <c r="F131" s="303">
        <v>0.1</v>
      </c>
      <c r="G131" s="287">
        <f>+H159</f>
        <v>27530.229702857141</v>
      </c>
      <c r="H131" s="304">
        <f>+F131*G131</f>
        <v>2753.0229702857141</v>
      </c>
    </row>
    <row r="132" spans="2:10" x14ac:dyDescent="0.25">
      <c r="B132" s="600" t="s">
        <v>668</v>
      </c>
      <c r="C132" s="601"/>
      <c r="D132" s="301"/>
      <c r="E132" s="302">
        <v>10000</v>
      </c>
      <c r="F132" s="289">
        <v>3</v>
      </c>
      <c r="G132" s="287">
        <f>+E132/F132</f>
        <v>3333.3333333333335</v>
      </c>
      <c r="H132" s="304">
        <f>+G132</f>
        <v>3333.3333333333335</v>
      </c>
    </row>
    <row r="133" spans="2:10" x14ac:dyDescent="0.25">
      <c r="B133" s="562"/>
      <c r="C133" s="563"/>
      <c r="D133" s="301"/>
      <c r="E133" s="302"/>
      <c r="F133" s="289"/>
      <c r="G133" s="287"/>
      <c r="H133" s="304"/>
    </row>
    <row r="134" spans="2:10" x14ac:dyDescent="0.25">
      <c r="B134" s="305"/>
      <c r="C134" s="266"/>
      <c r="D134" s="266"/>
      <c r="E134" s="266"/>
      <c r="F134" s="296"/>
      <c r="G134" s="306" t="s">
        <v>25</v>
      </c>
      <c r="H134" s="307">
        <f>SUM(H131:H133)</f>
        <v>6086.356303619048</v>
      </c>
    </row>
    <row r="135" spans="2:10" x14ac:dyDescent="0.25">
      <c r="B135" s="214" t="s">
        <v>26</v>
      </c>
      <c r="C135" s="266"/>
      <c r="D135" s="266"/>
      <c r="E135" s="266"/>
      <c r="F135" s="308"/>
      <c r="G135" s="308"/>
      <c r="H135" s="309"/>
    </row>
    <row r="136" spans="2:10" x14ac:dyDescent="0.25">
      <c r="B136" s="560" t="s">
        <v>20</v>
      </c>
      <c r="C136" s="561"/>
      <c r="D136" s="297" t="s">
        <v>27</v>
      </c>
      <c r="E136" s="297" t="s">
        <v>28</v>
      </c>
      <c r="F136" s="298" t="s">
        <v>29</v>
      </c>
      <c r="G136" s="299" t="s">
        <v>24</v>
      </c>
      <c r="H136" s="310" t="s">
        <v>482</v>
      </c>
    </row>
    <row r="137" spans="2:10" x14ac:dyDescent="0.25">
      <c r="B137" s="654" t="s">
        <v>679</v>
      </c>
      <c r="C137" s="655"/>
      <c r="D137" s="496" t="s">
        <v>44</v>
      </c>
      <c r="E137" s="451">
        <f>(37450)/(1*6)</f>
        <v>6241.666666666667</v>
      </c>
      <c r="F137" s="457">
        <f>8*1*1.552</f>
        <v>12.416</v>
      </c>
      <c r="G137" s="491">
        <f t="shared" ref="G137:G145" si="2">+E137*F137</f>
        <v>77496.53333333334</v>
      </c>
      <c r="H137" s="497">
        <f>+G137</f>
        <v>77496.53333333334</v>
      </c>
    </row>
    <row r="138" spans="2:10" x14ac:dyDescent="0.25">
      <c r="B138" s="489" t="s">
        <v>674</v>
      </c>
      <c r="C138" s="490"/>
      <c r="D138" s="496" t="s">
        <v>44</v>
      </c>
      <c r="E138" s="451">
        <f>14400/3.36</f>
        <v>4285.7142857142862</v>
      </c>
      <c r="F138" s="492">
        <f>+((1/0.1)-1)*J145*0.56</f>
        <v>5.3928000000000011</v>
      </c>
      <c r="G138" s="491">
        <f t="shared" si="2"/>
        <v>23112.000000000007</v>
      </c>
      <c r="H138" s="497">
        <f>+G138</f>
        <v>23112.000000000007</v>
      </c>
      <c r="J138" s="257">
        <f>1*0.3*0.3</f>
        <v>0.09</v>
      </c>
    </row>
    <row r="139" spans="2:10" x14ac:dyDescent="0.25">
      <c r="B139" s="654" t="s">
        <v>670</v>
      </c>
      <c r="C139" s="655"/>
      <c r="D139" s="496" t="s">
        <v>4</v>
      </c>
      <c r="E139" s="451">
        <v>90000</v>
      </c>
      <c r="F139" s="457">
        <f>+J138*0.67</f>
        <v>6.0299999999999999E-2</v>
      </c>
      <c r="G139" s="491">
        <f t="shared" si="2"/>
        <v>5427</v>
      </c>
      <c r="H139" s="497">
        <f t="shared" ref="H139:H145" si="3">+G139</f>
        <v>5427</v>
      </c>
    </row>
    <row r="140" spans="2:10" x14ac:dyDescent="0.25">
      <c r="B140" s="654" t="s">
        <v>671</v>
      </c>
      <c r="C140" s="655"/>
      <c r="D140" s="496" t="s">
        <v>4</v>
      </c>
      <c r="E140" s="451">
        <v>55000</v>
      </c>
      <c r="F140" s="457">
        <f>+J138*0.67</f>
        <v>6.0299999999999999E-2</v>
      </c>
      <c r="G140" s="491">
        <f t="shared" si="2"/>
        <v>3316.5</v>
      </c>
      <c r="H140" s="497">
        <f t="shared" si="3"/>
        <v>3316.5</v>
      </c>
    </row>
    <row r="141" spans="2:10" x14ac:dyDescent="0.25">
      <c r="B141" s="654" t="s">
        <v>523</v>
      </c>
      <c r="C141" s="655"/>
      <c r="D141" s="496" t="s">
        <v>72</v>
      </c>
      <c r="E141" s="451">
        <v>32000</v>
      </c>
      <c r="F141" s="457">
        <f>+(J138*420)/50</f>
        <v>0.75599999999999989</v>
      </c>
      <c r="G141" s="491">
        <f t="shared" si="2"/>
        <v>24191.999999999996</v>
      </c>
      <c r="H141" s="497">
        <f t="shared" si="3"/>
        <v>24191.999999999996</v>
      </c>
    </row>
    <row r="142" spans="2:10" x14ac:dyDescent="0.25">
      <c r="B142" s="654" t="s">
        <v>524</v>
      </c>
      <c r="C142" s="655"/>
      <c r="D142" s="496" t="s">
        <v>499</v>
      </c>
      <c r="E142" s="451">
        <v>150</v>
      </c>
      <c r="F142" s="457">
        <f>+J138*250</f>
        <v>22.5</v>
      </c>
      <c r="G142" s="491">
        <f t="shared" si="2"/>
        <v>3375</v>
      </c>
      <c r="H142" s="497">
        <f t="shared" si="3"/>
        <v>3375</v>
      </c>
    </row>
    <row r="143" spans="2:10" x14ac:dyDescent="0.25">
      <c r="B143" s="654" t="s">
        <v>672</v>
      </c>
      <c r="C143" s="655"/>
      <c r="D143" s="496" t="s">
        <v>44</v>
      </c>
      <c r="E143" s="451">
        <v>9500</v>
      </c>
      <c r="F143" s="457">
        <v>0.25</v>
      </c>
      <c r="G143" s="491">
        <f t="shared" si="2"/>
        <v>2375</v>
      </c>
      <c r="H143" s="497">
        <f t="shared" si="3"/>
        <v>2375</v>
      </c>
    </row>
    <row r="144" spans="2:10" x14ac:dyDescent="0.25">
      <c r="B144" s="654" t="s">
        <v>675</v>
      </c>
      <c r="C144" s="655"/>
      <c r="D144" s="496" t="s">
        <v>676</v>
      </c>
      <c r="E144" s="451">
        <v>12000</v>
      </c>
      <c r="F144" s="457">
        <v>1</v>
      </c>
      <c r="G144" s="491">
        <f t="shared" si="2"/>
        <v>12000</v>
      </c>
      <c r="H144" s="497">
        <f t="shared" si="3"/>
        <v>12000</v>
      </c>
    </row>
    <row r="145" spans="2:10" x14ac:dyDescent="0.25">
      <c r="B145" s="654" t="s">
        <v>677</v>
      </c>
      <c r="C145" s="655"/>
      <c r="D145" s="498" t="s">
        <v>44</v>
      </c>
      <c r="E145" s="493">
        <v>13500</v>
      </c>
      <c r="F145" s="457">
        <v>0.2</v>
      </c>
      <c r="G145" s="491">
        <f t="shared" si="2"/>
        <v>2700</v>
      </c>
      <c r="H145" s="497">
        <f t="shared" si="3"/>
        <v>2700</v>
      </c>
      <c r="J145" s="257">
        <f>+(0.25*4)+0.07</f>
        <v>1.07</v>
      </c>
    </row>
    <row r="146" spans="2:10" x14ac:dyDescent="0.25">
      <c r="B146" s="654" t="s">
        <v>631</v>
      </c>
      <c r="C146" s="655"/>
      <c r="D146" s="498" t="s">
        <v>501</v>
      </c>
      <c r="E146" s="494">
        <f>+SUM(G137:G145)</f>
        <v>153994.03333333335</v>
      </c>
      <c r="F146" s="495">
        <v>0.05</v>
      </c>
      <c r="G146" s="499"/>
      <c r="H146" s="500">
        <f>E146*F146</f>
        <v>7699.7016666666677</v>
      </c>
    </row>
    <row r="147" spans="2:10" x14ac:dyDescent="0.25">
      <c r="B147" s="596"/>
      <c r="C147" s="597"/>
      <c r="D147" s="285"/>
      <c r="E147" s="286"/>
      <c r="F147" s="289"/>
      <c r="G147" s="287"/>
      <c r="H147" s="288"/>
    </row>
    <row r="148" spans="2:10" x14ac:dyDescent="0.25">
      <c r="B148" s="305"/>
      <c r="C148" s="266"/>
      <c r="D148" s="266"/>
      <c r="E148" s="266"/>
      <c r="F148" s="308"/>
      <c r="G148" s="306" t="s">
        <v>25</v>
      </c>
      <c r="H148" s="312">
        <f>SUM(H137:H147)</f>
        <v>161693.73500000002</v>
      </c>
    </row>
    <row r="149" spans="2:10" x14ac:dyDescent="0.25">
      <c r="B149" s="214" t="s">
        <v>30</v>
      </c>
      <c r="C149" s="266"/>
      <c r="D149" s="266"/>
      <c r="E149" s="266"/>
      <c r="F149" s="308"/>
      <c r="G149" s="308"/>
      <c r="H149" s="304"/>
    </row>
    <row r="150" spans="2:10" x14ac:dyDescent="0.25">
      <c r="B150" s="560" t="s">
        <v>20</v>
      </c>
      <c r="C150" s="561"/>
      <c r="D150" s="297" t="s">
        <v>21</v>
      </c>
      <c r="E150" s="297" t="s">
        <v>127</v>
      </c>
      <c r="F150" s="298" t="s">
        <v>32</v>
      </c>
      <c r="G150" s="297" t="s">
        <v>24</v>
      </c>
      <c r="H150" s="313" t="s">
        <v>481</v>
      </c>
    </row>
    <row r="151" spans="2:10" x14ac:dyDescent="0.25">
      <c r="B151" s="598"/>
      <c r="C151" s="599"/>
      <c r="D151" s="314"/>
      <c r="E151" s="315"/>
      <c r="F151" s="274"/>
      <c r="G151" s="274"/>
      <c r="H151" s="304"/>
    </row>
    <row r="152" spans="2:10" x14ac:dyDescent="0.25">
      <c r="B152" s="598"/>
      <c r="C152" s="599"/>
      <c r="D152" s="314"/>
      <c r="E152" s="316"/>
      <c r="F152" s="317"/>
      <c r="G152" s="316"/>
      <c r="H152" s="318"/>
    </row>
    <row r="153" spans="2:10" x14ac:dyDescent="0.25">
      <c r="B153" s="305"/>
      <c r="C153" s="266"/>
      <c r="D153" s="266"/>
      <c r="E153" s="266"/>
      <c r="F153" s="296"/>
      <c r="G153" s="306" t="s">
        <v>25</v>
      </c>
      <c r="H153" s="319">
        <f>SUM(H151:H152)</f>
        <v>0</v>
      </c>
    </row>
    <row r="154" spans="2:10" x14ac:dyDescent="0.25">
      <c r="B154" s="214" t="s">
        <v>34</v>
      </c>
      <c r="C154" s="266"/>
      <c r="D154" s="266"/>
      <c r="E154" s="266"/>
      <c r="F154" s="296"/>
      <c r="G154" s="308"/>
      <c r="H154" s="320"/>
    </row>
    <row r="155" spans="2:10" x14ac:dyDescent="0.25">
      <c r="B155" s="321" t="s">
        <v>35</v>
      </c>
      <c r="C155" s="321" t="s">
        <v>29</v>
      </c>
      <c r="D155" s="321" t="s">
        <v>36</v>
      </c>
      <c r="E155" s="321" t="s">
        <v>37</v>
      </c>
      <c r="F155" s="322" t="s">
        <v>38</v>
      </c>
      <c r="G155" s="323" t="s">
        <v>23</v>
      </c>
      <c r="H155" s="324" t="s">
        <v>24</v>
      </c>
    </row>
    <row r="156" spans="2:10" x14ac:dyDescent="0.25">
      <c r="B156" s="288" t="s">
        <v>39</v>
      </c>
      <c r="C156" s="316">
        <v>1</v>
      </c>
      <c r="D156" s="325">
        <f>+D93</f>
        <v>93381.6</v>
      </c>
      <c r="E156" s="326">
        <v>1.8344</v>
      </c>
      <c r="F156" s="327">
        <f>+D156*C156*E156</f>
        <v>171299.20704000001</v>
      </c>
      <c r="G156" s="316">
        <v>14</v>
      </c>
      <c r="H156" s="274">
        <f>F156/G156</f>
        <v>12235.657645714286</v>
      </c>
    </row>
    <row r="157" spans="2:10" x14ac:dyDescent="0.25">
      <c r="B157" s="288" t="s">
        <v>496</v>
      </c>
      <c r="C157" s="316">
        <v>2</v>
      </c>
      <c r="D157" s="325">
        <f>+D94</f>
        <v>58363.5</v>
      </c>
      <c r="E157" s="326">
        <v>1.8344</v>
      </c>
      <c r="F157" s="327">
        <f>+D157*C157*E157</f>
        <v>214124.00880000001</v>
      </c>
      <c r="G157" s="316">
        <v>14</v>
      </c>
      <c r="H157" s="274">
        <f>+F157/G157</f>
        <v>15294.572057142857</v>
      </c>
    </row>
    <row r="158" spans="2:10" x14ac:dyDescent="0.25">
      <c r="B158" s="288"/>
      <c r="C158" s="288"/>
      <c r="D158" s="317"/>
      <c r="E158" s="288"/>
      <c r="F158" s="317"/>
      <c r="G158" s="288"/>
      <c r="H158" s="327"/>
    </row>
    <row r="159" spans="2:10" x14ac:dyDescent="0.25">
      <c r="B159" s="305"/>
      <c r="C159" s="266"/>
      <c r="D159" s="266"/>
      <c r="E159" s="266"/>
      <c r="F159" s="296"/>
      <c r="G159" s="306" t="s">
        <v>25</v>
      </c>
      <c r="H159" s="328">
        <f>+SUM(H156:H158)</f>
        <v>27530.229702857141</v>
      </c>
    </row>
    <row r="160" spans="2:10" x14ac:dyDescent="0.25">
      <c r="B160" s="305"/>
      <c r="C160" s="266"/>
      <c r="D160" s="266"/>
      <c r="E160" s="266"/>
      <c r="F160" s="296"/>
      <c r="G160" s="449"/>
      <c r="H160" s="320"/>
    </row>
    <row r="161" spans="2:8" x14ac:dyDescent="0.25">
      <c r="B161" s="265"/>
      <c r="C161" s="266"/>
      <c r="D161" s="648" t="s">
        <v>41</v>
      </c>
      <c r="E161" s="648"/>
      <c r="F161" s="648"/>
      <c r="G161" s="649"/>
      <c r="H161" s="254">
        <f>+H134+H148+H153+H159</f>
        <v>195310.32100647621</v>
      </c>
    </row>
    <row r="162" spans="2:8" ht="15.6" x14ac:dyDescent="0.25">
      <c r="B162" s="258"/>
      <c r="C162" s="479" t="s">
        <v>645</v>
      </c>
      <c r="D162" s="477"/>
      <c r="E162" s="477"/>
      <c r="F162" s="477"/>
      <c r="G162" s="255"/>
      <c r="H162" s="488"/>
    </row>
    <row r="163" spans="2:8" ht="15.6" x14ac:dyDescent="0.25">
      <c r="B163" s="258"/>
      <c r="C163" s="479"/>
      <c r="D163" s="477"/>
      <c r="E163" s="477"/>
      <c r="F163" s="477"/>
      <c r="G163" s="255"/>
      <c r="H163" s="219"/>
    </row>
    <row r="164" spans="2:8" ht="15.6" x14ac:dyDescent="0.25">
      <c r="B164" s="258"/>
      <c r="C164" s="479"/>
      <c r="D164" s="477"/>
      <c r="E164" s="477"/>
      <c r="F164" s="477"/>
      <c r="G164" s="255"/>
      <c r="H164" s="219"/>
    </row>
    <row r="165" spans="2:8" ht="15.6" x14ac:dyDescent="0.25">
      <c r="B165" s="258"/>
      <c r="C165" s="475" t="s">
        <v>643</v>
      </c>
      <c r="D165" s="474"/>
      <c r="E165" s="477"/>
      <c r="F165" s="477"/>
      <c r="G165" s="255"/>
      <c r="H165" s="219"/>
    </row>
    <row r="166" spans="2:8" ht="15" x14ac:dyDescent="0.25">
      <c r="B166" s="258"/>
      <c r="C166" s="200" t="s">
        <v>590</v>
      </c>
      <c r="D166" s="474"/>
      <c r="E166" s="478"/>
      <c r="F166" s="478"/>
      <c r="G166" s="255"/>
      <c r="H166" s="219"/>
    </row>
    <row r="167" spans="2:8" ht="15" x14ac:dyDescent="0.25">
      <c r="B167" s="258"/>
      <c r="C167" s="261" t="s">
        <v>591</v>
      </c>
      <c r="D167" s="474"/>
      <c r="E167" s="478"/>
      <c r="F167" s="478"/>
      <c r="G167" s="255"/>
      <c r="H167" s="219"/>
    </row>
    <row r="168" spans="2:8" ht="15" x14ac:dyDescent="0.25">
      <c r="B168" s="258"/>
      <c r="C168" s="261" t="s">
        <v>644</v>
      </c>
      <c r="D168" s="474"/>
      <c r="E168" s="478"/>
      <c r="F168" s="478"/>
      <c r="G168" s="255"/>
      <c r="H168" s="219"/>
    </row>
    <row r="169" spans="2:8" x14ac:dyDescent="0.25">
      <c r="B169" s="258"/>
      <c r="C169" s="266"/>
      <c r="D169" s="255"/>
      <c r="E169" s="255"/>
      <c r="F169" s="255"/>
      <c r="G169" s="255"/>
      <c r="H169" s="219"/>
    </row>
    <row r="170" spans="2:8" x14ac:dyDescent="0.25">
      <c r="B170" s="267"/>
      <c r="C170" s="268"/>
      <c r="D170" s="259"/>
      <c r="E170" s="259"/>
      <c r="F170" s="259"/>
      <c r="G170" s="259"/>
      <c r="H170" s="260"/>
    </row>
    <row r="182" spans="2:8" ht="15.6" x14ac:dyDescent="0.25">
      <c r="B182" s="566" t="s">
        <v>320</v>
      </c>
      <c r="C182" s="567"/>
      <c r="D182" s="567"/>
      <c r="E182" s="567"/>
      <c r="F182" s="567"/>
      <c r="G182" s="567"/>
      <c r="H182" s="568"/>
    </row>
    <row r="183" spans="2:8" x14ac:dyDescent="0.25">
      <c r="B183" s="569" t="str">
        <f>+PRESUPUESTO!B1</f>
        <v>MANTENIMIENTO Y ADECUACIÓN DE INSTITUCIONES EDUCATIVAS OFICIALES, DEL MUNICIPIO DE LA APARTADA CORDOBA.</v>
      </c>
      <c r="C183" s="570"/>
      <c r="D183" s="570"/>
      <c r="E183" s="570"/>
      <c r="F183" s="570"/>
      <c r="G183" s="570"/>
      <c r="H183" s="571"/>
    </row>
    <row r="184" spans="2:8" x14ac:dyDescent="0.25">
      <c r="B184" s="572"/>
      <c r="C184" s="573"/>
      <c r="D184" s="573"/>
      <c r="E184" s="573"/>
      <c r="F184" s="573"/>
      <c r="G184" s="573"/>
      <c r="H184" s="574"/>
    </row>
    <row r="185" spans="2:8" x14ac:dyDescent="0.25">
      <c r="B185" s="575"/>
      <c r="C185" s="576"/>
      <c r="D185" s="576"/>
      <c r="E185" s="576"/>
      <c r="F185" s="576"/>
      <c r="G185" s="576"/>
      <c r="H185" s="577"/>
    </row>
    <row r="186" spans="2:8" x14ac:dyDescent="0.25">
      <c r="B186" s="578" t="str">
        <f>+PRESUPUESTO!C54</f>
        <v xml:space="preserve">CONSTRUCCION DE CABEZAL COLUMNA-LOSA EN CONCRETO DE 3500 PSI DE SECCION (0.50 MTS X 0.50 MTS X 0.30 MTS) </v>
      </c>
      <c r="C186" s="579"/>
      <c r="D186" s="579"/>
      <c r="E186" s="579"/>
      <c r="F186" s="580"/>
      <c r="G186" s="587" t="s">
        <v>646</v>
      </c>
      <c r="H186" s="588"/>
    </row>
    <row r="187" spans="2:8" x14ac:dyDescent="0.25">
      <c r="B187" s="581"/>
      <c r="C187" s="582"/>
      <c r="D187" s="582"/>
      <c r="E187" s="582"/>
      <c r="F187" s="583"/>
      <c r="G187" s="589"/>
      <c r="H187" s="590"/>
    </row>
    <row r="188" spans="2:8" x14ac:dyDescent="0.25">
      <c r="B188" s="584"/>
      <c r="C188" s="585"/>
      <c r="D188" s="585"/>
      <c r="E188" s="585"/>
      <c r="F188" s="586"/>
      <c r="G188" s="591"/>
      <c r="H188" s="592"/>
    </row>
    <row r="189" spans="2:8" x14ac:dyDescent="0.25">
      <c r="B189" s="518" t="s">
        <v>0</v>
      </c>
      <c r="C189" s="515">
        <f>+PRESUPUESTO!B54</f>
        <v>6.4</v>
      </c>
      <c r="D189" s="516"/>
      <c r="E189" s="516"/>
      <c r="F189" s="516"/>
      <c r="G189" s="516"/>
      <c r="H189" s="517"/>
    </row>
    <row r="190" spans="2:8" x14ac:dyDescent="0.25">
      <c r="B190" s="214" t="s">
        <v>19</v>
      </c>
      <c r="C190" s="266"/>
      <c r="D190" s="266"/>
      <c r="E190" s="266"/>
      <c r="F190" s="296"/>
      <c r="G190" s="266"/>
      <c r="H190" s="216"/>
    </row>
    <row r="191" spans="2:8" x14ac:dyDescent="0.25">
      <c r="B191" s="560" t="s">
        <v>20</v>
      </c>
      <c r="C191" s="561"/>
      <c r="D191" s="297" t="s">
        <v>21</v>
      </c>
      <c r="E191" s="297" t="s">
        <v>22</v>
      </c>
      <c r="F191" s="298" t="s">
        <v>23</v>
      </c>
      <c r="G191" s="299" t="s">
        <v>24</v>
      </c>
      <c r="H191" s="300" t="s">
        <v>482</v>
      </c>
    </row>
    <row r="192" spans="2:8" x14ac:dyDescent="0.25">
      <c r="B192" s="562" t="s">
        <v>8</v>
      </c>
      <c r="C192" s="563"/>
      <c r="D192" s="301"/>
      <c r="E192" s="302"/>
      <c r="F192" s="303">
        <v>0.1</v>
      </c>
      <c r="G192" s="287">
        <f>+H219</f>
        <v>85649.603520000004</v>
      </c>
      <c r="H192" s="304">
        <f>+F192*G192</f>
        <v>8564.9603520000001</v>
      </c>
    </row>
    <row r="193" spans="2:10" x14ac:dyDescent="0.25">
      <c r="B193" s="600" t="s">
        <v>668</v>
      </c>
      <c r="C193" s="601"/>
      <c r="D193" s="301"/>
      <c r="E193" s="302">
        <v>10000</v>
      </c>
      <c r="F193" s="289">
        <v>3</v>
      </c>
      <c r="G193" s="287">
        <f>+E193/F193</f>
        <v>3333.3333333333335</v>
      </c>
      <c r="H193" s="304">
        <f>+G193</f>
        <v>3333.3333333333335</v>
      </c>
    </row>
    <row r="194" spans="2:10" x14ac:dyDescent="0.25">
      <c r="B194" s="562"/>
      <c r="C194" s="563"/>
      <c r="D194" s="301"/>
      <c r="E194" s="302"/>
      <c r="F194" s="289"/>
      <c r="G194" s="287"/>
      <c r="H194" s="304"/>
    </row>
    <row r="195" spans="2:10" x14ac:dyDescent="0.25">
      <c r="B195" s="305"/>
      <c r="C195" s="266"/>
      <c r="D195" s="266"/>
      <c r="E195" s="266"/>
      <c r="F195" s="296"/>
      <c r="G195" s="306" t="s">
        <v>25</v>
      </c>
      <c r="H195" s="307">
        <f>SUM(H192:H194)</f>
        <v>11898.293685333334</v>
      </c>
    </row>
    <row r="196" spans="2:10" x14ac:dyDescent="0.25">
      <c r="B196" s="214" t="s">
        <v>26</v>
      </c>
      <c r="C196" s="266"/>
      <c r="D196" s="266"/>
      <c r="E196" s="266"/>
      <c r="F196" s="308"/>
      <c r="G196" s="308"/>
      <c r="H196" s="309"/>
    </row>
    <row r="197" spans="2:10" x14ac:dyDescent="0.25">
      <c r="B197" s="560" t="s">
        <v>20</v>
      </c>
      <c r="C197" s="561"/>
      <c r="D197" s="297" t="s">
        <v>27</v>
      </c>
      <c r="E197" s="297" t="s">
        <v>28</v>
      </c>
      <c r="F197" s="298" t="s">
        <v>29</v>
      </c>
      <c r="G197" s="299" t="s">
        <v>24</v>
      </c>
      <c r="H197" s="310" t="s">
        <v>482</v>
      </c>
      <c r="J197" s="257">
        <f>+(0.5/0.1)*2</f>
        <v>10</v>
      </c>
    </row>
    <row r="198" spans="2:10" x14ac:dyDescent="0.25">
      <c r="B198" s="654" t="s">
        <v>674</v>
      </c>
      <c r="C198" s="655"/>
      <c r="D198" s="278" t="s">
        <v>44</v>
      </c>
      <c r="E198" s="279">
        <f>+E138</f>
        <v>4285.7142857142862</v>
      </c>
      <c r="F198" s="277">
        <f>0.25*1*J197</f>
        <v>2.5</v>
      </c>
      <c r="G198" s="280">
        <f t="shared" ref="G198" si="4">+E198*F198</f>
        <v>10714.285714285716</v>
      </c>
      <c r="H198" s="281">
        <f t="shared" ref="H198" si="5">+G198</f>
        <v>10714.285714285716</v>
      </c>
    </row>
    <row r="199" spans="2:10" x14ac:dyDescent="0.25">
      <c r="B199" s="654" t="s">
        <v>670</v>
      </c>
      <c r="C199" s="655"/>
      <c r="D199" s="496" t="s">
        <v>4</v>
      </c>
      <c r="E199" s="451">
        <v>90000</v>
      </c>
      <c r="F199" s="457">
        <f>J199*0.67</f>
        <v>5.0250000000000003E-2</v>
      </c>
      <c r="G199" s="491">
        <f t="shared" ref="G199:G205" si="6">+E199*F199</f>
        <v>4522.5</v>
      </c>
      <c r="H199" s="497">
        <f t="shared" ref="H199:H205" si="7">+G199</f>
        <v>4522.5</v>
      </c>
      <c r="J199" s="257">
        <f>0.5*0.5*0.3</f>
        <v>7.4999999999999997E-2</v>
      </c>
    </row>
    <row r="200" spans="2:10" x14ac:dyDescent="0.25">
      <c r="B200" s="654" t="s">
        <v>671</v>
      </c>
      <c r="C200" s="655"/>
      <c r="D200" s="496" t="s">
        <v>4</v>
      </c>
      <c r="E200" s="451">
        <v>55000</v>
      </c>
      <c r="F200" s="457">
        <f>J199*0.67</f>
        <v>5.0250000000000003E-2</v>
      </c>
      <c r="G200" s="491">
        <f t="shared" si="6"/>
        <v>2763.75</v>
      </c>
      <c r="H200" s="497">
        <f t="shared" si="7"/>
        <v>2763.75</v>
      </c>
    </row>
    <row r="201" spans="2:10" x14ac:dyDescent="0.25">
      <c r="B201" s="654" t="s">
        <v>523</v>
      </c>
      <c r="C201" s="655"/>
      <c r="D201" s="496" t="s">
        <v>72</v>
      </c>
      <c r="E201" s="451">
        <v>32000</v>
      </c>
      <c r="F201" s="457">
        <f>+(J199*420)/50</f>
        <v>0.63</v>
      </c>
      <c r="G201" s="491">
        <f t="shared" si="6"/>
        <v>20160</v>
      </c>
      <c r="H201" s="497">
        <f t="shared" si="7"/>
        <v>20160</v>
      </c>
    </row>
    <row r="202" spans="2:10" x14ac:dyDescent="0.25">
      <c r="B202" s="654" t="s">
        <v>524</v>
      </c>
      <c r="C202" s="655"/>
      <c r="D202" s="496" t="s">
        <v>499</v>
      </c>
      <c r="E202" s="451">
        <v>150</v>
      </c>
      <c r="F202" s="457">
        <f>J199*250</f>
        <v>18.75</v>
      </c>
      <c r="G202" s="491">
        <f t="shared" si="6"/>
        <v>2812.5</v>
      </c>
      <c r="H202" s="497">
        <f t="shared" si="7"/>
        <v>2812.5</v>
      </c>
    </row>
    <row r="203" spans="2:10" x14ac:dyDescent="0.25">
      <c r="B203" s="654" t="s">
        <v>672</v>
      </c>
      <c r="C203" s="655"/>
      <c r="D203" s="496" t="s">
        <v>44</v>
      </c>
      <c r="E203" s="451">
        <v>9500</v>
      </c>
      <c r="F203" s="457">
        <v>0.25</v>
      </c>
      <c r="G203" s="491">
        <f t="shared" si="6"/>
        <v>2375</v>
      </c>
      <c r="H203" s="497">
        <f t="shared" si="7"/>
        <v>2375</v>
      </c>
    </row>
    <row r="204" spans="2:10" x14ac:dyDescent="0.25">
      <c r="B204" s="654" t="s">
        <v>675</v>
      </c>
      <c r="C204" s="655"/>
      <c r="D204" s="496" t="s">
        <v>676</v>
      </c>
      <c r="E204" s="451">
        <v>12000</v>
      </c>
      <c r="F204" s="457">
        <v>1</v>
      </c>
      <c r="G204" s="491">
        <f t="shared" si="6"/>
        <v>12000</v>
      </c>
      <c r="H204" s="497">
        <f t="shared" si="7"/>
        <v>12000</v>
      </c>
    </row>
    <row r="205" spans="2:10" x14ac:dyDescent="0.25">
      <c r="B205" s="654" t="s">
        <v>677</v>
      </c>
      <c r="C205" s="655"/>
      <c r="D205" s="498" t="s">
        <v>44</v>
      </c>
      <c r="E205" s="493">
        <v>13500</v>
      </c>
      <c r="F205" s="457">
        <v>0.2</v>
      </c>
      <c r="G205" s="491">
        <f t="shared" si="6"/>
        <v>2700</v>
      </c>
      <c r="H205" s="497">
        <f t="shared" si="7"/>
        <v>2700</v>
      </c>
    </row>
    <row r="206" spans="2:10" x14ac:dyDescent="0.25">
      <c r="B206" s="654" t="s">
        <v>631</v>
      </c>
      <c r="C206" s="655"/>
      <c r="D206" s="498" t="s">
        <v>501</v>
      </c>
      <c r="E206" s="494">
        <f>+SUM(G199:G205)</f>
        <v>47333.75</v>
      </c>
      <c r="F206" s="495">
        <v>0.05</v>
      </c>
      <c r="G206" s="499"/>
      <c r="H206" s="500">
        <f>E206*F206</f>
        <v>2366.6875</v>
      </c>
    </row>
    <row r="207" spans="2:10" x14ac:dyDescent="0.25">
      <c r="B207" s="596"/>
      <c r="C207" s="597"/>
      <c r="D207" s="285"/>
      <c r="E207" s="286"/>
      <c r="F207" s="289"/>
      <c r="G207" s="287"/>
      <c r="H207" s="288"/>
    </row>
    <row r="208" spans="2:10" x14ac:dyDescent="0.25">
      <c r="B208" s="305"/>
      <c r="C208" s="266"/>
      <c r="D208" s="266"/>
      <c r="E208" s="266"/>
      <c r="F208" s="308"/>
      <c r="G208" s="306" t="s">
        <v>25</v>
      </c>
      <c r="H208" s="312">
        <f>SUM(H199:H207)</f>
        <v>49700.4375</v>
      </c>
    </row>
    <row r="209" spans="2:8" x14ac:dyDescent="0.25">
      <c r="B209" s="214" t="s">
        <v>30</v>
      </c>
      <c r="C209" s="266"/>
      <c r="D209" s="266"/>
      <c r="E209" s="266"/>
      <c r="F209" s="308"/>
      <c r="G209" s="308"/>
      <c r="H209" s="304"/>
    </row>
    <row r="210" spans="2:8" x14ac:dyDescent="0.25">
      <c r="B210" s="560" t="s">
        <v>20</v>
      </c>
      <c r="C210" s="561"/>
      <c r="D210" s="297" t="s">
        <v>21</v>
      </c>
      <c r="E210" s="297" t="s">
        <v>127</v>
      </c>
      <c r="F210" s="298" t="s">
        <v>32</v>
      </c>
      <c r="G210" s="297" t="s">
        <v>24</v>
      </c>
      <c r="H210" s="313" t="s">
        <v>481</v>
      </c>
    </row>
    <row r="211" spans="2:8" x14ac:dyDescent="0.25">
      <c r="B211" s="598"/>
      <c r="C211" s="599"/>
      <c r="D211" s="314"/>
      <c r="E211" s="315"/>
      <c r="F211" s="274"/>
      <c r="G211" s="274"/>
      <c r="H211" s="304"/>
    </row>
    <row r="212" spans="2:8" x14ac:dyDescent="0.25">
      <c r="B212" s="598"/>
      <c r="C212" s="599"/>
      <c r="D212" s="314"/>
      <c r="E212" s="316"/>
      <c r="F212" s="317"/>
      <c r="G212" s="316"/>
      <c r="H212" s="318"/>
    </row>
    <row r="213" spans="2:8" x14ac:dyDescent="0.25">
      <c r="B213" s="305"/>
      <c r="C213" s="266"/>
      <c r="D213" s="266"/>
      <c r="E213" s="266"/>
      <c r="F213" s="296"/>
      <c r="G213" s="306" t="s">
        <v>25</v>
      </c>
      <c r="H213" s="319">
        <f>SUM(H211:H212)</f>
        <v>0</v>
      </c>
    </row>
    <row r="214" spans="2:8" x14ac:dyDescent="0.25">
      <c r="B214" s="214" t="s">
        <v>34</v>
      </c>
      <c r="C214" s="266"/>
      <c r="D214" s="266"/>
      <c r="E214" s="266"/>
      <c r="F214" s="296"/>
      <c r="G214" s="308"/>
      <c r="H214" s="320"/>
    </row>
    <row r="215" spans="2:8" x14ac:dyDescent="0.25">
      <c r="B215" s="321" t="s">
        <v>35</v>
      </c>
      <c r="C215" s="321" t="s">
        <v>29</v>
      </c>
      <c r="D215" s="321" t="s">
        <v>36</v>
      </c>
      <c r="E215" s="321" t="s">
        <v>37</v>
      </c>
      <c r="F215" s="322" t="s">
        <v>38</v>
      </c>
      <c r="G215" s="323" t="s">
        <v>23</v>
      </c>
      <c r="H215" s="324" t="s">
        <v>24</v>
      </c>
    </row>
    <row r="216" spans="2:8" x14ac:dyDescent="0.25">
      <c r="B216" s="288" t="s">
        <v>39</v>
      </c>
      <c r="C216" s="316">
        <v>1</v>
      </c>
      <c r="D216" s="325">
        <f>+D156</f>
        <v>93381.6</v>
      </c>
      <c r="E216" s="326">
        <v>1.8344</v>
      </c>
      <c r="F216" s="327">
        <f>+D216*C216*E216</f>
        <v>171299.20704000001</v>
      </c>
      <c r="G216" s="316">
        <v>4.5</v>
      </c>
      <c r="H216" s="274">
        <f>F216/G216</f>
        <v>38066.490453333332</v>
      </c>
    </row>
    <row r="217" spans="2:8" x14ac:dyDescent="0.25">
      <c r="B217" s="288" t="s">
        <v>496</v>
      </c>
      <c r="C217" s="316">
        <v>2</v>
      </c>
      <c r="D217" s="325">
        <f>+D157</f>
        <v>58363.5</v>
      </c>
      <c r="E217" s="326">
        <v>1.8344</v>
      </c>
      <c r="F217" s="327">
        <f>+D217*C217*E217</f>
        <v>214124.00880000001</v>
      </c>
      <c r="G217" s="316">
        <v>4.5</v>
      </c>
      <c r="H217" s="274">
        <f>+F217/G217</f>
        <v>47583.113066666672</v>
      </c>
    </row>
    <row r="218" spans="2:8" x14ac:dyDescent="0.25">
      <c r="B218" s="288"/>
      <c r="C218" s="288"/>
      <c r="D218" s="317"/>
      <c r="E218" s="288"/>
      <c r="F218" s="317"/>
      <c r="G218" s="288"/>
      <c r="H218" s="327"/>
    </row>
    <row r="219" spans="2:8" x14ac:dyDescent="0.25">
      <c r="B219" s="305"/>
      <c r="C219" s="266"/>
      <c r="D219" s="266"/>
      <c r="E219" s="266"/>
      <c r="F219" s="296"/>
      <c r="G219" s="306" t="s">
        <v>25</v>
      </c>
      <c r="H219" s="328">
        <f>+SUM(H216:H218)</f>
        <v>85649.603520000004</v>
      </c>
    </row>
    <row r="220" spans="2:8" x14ac:dyDescent="0.25">
      <c r="B220" s="305"/>
      <c r="C220" s="266"/>
      <c r="D220" s="266"/>
      <c r="E220" s="266"/>
      <c r="F220" s="296"/>
      <c r="G220" s="449"/>
      <c r="H220" s="320"/>
    </row>
    <row r="221" spans="2:8" x14ac:dyDescent="0.25">
      <c r="B221" s="265" t="s">
        <v>497</v>
      </c>
      <c r="C221" s="266"/>
      <c r="D221" s="648" t="s">
        <v>41</v>
      </c>
      <c r="E221" s="648"/>
      <c r="F221" s="648"/>
      <c r="G221" s="649"/>
      <c r="H221" s="254">
        <f>+H195+H208+H213+H219</f>
        <v>147248.33470533334</v>
      </c>
    </row>
    <row r="222" spans="2:8" x14ac:dyDescent="0.25">
      <c r="B222" s="265"/>
      <c r="C222" s="501" t="s">
        <v>645</v>
      </c>
      <c r="D222" s="502"/>
      <c r="E222" s="502"/>
      <c r="F222" s="502"/>
      <c r="G222" s="255"/>
      <c r="H222" s="488"/>
    </row>
    <row r="223" spans="2:8" x14ac:dyDescent="0.25">
      <c r="B223" s="265"/>
      <c r="C223" s="501"/>
      <c r="D223" s="502"/>
      <c r="E223" s="502"/>
      <c r="F223" s="502"/>
      <c r="G223" s="255"/>
      <c r="H223" s="219"/>
    </row>
    <row r="224" spans="2:8" x14ac:dyDescent="0.25">
      <c r="B224" s="265"/>
      <c r="C224" s="501"/>
      <c r="D224" s="502"/>
      <c r="E224" s="502"/>
      <c r="F224" s="502"/>
      <c r="G224" s="255"/>
      <c r="H224" s="219"/>
    </row>
    <row r="225" spans="2:9" x14ac:dyDescent="0.25">
      <c r="B225" s="265"/>
      <c r="C225" s="503" t="s">
        <v>643</v>
      </c>
      <c r="D225" s="504"/>
      <c r="E225" s="502"/>
      <c r="F225" s="502"/>
      <c r="G225" s="255"/>
      <c r="H225" s="219"/>
    </row>
    <row r="226" spans="2:9" x14ac:dyDescent="0.25">
      <c r="B226" s="265"/>
      <c r="C226" s="505" t="s">
        <v>590</v>
      </c>
      <c r="D226" s="504"/>
      <c r="E226" s="506"/>
      <c r="F226" s="506"/>
      <c r="G226" s="255"/>
      <c r="H226" s="219"/>
    </row>
    <row r="227" spans="2:9" x14ac:dyDescent="0.25">
      <c r="B227" s="265"/>
      <c r="C227" s="505" t="s">
        <v>591</v>
      </c>
      <c r="D227" s="504"/>
      <c r="E227" s="506"/>
      <c r="F227" s="506"/>
      <c r="G227" s="255"/>
      <c r="H227" s="219"/>
      <c r="I227" s="257" t="s">
        <v>497</v>
      </c>
    </row>
    <row r="228" spans="2:9" x14ac:dyDescent="0.25">
      <c r="B228" s="265"/>
      <c r="C228" s="505" t="s">
        <v>644</v>
      </c>
      <c r="D228" s="504"/>
      <c r="E228" s="506"/>
      <c r="F228" s="506"/>
      <c r="G228" s="255"/>
      <c r="H228" s="219"/>
    </row>
    <row r="229" spans="2:9" x14ac:dyDescent="0.25">
      <c r="B229" s="265"/>
      <c r="C229" s="266"/>
      <c r="D229" s="255"/>
      <c r="E229" s="255"/>
      <c r="F229" s="255"/>
      <c r="G229" s="255"/>
      <c r="H229" s="219"/>
    </row>
    <row r="230" spans="2:9" x14ac:dyDescent="0.25">
      <c r="B230" s="267"/>
      <c r="C230" s="268"/>
      <c r="D230" s="259"/>
      <c r="E230" s="259"/>
      <c r="F230" s="259"/>
      <c r="G230" s="259"/>
      <c r="H230" s="260"/>
    </row>
    <row r="231" spans="2:9" x14ac:dyDescent="0.25">
      <c r="B231" s="499"/>
      <c r="C231" s="266"/>
      <c r="D231" s="255"/>
      <c r="E231" s="255"/>
      <c r="F231" s="255"/>
      <c r="G231" s="255"/>
      <c r="H231" s="487"/>
    </row>
    <row r="232" spans="2:9" x14ac:dyDescent="0.25">
      <c r="B232" s="499"/>
      <c r="C232" s="266"/>
      <c r="D232" s="255"/>
      <c r="E232" s="255"/>
      <c r="F232" s="255"/>
      <c r="G232" s="255"/>
      <c r="H232" s="487"/>
    </row>
    <row r="233" spans="2:9" x14ac:dyDescent="0.25">
      <c r="B233" s="499"/>
      <c r="C233" s="266"/>
      <c r="D233" s="255"/>
      <c r="E233" s="255"/>
      <c r="F233" s="255"/>
      <c r="G233" s="255"/>
      <c r="H233" s="487"/>
    </row>
    <row r="234" spans="2:9" x14ac:dyDescent="0.25">
      <c r="B234" s="499"/>
      <c r="C234" s="266"/>
      <c r="D234" s="255"/>
      <c r="E234" s="255"/>
      <c r="F234" s="255"/>
      <c r="G234" s="255"/>
      <c r="H234" s="487"/>
    </row>
    <row r="235" spans="2:9" x14ac:dyDescent="0.25">
      <c r="B235" s="499"/>
      <c r="C235" s="266"/>
      <c r="D235" s="255"/>
      <c r="E235" s="255"/>
      <c r="F235" s="255"/>
      <c r="G235" s="255"/>
      <c r="H235" s="487"/>
    </row>
    <row r="238" spans="2:9" ht="15.6" x14ac:dyDescent="0.25">
      <c r="B238" s="566" t="s">
        <v>320</v>
      </c>
      <c r="C238" s="567"/>
      <c r="D238" s="567"/>
      <c r="E238" s="567"/>
      <c r="F238" s="567"/>
      <c r="G238" s="567"/>
      <c r="H238" s="568"/>
    </row>
    <row r="239" spans="2:9" x14ac:dyDescent="0.25">
      <c r="B239" s="569" t="str">
        <f>+PRESUPUESTO!B1</f>
        <v>MANTENIMIENTO Y ADECUACIÓN DE INSTITUCIONES EDUCATIVAS OFICIALES, DEL MUNICIPIO DE LA APARTADA CORDOBA.</v>
      </c>
      <c r="C239" s="570"/>
      <c r="D239" s="570"/>
      <c r="E239" s="570"/>
      <c r="F239" s="570"/>
      <c r="G239" s="570"/>
      <c r="H239" s="571"/>
    </row>
    <row r="240" spans="2:9" x14ac:dyDescent="0.25">
      <c r="B240" s="572"/>
      <c r="C240" s="573"/>
      <c r="D240" s="573"/>
      <c r="E240" s="573"/>
      <c r="F240" s="573"/>
      <c r="G240" s="573"/>
      <c r="H240" s="574"/>
    </row>
    <row r="241" spans="2:10" x14ac:dyDescent="0.25">
      <c r="B241" s="575"/>
      <c r="C241" s="576"/>
      <c r="D241" s="576"/>
      <c r="E241" s="576"/>
      <c r="F241" s="576"/>
      <c r="G241" s="576"/>
      <c r="H241" s="577"/>
    </row>
    <row r="242" spans="2:10" x14ac:dyDescent="0.25">
      <c r="B242" s="578" t="str">
        <f>+PRESUPUESTO!C55</f>
        <v>CONSTRUCCIÓN DE LOSA ESTRUCTURAL PARA SOPORTE DE TANQUE DE ALMACENAMIENTO DE 2000 L, (1.60 MTS X 1.60 MTS X 0.25 MTS) EN CONCRETO DE 3500 PSI, INCLUYE ACERO DE REFUEZO; PARRILLA SUPERIOR #4@0.15M EN AMBOS SENTIDOS Y PARILLA INFERIOR #3@0.20 M.</v>
      </c>
      <c r="C242" s="579"/>
      <c r="D242" s="579"/>
      <c r="E242" s="579"/>
      <c r="F242" s="580"/>
      <c r="G242" s="587" t="s">
        <v>508</v>
      </c>
      <c r="H242" s="588"/>
    </row>
    <row r="243" spans="2:10" x14ac:dyDescent="0.25">
      <c r="B243" s="581"/>
      <c r="C243" s="582"/>
      <c r="D243" s="582"/>
      <c r="E243" s="582"/>
      <c r="F243" s="583"/>
      <c r="G243" s="589"/>
      <c r="H243" s="590"/>
    </row>
    <row r="244" spans="2:10" ht="36" customHeight="1" x14ac:dyDescent="0.25">
      <c r="B244" s="584"/>
      <c r="C244" s="585"/>
      <c r="D244" s="585"/>
      <c r="E244" s="585"/>
      <c r="F244" s="586"/>
      <c r="G244" s="591"/>
      <c r="H244" s="592"/>
    </row>
    <row r="245" spans="2:10" x14ac:dyDescent="0.25">
      <c r="B245" s="518" t="s">
        <v>0</v>
      </c>
      <c r="C245" s="515">
        <f>+PRESUPUESTO!B55</f>
        <v>6.5</v>
      </c>
      <c r="D245" s="516"/>
      <c r="E245" s="516"/>
      <c r="F245" s="516"/>
      <c r="G245" s="516"/>
      <c r="H245" s="517"/>
    </row>
    <row r="246" spans="2:10" x14ac:dyDescent="0.25">
      <c r="B246" s="214" t="s">
        <v>19</v>
      </c>
      <c r="C246" s="266"/>
      <c r="D246" s="266"/>
      <c r="E246" s="266"/>
      <c r="F246" s="296"/>
      <c r="G246" s="266"/>
      <c r="H246" s="216"/>
    </row>
    <row r="247" spans="2:10" x14ac:dyDescent="0.25">
      <c r="B247" s="560" t="s">
        <v>20</v>
      </c>
      <c r="C247" s="561"/>
      <c r="D247" s="297" t="s">
        <v>21</v>
      </c>
      <c r="E247" s="297" t="s">
        <v>22</v>
      </c>
      <c r="F247" s="298" t="s">
        <v>23</v>
      </c>
      <c r="G247" s="299" t="s">
        <v>24</v>
      </c>
      <c r="H247" s="300" t="s">
        <v>482</v>
      </c>
    </row>
    <row r="248" spans="2:10" x14ac:dyDescent="0.25">
      <c r="B248" s="562" t="s">
        <v>8</v>
      </c>
      <c r="C248" s="563"/>
      <c r="D248" s="301"/>
      <c r="E248" s="302"/>
      <c r="F248" s="303">
        <v>0.1</v>
      </c>
      <c r="G248" s="287">
        <f>+H276</f>
        <v>192711.60792000001</v>
      </c>
      <c r="H248" s="304">
        <f>+F248*G248</f>
        <v>19271.160792000002</v>
      </c>
    </row>
    <row r="249" spans="2:10" x14ac:dyDescent="0.25">
      <c r="B249" s="600" t="s">
        <v>668</v>
      </c>
      <c r="C249" s="601"/>
      <c r="D249" s="301"/>
      <c r="E249" s="302">
        <v>10000</v>
      </c>
      <c r="F249" s="289">
        <v>3</v>
      </c>
      <c r="G249" s="287">
        <f>+E249/F249</f>
        <v>3333.3333333333335</v>
      </c>
      <c r="H249" s="304">
        <f>+G249</f>
        <v>3333.3333333333335</v>
      </c>
    </row>
    <row r="250" spans="2:10" x14ac:dyDescent="0.25">
      <c r="B250" s="562"/>
      <c r="C250" s="563"/>
      <c r="D250" s="301"/>
      <c r="E250" s="302"/>
      <c r="F250" s="289"/>
      <c r="G250" s="287"/>
      <c r="H250" s="304"/>
    </row>
    <row r="251" spans="2:10" x14ac:dyDescent="0.25">
      <c r="B251" s="305"/>
      <c r="C251" s="266"/>
      <c r="D251" s="266"/>
      <c r="E251" s="266"/>
      <c r="F251" s="296"/>
      <c r="G251" s="306" t="s">
        <v>25</v>
      </c>
      <c r="H251" s="307">
        <f>SUM(H248:H250)</f>
        <v>22604.494125333335</v>
      </c>
    </row>
    <row r="252" spans="2:10" x14ac:dyDescent="0.25">
      <c r="B252" s="214" t="s">
        <v>26</v>
      </c>
      <c r="C252" s="266"/>
      <c r="D252" s="266"/>
      <c r="E252" s="266"/>
      <c r="F252" s="308"/>
      <c r="G252" s="308"/>
      <c r="H252" s="309"/>
    </row>
    <row r="253" spans="2:10" x14ac:dyDescent="0.25">
      <c r="B253" s="560" t="s">
        <v>20</v>
      </c>
      <c r="C253" s="561"/>
      <c r="D253" s="297" t="s">
        <v>27</v>
      </c>
      <c r="E253" s="297" t="s">
        <v>28</v>
      </c>
      <c r="F253" s="298" t="s">
        <v>29</v>
      </c>
      <c r="G253" s="299" t="s">
        <v>24</v>
      </c>
      <c r="H253" s="310" t="s">
        <v>482</v>
      </c>
      <c r="J253" s="257">
        <f>1.55/0.15</f>
        <v>10.333333333333334</v>
      </c>
    </row>
    <row r="254" spans="2:10" x14ac:dyDescent="0.25">
      <c r="B254" s="654" t="s">
        <v>669</v>
      </c>
      <c r="C254" s="655"/>
      <c r="D254" s="278" t="s">
        <v>44</v>
      </c>
      <c r="E254" s="279">
        <f>(24300)/(1*6)</f>
        <v>4050</v>
      </c>
      <c r="F254" s="507">
        <f>0.56*1.55*J253</f>
        <v>8.9693333333333349</v>
      </c>
      <c r="G254" s="280">
        <f t="shared" ref="G254" si="8">+E254*F254</f>
        <v>36325.800000000003</v>
      </c>
      <c r="H254" s="281">
        <f t="shared" ref="H254" si="9">+G254</f>
        <v>36325.800000000003</v>
      </c>
    </row>
    <row r="255" spans="2:10" x14ac:dyDescent="0.25">
      <c r="B255" s="654" t="s">
        <v>674</v>
      </c>
      <c r="C255" s="655"/>
      <c r="D255" s="278" t="s">
        <v>44</v>
      </c>
      <c r="E255" s="279">
        <f>+E198</f>
        <v>4285.7142857142862</v>
      </c>
      <c r="F255" s="507">
        <f>0.25*1.55*J253</f>
        <v>4.0041666666666673</v>
      </c>
      <c r="G255" s="280">
        <f t="shared" ref="G255:G262" si="10">+E255*F255</f>
        <v>17160.71428571429</v>
      </c>
      <c r="H255" s="281">
        <f t="shared" ref="H255:H262" si="11">+G255</f>
        <v>17160.71428571429</v>
      </c>
    </row>
    <row r="256" spans="2:10" x14ac:dyDescent="0.25">
      <c r="B256" s="654" t="s">
        <v>670</v>
      </c>
      <c r="C256" s="655"/>
      <c r="D256" s="496" t="s">
        <v>4</v>
      </c>
      <c r="E256" s="451">
        <v>90000</v>
      </c>
      <c r="F256" s="508">
        <f>J256*0.67</f>
        <v>0.42880000000000013</v>
      </c>
      <c r="G256" s="491">
        <f t="shared" si="10"/>
        <v>38592.000000000015</v>
      </c>
      <c r="H256" s="497">
        <f t="shared" si="11"/>
        <v>38592.000000000015</v>
      </c>
      <c r="J256" s="257">
        <f>1.6*1.6*0.25</f>
        <v>0.64000000000000012</v>
      </c>
    </row>
    <row r="257" spans="2:8" x14ac:dyDescent="0.25">
      <c r="B257" s="654" t="s">
        <v>671</v>
      </c>
      <c r="C257" s="655"/>
      <c r="D257" s="496" t="s">
        <v>4</v>
      </c>
      <c r="E257" s="451">
        <v>55000</v>
      </c>
      <c r="F257" s="508">
        <f>J256*0.67</f>
        <v>0.42880000000000013</v>
      </c>
      <c r="G257" s="491">
        <f t="shared" si="10"/>
        <v>23584.000000000007</v>
      </c>
      <c r="H257" s="497">
        <f t="shared" si="11"/>
        <v>23584.000000000007</v>
      </c>
    </row>
    <row r="258" spans="2:8" x14ac:dyDescent="0.25">
      <c r="B258" s="654" t="s">
        <v>523</v>
      </c>
      <c r="C258" s="655"/>
      <c r="D258" s="496" t="s">
        <v>72</v>
      </c>
      <c r="E258" s="451">
        <v>32000</v>
      </c>
      <c r="F258" s="457">
        <f>+(J256*420)/50</f>
        <v>5.3760000000000012</v>
      </c>
      <c r="G258" s="491">
        <f t="shared" si="10"/>
        <v>172032.00000000003</v>
      </c>
      <c r="H258" s="497">
        <f t="shared" si="11"/>
        <v>172032.00000000003</v>
      </c>
    </row>
    <row r="259" spans="2:8" x14ac:dyDescent="0.25">
      <c r="B259" s="654" t="s">
        <v>524</v>
      </c>
      <c r="C259" s="655"/>
      <c r="D259" s="496" t="s">
        <v>499</v>
      </c>
      <c r="E259" s="451">
        <v>150</v>
      </c>
      <c r="F259" s="457">
        <f>J256*250</f>
        <v>160.00000000000003</v>
      </c>
      <c r="G259" s="491">
        <f t="shared" si="10"/>
        <v>24000.000000000004</v>
      </c>
      <c r="H259" s="497">
        <f t="shared" si="11"/>
        <v>24000.000000000004</v>
      </c>
    </row>
    <row r="260" spans="2:8" x14ac:dyDescent="0.25">
      <c r="B260" s="654" t="s">
        <v>672</v>
      </c>
      <c r="C260" s="655"/>
      <c r="D260" s="496" t="s">
        <v>44</v>
      </c>
      <c r="E260" s="451">
        <v>9500</v>
      </c>
      <c r="F260" s="457">
        <v>0.25</v>
      </c>
      <c r="G260" s="491">
        <f t="shared" si="10"/>
        <v>2375</v>
      </c>
      <c r="H260" s="497">
        <f t="shared" si="11"/>
        <v>2375</v>
      </c>
    </row>
    <row r="261" spans="2:8" x14ac:dyDescent="0.25">
      <c r="B261" s="654" t="s">
        <v>675</v>
      </c>
      <c r="C261" s="655"/>
      <c r="D261" s="496" t="s">
        <v>676</v>
      </c>
      <c r="E261" s="451">
        <v>12000</v>
      </c>
      <c r="F261" s="457">
        <v>1</v>
      </c>
      <c r="G261" s="491">
        <f t="shared" si="10"/>
        <v>12000</v>
      </c>
      <c r="H261" s="497">
        <f t="shared" si="11"/>
        <v>12000</v>
      </c>
    </row>
    <row r="262" spans="2:8" x14ac:dyDescent="0.25">
      <c r="B262" s="654" t="s">
        <v>677</v>
      </c>
      <c r="C262" s="655"/>
      <c r="D262" s="498" t="s">
        <v>44</v>
      </c>
      <c r="E262" s="493">
        <v>13500</v>
      </c>
      <c r="F262" s="457">
        <v>0.2</v>
      </c>
      <c r="G262" s="491">
        <f t="shared" si="10"/>
        <v>2700</v>
      </c>
      <c r="H262" s="497">
        <f t="shared" si="11"/>
        <v>2700</v>
      </c>
    </row>
    <row r="263" spans="2:8" x14ac:dyDescent="0.25">
      <c r="B263" s="654" t="s">
        <v>631</v>
      </c>
      <c r="C263" s="655"/>
      <c r="D263" s="498" t="s">
        <v>501</v>
      </c>
      <c r="E263" s="494">
        <f>+SUM(G256:G262)</f>
        <v>275283.00000000006</v>
      </c>
      <c r="F263" s="495">
        <v>0.05</v>
      </c>
      <c r="G263" s="499"/>
      <c r="H263" s="500">
        <f>E263*F263</f>
        <v>13764.150000000003</v>
      </c>
    </row>
    <row r="264" spans="2:8" x14ac:dyDescent="0.25">
      <c r="B264" s="596"/>
      <c r="C264" s="597"/>
      <c r="D264" s="285"/>
      <c r="E264" s="286"/>
      <c r="F264" s="289"/>
      <c r="G264" s="287"/>
      <c r="H264" s="288"/>
    </row>
    <row r="265" spans="2:8" x14ac:dyDescent="0.25">
      <c r="B265" s="305"/>
      <c r="C265" s="266"/>
      <c r="D265" s="266"/>
      <c r="E265" s="266"/>
      <c r="F265" s="308"/>
      <c r="G265" s="306" t="s">
        <v>25</v>
      </c>
      <c r="H265" s="312">
        <f>SUM(H256:H264)</f>
        <v>289047.15000000008</v>
      </c>
    </row>
    <row r="266" spans="2:8" x14ac:dyDescent="0.25">
      <c r="B266" s="214" t="s">
        <v>30</v>
      </c>
      <c r="C266" s="266"/>
      <c r="D266" s="266"/>
      <c r="E266" s="266"/>
      <c r="F266" s="308"/>
      <c r="G266" s="308"/>
      <c r="H266" s="304"/>
    </row>
    <row r="267" spans="2:8" x14ac:dyDescent="0.25">
      <c r="B267" s="560" t="s">
        <v>20</v>
      </c>
      <c r="C267" s="561"/>
      <c r="D267" s="297" t="s">
        <v>21</v>
      </c>
      <c r="E267" s="297" t="s">
        <v>127</v>
      </c>
      <c r="F267" s="298" t="s">
        <v>32</v>
      </c>
      <c r="G267" s="297" t="s">
        <v>24</v>
      </c>
      <c r="H267" s="313" t="s">
        <v>481</v>
      </c>
    </row>
    <row r="268" spans="2:8" x14ac:dyDescent="0.25">
      <c r="B268" s="598"/>
      <c r="C268" s="599"/>
      <c r="D268" s="314"/>
      <c r="E268" s="315"/>
      <c r="F268" s="274"/>
      <c r="G268" s="274"/>
      <c r="H268" s="304"/>
    </row>
    <row r="269" spans="2:8" x14ac:dyDescent="0.25">
      <c r="B269" s="598"/>
      <c r="C269" s="599"/>
      <c r="D269" s="314"/>
      <c r="E269" s="316"/>
      <c r="F269" s="317"/>
      <c r="G269" s="316"/>
      <c r="H269" s="318"/>
    </row>
    <row r="270" spans="2:8" x14ac:dyDescent="0.25">
      <c r="B270" s="305"/>
      <c r="C270" s="266"/>
      <c r="D270" s="266"/>
      <c r="E270" s="266"/>
      <c r="F270" s="296"/>
      <c r="G270" s="306" t="s">
        <v>25</v>
      </c>
      <c r="H270" s="319">
        <f>SUM(H268:H269)</f>
        <v>0</v>
      </c>
    </row>
    <row r="271" spans="2:8" x14ac:dyDescent="0.25">
      <c r="B271" s="214" t="s">
        <v>34</v>
      </c>
      <c r="C271" s="266"/>
      <c r="D271" s="266"/>
      <c r="E271" s="266"/>
      <c r="F271" s="296"/>
      <c r="G271" s="308"/>
      <c r="H271" s="320"/>
    </row>
    <row r="272" spans="2:8" x14ac:dyDescent="0.25">
      <c r="B272" s="321" t="s">
        <v>35</v>
      </c>
      <c r="C272" s="321" t="s">
        <v>29</v>
      </c>
      <c r="D272" s="321" t="s">
        <v>36</v>
      </c>
      <c r="E272" s="321" t="s">
        <v>37</v>
      </c>
      <c r="F272" s="322" t="s">
        <v>38</v>
      </c>
      <c r="G272" s="323" t="s">
        <v>23</v>
      </c>
      <c r="H272" s="324" t="s">
        <v>24</v>
      </c>
    </row>
    <row r="273" spans="2:8" x14ac:dyDescent="0.25">
      <c r="B273" s="288" t="s">
        <v>39</v>
      </c>
      <c r="C273" s="316">
        <v>1</v>
      </c>
      <c r="D273" s="325">
        <f>+D216</f>
        <v>93381.6</v>
      </c>
      <c r="E273" s="326">
        <v>1.8344</v>
      </c>
      <c r="F273" s="327">
        <f>+D273*C273*E273</f>
        <v>171299.20704000001</v>
      </c>
      <c r="G273" s="316">
        <v>2</v>
      </c>
      <c r="H273" s="274">
        <f>F273/G273</f>
        <v>85649.603520000004</v>
      </c>
    </row>
    <row r="274" spans="2:8" x14ac:dyDescent="0.25">
      <c r="B274" s="288" t="s">
        <v>496</v>
      </c>
      <c r="C274" s="316">
        <v>2</v>
      </c>
      <c r="D274" s="325">
        <f>+D217</f>
        <v>58363.5</v>
      </c>
      <c r="E274" s="326">
        <v>1.8344</v>
      </c>
      <c r="F274" s="327">
        <f>+D274*C274*E274</f>
        <v>214124.00880000001</v>
      </c>
      <c r="G274" s="316">
        <v>2</v>
      </c>
      <c r="H274" s="274">
        <f>+F274/G274</f>
        <v>107062.00440000001</v>
      </c>
    </row>
    <row r="275" spans="2:8" x14ac:dyDescent="0.25">
      <c r="B275" s="288"/>
      <c r="C275" s="288"/>
      <c r="D275" s="317"/>
      <c r="E275" s="288"/>
      <c r="F275" s="317"/>
      <c r="G275" s="288"/>
      <c r="H275" s="327"/>
    </row>
    <row r="276" spans="2:8" x14ac:dyDescent="0.25">
      <c r="B276" s="305"/>
      <c r="C276" s="266"/>
      <c r="D276" s="266"/>
      <c r="E276" s="266"/>
      <c r="F276" s="296"/>
      <c r="G276" s="306" t="s">
        <v>25</v>
      </c>
      <c r="H276" s="328">
        <f>+SUM(H273:H275)</f>
        <v>192711.60792000001</v>
      </c>
    </row>
    <row r="277" spans="2:8" x14ac:dyDescent="0.25">
      <c r="B277" s="305"/>
      <c r="C277" s="266"/>
      <c r="D277" s="266"/>
      <c r="E277" s="266"/>
      <c r="F277" s="296"/>
      <c r="G277" s="449"/>
      <c r="H277" s="320"/>
    </row>
    <row r="278" spans="2:8" x14ac:dyDescent="0.25">
      <c r="B278" s="265"/>
      <c r="C278" s="266"/>
      <c r="D278" s="648" t="s">
        <v>41</v>
      </c>
      <c r="E278" s="648"/>
      <c r="F278" s="648"/>
      <c r="G278" s="649"/>
      <c r="H278" s="254">
        <f>+H251+H265+H270+H276</f>
        <v>504363.25204533339</v>
      </c>
    </row>
    <row r="279" spans="2:8" x14ac:dyDescent="0.25">
      <c r="B279" s="265"/>
      <c r="C279" s="501" t="s">
        <v>645</v>
      </c>
      <c r="D279" s="502"/>
      <c r="E279" s="502"/>
      <c r="F279" s="502"/>
      <c r="G279" s="255"/>
      <c r="H279" s="488"/>
    </row>
    <row r="280" spans="2:8" x14ac:dyDescent="0.25">
      <c r="B280" s="265"/>
      <c r="C280" s="501"/>
      <c r="D280" s="502"/>
      <c r="E280" s="502"/>
      <c r="F280" s="502"/>
      <c r="G280" s="255"/>
      <c r="H280" s="219"/>
    </row>
    <row r="281" spans="2:8" x14ac:dyDescent="0.25">
      <c r="B281" s="265"/>
      <c r="C281" s="501"/>
      <c r="D281" s="502"/>
      <c r="E281" s="502"/>
      <c r="F281" s="502"/>
      <c r="G281" s="255"/>
      <c r="H281" s="219"/>
    </row>
    <row r="282" spans="2:8" x14ac:dyDescent="0.25">
      <c r="B282" s="265"/>
      <c r="C282" s="503" t="s">
        <v>643</v>
      </c>
      <c r="D282" s="504"/>
      <c r="E282" s="502"/>
      <c r="F282" s="502"/>
      <c r="G282" s="255"/>
      <c r="H282" s="219"/>
    </row>
    <row r="283" spans="2:8" x14ac:dyDescent="0.25">
      <c r="B283" s="265"/>
      <c r="C283" s="505" t="s">
        <v>590</v>
      </c>
      <c r="D283" s="504"/>
      <c r="E283" s="506"/>
      <c r="F283" s="506"/>
      <c r="G283" s="255"/>
      <c r="H283" s="219"/>
    </row>
    <row r="284" spans="2:8" x14ac:dyDescent="0.25">
      <c r="B284" s="265"/>
      <c r="C284" s="505" t="s">
        <v>591</v>
      </c>
      <c r="D284" s="504"/>
      <c r="E284" s="506"/>
      <c r="F284" s="506"/>
      <c r="G284" s="255"/>
      <c r="H284" s="219"/>
    </row>
    <row r="285" spans="2:8" x14ac:dyDescent="0.25">
      <c r="B285" s="265"/>
      <c r="C285" s="505" t="s">
        <v>644</v>
      </c>
      <c r="D285" s="504"/>
      <c r="E285" s="506"/>
      <c r="F285" s="506"/>
      <c r="G285" s="255"/>
      <c r="H285" s="219"/>
    </row>
    <row r="286" spans="2:8" x14ac:dyDescent="0.25">
      <c r="B286" s="265"/>
      <c r="C286" s="266"/>
      <c r="D286" s="255"/>
      <c r="E286" s="255"/>
      <c r="F286" s="255"/>
      <c r="G286" s="255"/>
      <c r="H286" s="219"/>
    </row>
    <row r="287" spans="2:8" x14ac:dyDescent="0.25">
      <c r="B287" s="267"/>
      <c r="C287" s="268"/>
      <c r="D287" s="259"/>
      <c r="E287" s="259"/>
      <c r="F287" s="259"/>
      <c r="G287" s="259"/>
      <c r="H287" s="260"/>
    </row>
  </sheetData>
  <mergeCells count="107">
    <mergeCell ref="B247:C247"/>
    <mergeCell ref="B248:C248"/>
    <mergeCell ref="B249:C249"/>
    <mergeCell ref="B250:C250"/>
    <mergeCell ref="B261:C261"/>
    <mergeCell ref="B262:C262"/>
    <mergeCell ref="B253:C253"/>
    <mergeCell ref="B255:C255"/>
    <mergeCell ref="B256:C256"/>
    <mergeCell ref="B257:C257"/>
    <mergeCell ref="B260:C260"/>
    <mergeCell ref="B258:C258"/>
    <mergeCell ref="B259:C259"/>
    <mergeCell ref="B203:C203"/>
    <mergeCell ref="B204:C204"/>
    <mergeCell ref="B238:H238"/>
    <mergeCell ref="B239:H241"/>
    <mergeCell ref="B242:F244"/>
    <mergeCell ref="G242:H244"/>
    <mergeCell ref="B205:C205"/>
    <mergeCell ref="B206:C206"/>
    <mergeCell ref="B207:C207"/>
    <mergeCell ref="B210:C210"/>
    <mergeCell ref="B211:C211"/>
    <mergeCell ref="B212:C212"/>
    <mergeCell ref="D221:G221"/>
    <mergeCell ref="B191:C191"/>
    <mergeCell ref="B192:C192"/>
    <mergeCell ref="B193:C193"/>
    <mergeCell ref="B194:C194"/>
    <mergeCell ref="B197:C197"/>
    <mergeCell ref="B198:C198"/>
    <mergeCell ref="B199:C199"/>
    <mergeCell ref="B202:C202"/>
    <mergeCell ref="B200:C200"/>
    <mergeCell ref="B201:C201"/>
    <mergeCell ref="B143:C143"/>
    <mergeCell ref="B144:C144"/>
    <mergeCell ref="B182:H182"/>
    <mergeCell ref="B183:H185"/>
    <mergeCell ref="B186:F188"/>
    <mergeCell ref="G186:H188"/>
    <mergeCell ref="B145:C145"/>
    <mergeCell ref="B146:C146"/>
    <mergeCell ref="B147:C147"/>
    <mergeCell ref="B150:C150"/>
    <mergeCell ref="B151:C151"/>
    <mergeCell ref="B152:C152"/>
    <mergeCell ref="D161:G161"/>
    <mergeCell ref="B130:C130"/>
    <mergeCell ref="B131:C131"/>
    <mergeCell ref="B132:C132"/>
    <mergeCell ref="B133:C133"/>
    <mergeCell ref="B136:C136"/>
    <mergeCell ref="B137:C137"/>
    <mergeCell ref="B139:C139"/>
    <mergeCell ref="B142:C142"/>
    <mergeCell ref="B140:C140"/>
    <mergeCell ref="B141:C141"/>
    <mergeCell ref="B81:C81"/>
    <mergeCell ref="B82:C82"/>
    <mergeCell ref="B80:C80"/>
    <mergeCell ref="B83:C83"/>
    <mergeCell ref="B121:H121"/>
    <mergeCell ref="B122:H124"/>
    <mergeCell ref="B125:F127"/>
    <mergeCell ref="G125:H127"/>
    <mergeCell ref="B84:C84"/>
    <mergeCell ref="B87:C87"/>
    <mergeCell ref="B88:C88"/>
    <mergeCell ref="B89:C89"/>
    <mergeCell ref="D98:G98"/>
    <mergeCell ref="B25:C25"/>
    <mergeCell ref="B8:H8"/>
    <mergeCell ref="B9:H11"/>
    <mergeCell ref="B12:F14"/>
    <mergeCell ref="G12:H14"/>
    <mergeCell ref="B17:C17"/>
    <mergeCell ref="B18:C18"/>
    <mergeCell ref="B19:C19"/>
    <mergeCell ref="B20:C20"/>
    <mergeCell ref="B23:C23"/>
    <mergeCell ref="B24:C24"/>
    <mergeCell ref="D278:G278"/>
    <mergeCell ref="B254:C254"/>
    <mergeCell ref="B263:C263"/>
    <mergeCell ref="B264:C264"/>
    <mergeCell ref="B267:C267"/>
    <mergeCell ref="B268:C268"/>
    <mergeCell ref="B269:C269"/>
    <mergeCell ref="B26:C26"/>
    <mergeCell ref="B29:C29"/>
    <mergeCell ref="B30:C30"/>
    <mergeCell ref="B31:C31"/>
    <mergeCell ref="B79:C79"/>
    <mergeCell ref="B60:H60"/>
    <mergeCell ref="B61:H63"/>
    <mergeCell ref="B64:F66"/>
    <mergeCell ref="G64:H66"/>
    <mergeCell ref="B69:C69"/>
    <mergeCell ref="B70:C70"/>
    <mergeCell ref="B71:C71"/>
    <mergeCell ref="B72:C72"/>
    <mergeCell ref="B75:C75"/>
    <mergeCell ref="B76:C76"/>
    <mergeCell ref="B77:C77"/>
    <mergeCell ref="B78:C78"/>
  </mergeCells>
  <dataValidations disablePrompts="1" count="1">
    <dataValidation type="list" allowBlank="1" showInputMessage="1" showErrorMessage="1" sqref="B26:C26 B84:C84 B147:C147 B207:C207 B264:C264" xr:uid="{68D7DB84-FDE5-4787-87BF-F10F23A8BC69}">
      <formula1>#REF!</formula1>
    </dataValidation>
  </dataValidations>
  <pageMargins left="0.70866141732283472" right="0.70866141732283472" top="0.74803149606299213" bottom="0.74803149606299213" header="0.31496062992125984" footer="0.31496062992125984"/>
  <pageSetup scale="16" orientation="portrait" r:id="rId1"/>
  <ignoredErrors>
    <ignoredError sqref="G192:H192 H217 H219 H221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EF350C2A-56C5-4E6D-974A-A8C8B6AC5758}">
          <x14:formula1>
            <xm:f>MATERIALES!$B$5:$B$146</xm:f>
          </x14:formula1>
          <xm:sqref>B24:C25</xm:sqref>
        </x14:dataValidation>
        <x14:dataValidation type="list" allowBlank="1" showInputMessage="1" showErrorMessage="1" xr:uid="{207CC113-CEBF-4284-99A7-67342808BECF}">
          <x14:formula1>
            <xm:f>EQUIPOS!$B$6:$B$25</xm:f>
          </x14:formula1>
          <xm:sqref>B19:C19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ABEAE-90E4-49E3-99A1-C760870D5C1A}">
  <sheetPr>
    <tabColor rgb="FF00B0F0"/>
    <pageSetUpPr fitToPage="1"/>
  </sheetPr>
  <dimension ref="B5:L273"/>
  <sheetViews>
    <sheetView showGridLines="0" topLeftCell="A206" zoomScale="81" zoomScaleNormal="77" workbookViewId="0">
      <selection activeCell="C239" sqref="C239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7.3320312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ht="14.25" customHeight="1" x14ac:dyDescent="0.25">
      <c r="B9" s="569" t="str">
        <f>+PRESUPUESTO!B1</f>
        <v>MANTENIMIENTO Y ADECUACIÓN DE INSTITUCIONES EDUCATIVAS OFICIALES, DEL MUNICIPIO DE LA APARTADA CORDOBA.</v>
      </c>
      <c r="C9" s="570"/>
      <c r="D9" s="570"/>
      <c r="E9" s="570"/>
      <c r="F9" s="570"/>
      <c r="G9" s="570"/>
      <c r="H9" s="571"/>
    </row>
    <row r="10" spans="2:11" ht="14.25" customHeight="1" x14ac:dyDescent="0.25">
      <c r="B10" s="572"/>
      <c r="C10" s="573"/>
      <c r="D10" s="573"/>
      <c r="E10" s="573"/>
      <c r="F10" s="573"/>
      <c r="G10" s="573"/>
      <c r="H10" s="574"/>
    </row>
    <row r="11" spans="2:11" ht="14.25" customHeight="1" x14ac:dyDescent="0.25">
      <c r="B11" s="575"/>
      <c r="C11" s="576"/>
      <c r="D11" s="576"/>
      <c r="E11" s="576"/>
      <c r="F11" s="576"/>
      <c r="G11" s="576"/>
      <c r="H11" s="577"/>
    </row>
    <row r="12" spans="2:11" x14ac:dyDescent="0.25">
      <c r="B12" s="578" t="str">
        <f>+PRESUPUESTO!C58</f>
        <v>S/I DE CONEXIONES ELECTRICAS PARA EQUIPOS DE COMPUTO, INCLUYE TODOS LOS MATERIALES NECESARIOS PARA SU CORRECTA INSTALACIÓN Y FUNCIONAMIENTO.</v>
      </c>
      <c r="C12" s="579"/>
      <c r="D12" s="579"/>
      <c r="E12" s="579"/>
      <c r="F12" s="580"/>
      <c r="G12" s="587" t="s">
        <v>508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  <c r="J13" s="257" t="s">
        <v>504</v>
      </c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518" t="s">
        <v>0</v>
      </c>
      <c r="C15" s="515">
        <f>+PRESUPUESTO!B58</f>
        <v>7.1</v>
      </c>
      <c r="D15" s="516"/>
      <c r="E15" s="516"/>
      <c r="F15" s="516"/>
      <c r="G15" s="516"/>
      <c r="H15" s="517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12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12" x14ac:dyDescent="0.25">
      <c r="B18" s="562" t="s">
        <v>8</v>
      </c>
      <c r="C18" s="563"/>
      <c r="D18" s="301"/>
      <c r="E18" s="302"/>
      <c r="F18" s="303">
        <v>0.1</v>
      </c>
      <c r="G18" s="287">
        <f>+H50</f>
        <v>72625.501099999994</v>
      </c>
      <c r="H18" s="304">
        <f>+F18*G18</f>
        <v>7262.5501100000001</v>
      </c>
    </row>
    <row r="19" spans="2:12" x14ac:dyDescent="0.25">
      <c r="B19" s="600"/>
      <c r="C19" s="601"/>
      <c r="D19" s="301"/>
      <c r="E19" s="302"/>
      <c r="F19" s="289"/>
      <c r="G19" s="287"/>
      <c r="H19" s="304"/>
    </row>
    <row r="20" spans="2:12" x14ac:dyDescent="0.25">
      <c r="B20" s="562"/>
      <c r="C20" s="563"/>
      <c r="D20" s="301"/>
      <c r="E20" s="302"/>
      <c r="F20" s="289"/>
      <c r="G20" s="287"/>
      <c r="H20" s="304"/>
    </row>
    <row r="21" spans="2:12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7262.5501100000001</v>
      </c>
    </row>
    <row r="22" spans="2:12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12" x14ac:dyDescent="0.25">
      <c r="B23" s="560" t="s">
        <v>20</v>
      </c>
      <c r="C23" s="561"/>
      <c r="D23" s="297" t="s">
        <v>27</v>
      </c>
      <c r="E23" s="297" t="s">
        <v>29</v>
      </c>
      <c r="F23" s="298" t="s">
        <v>598</v>
      </c>
      <c r="G23" s="299" t="s">
        <v>597</v>
      </c>
      <c r="H23" s="310" t="s">
        <v>482</v>
      </c>
    </row>
    <row r="24" spans="2:12" ht="18" customHeight="1" x14ac:dyDescent="0.25">
      <c r="B24" s="564" t="s">
        <v>681</v>
      </c>
      <c r="C24" s="565"/>
      <c r="D24" s="277" t="s">
        <v>72</v>
      </c>
      <c r="E24" s="277">
        <f>12/20</f>
        <v>0.6</v>
      </c>
      <c r="F24" s="279">
        <v>134000</v>
      </c>
      <c r="G24" s="509">
        <f>+E24*F24</f>
        <v>80400</v>
      </c>
      <c r="H24" s="510">
        <f>+G24</f>
        <v>80400</v>
      </c>
    </row>
    <row r="25" spans="2:12" ht="21.75" customHeight="1" x14ac:dyDescent="0.25">
      <c r="B25" s="564" t="s">
        <v>687</v>
      </c>
      <c r="C25" s="565"/>
      <c r="D25" s="277" t="s">
        <v>72</v>
      </c>
      <c r="E25" s="277">
        <f>12/20</f>
        <v>0.6</v>
      </c>
      <c r="F25" s="279">
        <v>20000</v>
      </c>
      <c r="G25" s="509">
        <f t="shared" ref="G25:G37" si="0">+E25*F25</f>
        <v>12000</v>
      </c>
      <c r="H25" s="510">
        <f t="shared" ref="H25:H37" si="1">+G25</f>
        <v>12000</v>
      </c>
    </row>
    <row r="26" spans="2:12" ht="29.25" customHeight="1" x14ac:dyDescent="0.25">
      <c r="B26" s="564" t="s">
        <v>690</v>
      </c>
      <c r="C26" s="565"/>
      <c r="D26" s="277" t="s">
        <v>72</v>
      </c>
      <c r="E26" s="277">
        <f>2/20</f>
        <v>0.1</v>
      </c>
      <c r="F26" s="279">
        <v>280000</v>
      </c>
      <c r="G26" s="509">
        <f t="shared" si="0"/>
        <v>28000</v>
      </c>
      <c r="H26" s="510">
        <f t="shared" si="1"/>
        <v>28000</v>
      </c>
    </row>
    <row r="27" spans="2:12" ht="30.75" customHeight="1" x14ac:dyDescent="0.25">
      <c r="B27" s="564" t="s">
        <v>691</v>
      </c>
      <c r="C27" s="565"/>
      <c r="D27" s="277" t="s">
        <v>72</v>
      </c>
      <c r="E27" s="277">
        <f>1/20</f>
        <v>0.05</v>
      </c>
      <c r="F27" s="279">
        <v>280000</v>
      </c>
      <c r="G27" s="509">
        <f t="shared" si="0"/>
        <v>14000</v>
      </c>
      <c r="H27" s="510">
        <f t="shared" si="1"/>
        <v>14000</v>
      </c>
      <c r="J27" s="257" t="s">
        <v>504</v>
      </c>
    </row>
    <row r="28" spans="2:12" ht="31.5" customHeight="1" x14ac:dyDescent="0.25">
      <c r="B28" s="564" t="s">
        <v>692</v>
      </c>
      <c r="C28" s="565"/>
      <c r="D28" s="277" t="s">
        <v>72</v>
      </c>
      <c r="E28" s="277">
        <f>2/20</f>
        <v>0.1</v>
      </c>
      <c r="F28" s="279">
        <v>280000</v>
      </c>
      <c r="G28" s="509">
        <f t="shared" si="0"/>
        <v>28000</v>
      </c>
      <c r="H28" s="510">
        <f t="shared" si="1"/>
        <v>28000</v>
      </c>
      <c r="L28" s="257" t="s">
        <v>518</v>
      </c>
    </row>
    <row r="29" spans="2:12" ht="30.75" customHeight="1" x14ac:dyDescent="0.25">
      <c r="B29" s="564" t="s">
        <v>693</v>
      </c>
      <c r="C29" s="565"/>
      <c r="D29" s="277" t="s">
        <v>72</v>
      </c>
      <c r="E29" s="277">
        <f t="shared" ref="E29" si="2">1/20</f>
        <v>0.05</v>
      </c>
      <c r="F29" s="279">
        <v>195000</v>
      </c>
      <c r="G29" s="509">
        <f t="shared" si="0"/>
        <v>9750</v>
      </c>
      <c r="H29" s="510">
        <f t="shared" si="1"/>
        <v>9750</v>
      </c>
    </row>
    <row r="30" spans="2:12" ht="16.5" customHeight="1" x14ac:dyDescent="0.25">
      <c r="B30" s="564" t="s">
        <v>688</v>
      </c>
      <c r="C30" s="565"/>
      <c r="D30" s="277" t="s">
        <v>72</v>
      </c>
      <c r="E30" s="277">
        <f>12/20</f>
        <v>0.6</v>
      </c>
      <c r="F30" s="279">
        <v>19900</v>
      </c>
      <c r="G30" s="509">
        <f t="shared" si="0"/>
        <v>11940</v>
      </c>
      <c r="H30" s="510">
        <f t="shared" si="1"/>
        <v>11940</v>
      </c>
    </row>
    <row r="31" spans="2:12" ht="17.25" customHeight="1" x14ac:dyDescent="0.25">
      <c r="B31" s="564" t="s">
        <v>689</v>
      </c>
      <c r="C31" s="565"/>
      <c r="D31" s="277" t="s">
        <v>72</v>
      </c>
      <c r="E31" s="277">
        <f>30/20</f>
        <v>1.5</v>
      </c>
      <c r="F31" s="279">
        <v>1800</v>
      </c>
      <c r="G31" s="509">
        <f t="shared" si="0"/>
        <v>2700</v>
      </c>
      <c r="H31" s="510">
        <f t="shared" si="1"/>
        <v>2700</v>
      </c>
    </row>
    <row r="32" spans="2:12" ht="17.25" customHeight="1" x14ac:dyDescent="0.25">
      <c r="B32" s="564" t="s">
        <v>682</v>
      </c>
      <c r="C32" s="565"/>
      <c r="D32" s="277" t="s">
        <v>72</v>
      </c>
      <c r="E32" s="277">
        <v>1</v>
      </c>
      <c r="F32" s="279">
        <v>12000</v>
      </c>
      <c r="G32" s="509">
        <f t="shared" si="0"/>
        <v>12000</v>
      </c>
      <c r="H32" s="510">
        <f t="shared" si="1"/>
        <v>12000</v>
      </c>
    </row>
    <row r="33" spans="2:9" ht="15" customHeight="1" x14ac:dyDescent="0.25">
      <c r="B33" s="564" t="s">
        <v>683</v>
      </c>
      <c r="C33" s="565"/>
      <c r="D33" s="277" t="s">
        <v>72</v>
      </c>
      <c r="E33" s="277">
        <f>3/20</f>
        <v>0.15</v>
      </c>
      <c r="F33" s="279">
        <v>9000</v>
      </c>
      <c r="G33" s="509">
        <f t="shared" si="0"/>
        <v>1350</v>
      </c>
      <c r="H33" s="510">
        <f t="shared" si="1"/>
        <v>1350</v>
      </c>
    </row>
    <row r="34" spans="2:9" ht="15" customHeight="1" x14ac:dyDescent="0.25">
      <c r="B34" s="564" t="s">
        <v>684</v>
      </c>
      <c r="C34" s="565"/>
      <c r="D34" s="277" t="s">
        <v>72</v>
      </c>
      <c r="E34" s="277">
        <f>22/20</f>
        <v>1.1000000000000001</v>
      </c>
      <c r="F34" s="279">
        <v>6000</v>
      </c>
      <c r="G34" s="509">
        <f t="shared" si="0"/>
        <v>6600.0000000000009</v>
      </c>
      <c r="H34" s="510">
        <f t="shared" si="1"/>
        <v>6600.0000000000009</v>
      </c>
    </row>
    <row r="35" spans="2:9" ht="15" customHeight="1" x14ac:dyDescent="0.25">
      <c r="B35" s="564" t="s">
        <v>685</v>
      </c>
      <c r="C35" s="565"/>
      <c r="D35" s="277" t="s">
        <v>72</v>
      </c>
      <c r="E35" s="277">
        <f>35/20</f>
        <v>1.75</v>
      </c>
      <c r="F35" s="279">
        <v>2200</v>
      </c>
      <c r="G35" s="509">
        <f t="shared" si="0"/>
        <v>3850</v>
      </c>
      <c r="H35" s="510">
        <f t="shared" si="1"/>
        <v>3850</v>
      </c>
    </row>
    <row r="36" spans="2:9" ht="15" customHeight="1" x14ac:dyDescent="0.25">
      <c r="B36" s="564" t="s">
        <v>686</v>
      </c>
      <c r="C36" s="565"/>
      <c r="D36" s="277" t="s">
        <v>72</v>
      </c>
      <c r="E36" s="277">
        <f>25/20</f>
        <v>1.25</v>
      </c>
      <c r="F36" s="279">
        <v>8000</v>
      </c>
      <c r="G36" s="509">
        <f t="shared" si="0"/>
        <v>10000</v>
      </c>
      <c r="H36" s="510">
        <f t="shared" si="1"/>
        <v>10000</v>
      </c>
    </row>
    <row r="37" spans="2:9" ht="15" customHeight="1" x14ac:dyDescent="0.25">
      <c r="B37" s="564" t="s">
        <v>694</v>
      </c>
      <c r="C37" s="565"/>
      <c r="D37" s="277" t="s">
        <v>72</v>
      </c>
      <c r="E37" s="277">
        <f>0.5/20</f>
        <v>2.5000000000000001E-2</v>
      </c>
      <c r="F37" s="279">
        <v>350</v>
      </c>
      <c r="G37" s="509">
        <f t="shared" si="0"/>
        <v>8.75</v>
      </c>
      <c r="H37" s="510">
        <f t="shared" si="1"/>
        <v>8.75</v>
      </c>
    </row>
    <row r="38" spans="2:9" ht="15" customHeight="1" x14ac:dyDescent="0.25">
      <c r="B38" s="656"/>
      <c r="C38" s="657"/>
      <c r="D38" s="332"/>
      <c r="E38" s="332"/>
      <c r="F38" s="333"/>
      <c r="G38" s="330"/>
      <c r="H38" s="332"/>
    </row>
    <row r="39" spans="2:9" x14ac:dyDescent="0.25">
      <c r="B39" s="305"/>
      <c r="C39" s="266"/>
      <c r="D39" s="266"/>
      <c r="E39" s="266"/>
      <c r="F39" s="308"/>
      <c r="G39" s="306" t="s">
        <v>25</v>
      </c>
      <c r="H39" s="511">
        <f>SUM(H24:H38)</f>
        <v>220598.75</v>
      </c>
    </row>
    <row r="40" spans="2:9" x14ac:dyDescent="0.25">
      <c r="B40" s="214" t="s">
        <v>30</v>
      </c>
      <c r="C40" s="266"/>
      <c r="D40" s="266"/>
      <c r="E40" s="266"/>
      <c r="F40" s="308"/>
      <c r="G40" s="308"/>
      <c r="H40" s="304"/>
    </row>
    <row r="41" spans="2:9" x14ac:dyDescent="0.25">
      <c r="B41" s="560" t="s">
        <v>20</v>
      </c>
      <c r="C41" s="561"/>
      <c r="D41" s="297" t="s">
        <v>21</v>
      </c>
      <c r="E41" s="297" t="s">
        <v>127</v>
      </c>
      <c r="F41" s="298" t="s">
        <v>32</v>
      </c>
      <c r="G41" s="297" t="s">
        <v>24</v>
      </c>
      <c r="H41" s="313" t="s">
        <v>481</v>
      </c>
    </row>
    <row r="42" spans="2:9" x14ac:dyDescent="0.25">
      <c r="B42" s="598"/>
      <c r="C42" s="599"/>
      <c r="D42" s="314"/>
      <c r="E42" s="315"/>
      <c r="F42" s="274"/>
      <c r="G42" s="274">
        <f>+E42*F42</f>
        <v>0</v>
      </c>
      <c r="H42" s="304">
        <f>+G42</f>
        <v>0</v>
      </c>
    </row>
    <row r="43" spans="2:9" x14ac:dyDescent="0.25">
      <c r="B43" s="598"/>
      <c r="C43" s="599"/>
      <c r="D43" s="314"/>
      <c r="E43" s="316"/>
      <c r="F43" s="317"/>
      <c r="G43" s="316"/>
      <c r="H43" s="318"/>
    </row>
    <row r="44" spans="2:9" x14ac:dyDescent="0.25">
      <c r="B44" s="305"/>
      <c r="C44" s="266"/>
      <c r="D44" s="266"/>
      <c r="E44" s="266"/>
      <c r="F44" s="296"/>
      <c r="G44" s="306" t="s">
        <v>25</v>
      </c>
      <c r="H44" s="319">
        <f>+H42</f>
        <v>0</v>
      </c>
    </row>
    <row r="45" spans="2:9" x14ac:dyDescent="0.25">
      <c r="B45" s="214" t="s">
        <v>34</v>
      </c>
      <c r="C45" s="266"/>
      <c r="D45" s="266"/>
      <c r="E45" s="266"/>
      <c r="F45" s="296"/>
      <c r="G45" s="308"/>
      <c r="H45" s="320"/>
    </row>
    <row r="46" spans="2:9" x14ac:dyDescent="0.25">
      <c r="B46" s="321" t="s">
        <v>35</v>
      </c>
      <c r="C46" s="321" t="s">
        <v>29</v>
      </c>
      <c r="D46" s="321" t="s">
        <v>36</v>
      </c>
      <c r="E46" s="321" t="s">
        <v>37</v>
      </c>
      <c r="F46" s="322" t="s">
        <v>38</v>
      </c>
      <c r="G46" s="323" t="s">
        <v>23</v>
      </c>
      <c r="H46" s="324" t="s">
        <v>24</v>
      </c>
    </row>
    <row r="47" spans="2:9" x14ac:dyDescent="0.25">
      <c r="B47" s="288" t="s">
        <v>680</v>
      </c>
      <c r="C47" s="316">
        <v>1</v>
      </c>
      <c r="D47" s="325">
        <v>100000</v>
      </c>
      <c r="E47" s="326">
        <v>1.8344</v>
      </c>
      <c r="F47" s="327">
        <f>+D47*C47*E47</f>
        <v>183440</v>
      </c>
      <c r="G47" s="316">
        <v>4</v>
      </c>
      <c r="H47" s="274">
        <f>F47/G47</f>
        <v>45860</v>
      </c>
    </row>
    <row r="48" spans="2:9" x14ac:dyDescent="0.25">
      <c r="B48" s="288" t="s">
        <v>496</v>
      </c>
      <c r="C48" s="316">
        <v>1</v>
      </c>
      <c r="D48" s="325">
        <v>58363.5</v>
      </c>
      <c r="E48" s="326">
        <v>1.8344</v>
      </c>
      <c r="F48" s="327">
        <f>+D48*C48*E48</f>
        <v>107062.00440000001</v>
      </c>
      <c r="G48" s="316">
        <v>4</v>
      </c>
      <c r="H48" s="274">
        <f>+F48/G48</f>
        <v>26765.501100000001</v>
      </c>
      <c r="I48" s="257" t="s">
        <v>497</v>
      </c>
    </row>
    <row r="49" spans="2:11" x14ac:dyDescent="0.25">
      <c r="B49" s="288"/>
      <c r="C49" s="288"/>
      <c r="D49" s="317"/>
      <c r="E49" s="288"/>
      <c r="F49" s="317"/>
      <c r="G49" s="288"/>
      <c r="H49" s="327"/>
    </row>
    <row r="50" spans="2:11" x14ac:dyDescent="0.25">
      <c r="B50" s="305"/>
      <c r="C50" s="266"/>
      <c r="D50" s="266"/>
      <c r="E50" s="266"/>
      <c r="F50" s="296"/>
      <c r="G50" s="306" t="s">
        <v>25</v>
      </c>
      <c r="H50" s="328">
        <f>+SUM(H47:H49)</f>
        <v>72625.501099999994</v>
      </c>
      <c r="J50" s="512"/>
      <c r="K50" s="257" t="s">
        <v>497</v>
      </c>
    </row>
    <row r="51" spans="2:11" x14ac:dyDescent="0.25">
      <c r="B51" s="217"/>
      <c r="C51" s="26"/>
      <c r="D51" s="26"/>
      <c r="E51" s="26"/>
      <c r="F51" s="215"/>
      <c r="G51" s="256"/>
      <c r="H51" s="218"/>
    </row>
    <row r="52" spans="2:11" ht="15.6" x14ac:dyDescent="0.25">
      <c r="B52" s="258"/>
      <c r="C52" s="479" t="s">
        <v>645</v>
      </c>
      <c r="D52" s="477"/>
      <c r="E52" s="477"/>
      <c r="F52" s="477"/>
      <c r="G52" s="469" t="s">
        <v>41</v>
      </c>
      <c r="H52" s="254">
        <f>+H21+H39+H44+H50</f>
        <v>300486.80121000001</v>
      </c>
    </row>
    <row r="53" spans="2:11" ht="15.6" x14ac:dyDescent="0.25">
      <c r="B53" s="258"/>
      <c r="C53" s="479"/>
      <c r="D53" s="477"/>
      <c r="E53" s="477"/>
      <c r="F53" s="477"/>
      <c r="G53" s="255"/>
      <c r="H53" s="219"/>
    </row>
    <row r="54" spans="2:11" ht="15.6" x14ac:dyDescent="0.25">
      <c r="B54" s="258"/>
      <c r="C54" s="479"/>
      <c r="D54" s="477"/>
      <c r="E54" s="477"/>
      <c r="F54" s="477"/>
      <c r="G54" s="255"/>
      <c r="H54" s="219"/>
      <c r="I54" s="257" t="s">
        <v>497</v>
      </c>
    </row>
    <row r="55" spans="2:11" ht="15.6" x14ac:dyDescent="0.25">
      <c r="B55" s="258"/>
      <c r="C55" s="475" t="s">
        <v>643</v>
      </c>
      <c r="D55" s="474"/>
      <c r="E55" s="477"/>
      <c r="F55" s="477"/>
      <c r="G55" s="255"/>
      <c r="H55" s="219"/>
    </row>
    <row r="56" spans="2:11" ht="15" x14ac:dyDescent="0.25">
      <c r="B56" s="262"/>
      <c r="C56" s="200" t="s">
        <v>590</v>
      </c>
      <c r="D56" s="474"/>
      <c r="E56" s="478"/>
      <c r="F56" s="478"/>
      <c r="G56" s="255"/>
      <c r="H56" s="219"/>
    </row>
    <row r="57" spans="2:11" ht="15" x14ac:dyDescent="0.25">
      <c r="B57" s="264"/>
      <c r="C57" s="261" t="s">
        <v>591</v>
      </c>
      <c r="D57" s="474"/>
      <c r="E57" s="478"/>
      <c r="F57" s="478"/>
      <c r="G57" s="255"/>
      <c r="H57" s="219"/>
    </row>
    <row r="58" spans="2:11" ht="15" x14ac:dyDescent="0.25">
      <c r="B58" s="265"/>
      <c r="C58" s="261" t="s">
        <v>644</v>
      </c>
      <c r="D58" s="474"/>
      <c r="E58" s="478"/>
      <c r="F58" s="478"/>
      <c r="G58" s="255"/>
      <c r="H58" s="219"/>
    </row>
    <row r="59" spans="2:11" x14ac:dyDescent="0.25">
      <c r="B59" s="267"/>
      <c r="C59" s="268"/>
      <c r="D59" s="259"/>
      <c r="E59" s="259"/>
      <c r="F59" s="259"/>
      <c r="G59" s="259"/>
      <c r="H59" s="260"/>
    </row>
    <row r="69" spans="2:8" ht="15.6" x14ac:dyDescent="0.25">
      <c r="B69" s="566" t="s">
        <v>320</v>
      </c>
      <c r="C69" s="567"/>
      <c r="D69" s="567"/>
      <c r="E69" s="567"/>
      <c r="F69" s="567"/>
      <c r="G69" s="567"/>
      <c r="H69" s="568"/>
    </row>
    <row r="70" spans="2:8" ht="14.25" customHeight="1" x14ac:dyDescent="0.25">
      <c r="B70" s="569" t="str">
        <f>+PRESUPUESTO!B1</f>
        <v>MANTENIMIENTO Y ADECUACIÓN DE INSTITUCIONES EDUCATIVAS OFICIALES, DEL MUNICIPIO DE LA APARTADA CORDOBA.</v>
      </c>
      <c r="C70" s="638"/>
      <c r="D70" s="638"/>
      <c r="E70" s="638"/>
      <c r="F70" s="638"/>
      <c r="G70" s="638"/>
      <c r="H70" s="639"/>
    </row>
    <row r="71" spans="2:8" x14ac:dyDescent="0.25">
      <c r="B71" s="640"/>
      <c r="C71" s="641"/>
      <c r="D71" s="641"/>
      <c r="E71" s="641"/>
      <c r="F71" s="641"/>
      <c r="G71" s="641"/>
      <c r="H71" s="642"/>
    </row>
    <row r="72" spans="2:8" x14ac:dyDescent="0.25">
      <c r="B72" s="643"/>
      <c r="C72" s="644"/>
      <c r="D72" s="644"/>
      <c r="E72" s="644"/>
      <c r="F72" s="644"/>
      <c r="G72" s="644"/>
      <c r="H72" s="645"/>
    </row>
    <row r="73" spans="2:8" ht="14.25" customHeight="1" x14ac:dyDescent="0.25">
      <c r="B73" s="578" t="str">
        <f>+PRESUPUESTO!C59</f>
        <v>DESMONTE DE CIELO RASO EN LAMINA DE POLIESTIRENO EXPANDIDO, EN MAL ESTADO.</v>
      </c>
      <c r="C73" s="579"/>
      <c r="D73" s="579"/>
      <c r="E73" s="579"/>
      <c r="F73" s="580"/>
      <c r="G73" s="587" t="s">
        <v>646</v>
      </c>
      <c r="H73" s="588"/>
    </row>
    <row r="74" spans="2:8" x14ac:dyDescent="0.25">
      <c r="B74" s="581"/>
      <c r="C74" s="582"/>
      <c r="D74" s="582"/>
      <c r="E74" s="582"/>
      <c r="F74" s="583"/>
      <c r="G74" s="589"/>
      <c r="H74" s="590"/>
    </row>
    <row r="75" spans="2:8" x14ac:dyDescent="0.25">
      <c r="B75" s="584"/>
      <c r="C75" s="585"/>
      <c r="D75" s="585"/>
      <c r="E75" s="585"/>
      <c r="F75" s="586"/>
      <c r="G75" s="591"/>
      <c r="H75" s="592"/>
    </row>
    <row r="76" spans="2:8" x14ac:dyDescent="0.25">
      <c r="B76" s="518" t="s">
        <v>0</v>
      </c>
      <c r="C76" s="515">
        <f>+PRESUPUESTO!B59</f>
        <v>7.2</v>
      </c>
      <c r="D76" s="516"/>
      <c r="E76" s="516"/>
      <c r="F76" s="516"/>
      <c r="G76" s="516"/>
      <c r="H76" s="517"/>
    </row>
    <row r="77" spans="2:8" x14ac:dyDescent="0.25">
      <c r="B77" s="214" t="s">
        <v>19</v>
      </c>
      <c r="C77" s="266"/>
      <c r="D77" s="266"/>
      <c r="E77" s="266"/>
      <c r="F77" s="296"/>
      <c r="G77" s="266"/>
      <c r="H77" s="216"/>
    </row>
    <row r="78" spans="2:8" x14ac:dyDescent="0.25">
      <c r="B78" s="560" t="s">
        <v>20</v>
      </c>
      <c r="C78" s="561"/>
      <c r="D78" s="297" t="s">
        <v>21</v>
      </c>
      <c r="E78" s="297" t="s">
        <v>22</v>
      </c>
      <c r="F78" s="298" t="s">
        <v>23</v>
      </c>
      <c r="G78" s="299" t="s">
        <v>24</v>
      </c>
      <c r="H78" s="300" t="s">
        <v>482</v>
      </c>
    </row>
    <row r="79" spans="2:8" x14ac:dyDescent="0.25">
      <c r="B79" s="562" t="s">
        <v>8</v>
      </c>
      <c r="C79" s="563"/>
      <c r="D79" s="301"/>
      <c r="E79" s="302"/>
      <c r="F79" s="303">
        <v>0.1</v>
      </c>
      <c r="G79" s="287">
        <f>+H99</f>
        <v>11012.091881142856</v>
      </c>
      <c r="H79" s="304">
        <f>+F79*G79</f>
        <v>1101.2091881142858</v>
      </c>
    </row>
    <row r="80" spans="2:8" x14ac:dyDescent="0.25">
      <c r="B80" s="600"/>
      <c r="C80" s="601"/>
      <c r="D80" s="301"/>
      <c r="E80" s="302"/>
      <c r="F80" s="289"/>
      <c r="G80" s="287"/>
      <c r="H80" s="304"/>
    </row>
    <row r="81" spans="2:8" x14ac:dyDescent="0.25">
      <c r="B81" s="562"/>
      <c r="C81" s="563"/>
      <c r="D81" s="301"/>
      <c r="E81" s="302"/>
      <c r="F81" s="289"/>
      <c r="G81" s="287"/>
      <c r="H81" s="304"/>
    </row>
    <row r="82" spans="2:8" x14ac:dyDescent="0.25">
      <c r="B82" s="305"/>
      <c r="C82" s="266"/>
      <c r="D82" s="266"/>
      <c r="E82" s="266"/>
      <c r="F82" s="296"/>
      <c r="G82" s="306" t="s">
        <v>25</v>
      </c>
      <c r="H82" s="307">
        <f>SUM(H79:H81)</f>
        <v>1101.2091881142858</v>
      </c>
    </row>
    <row r="83" spans="2:8" x14ac:dyDescent="0.25">
      <c r="B83" s="214" t="s">
        <v>26</v>
      </c>
      <c r="C83" s="266"/>
      <c r="D83" s="266"/>
      <c r="E83" s="266"/>
      <c r="F83" s="308"/>
      <c r="G83" s="308"/>
      <c r="H83" s="309"/>
    </row>
    <row r="84" spans="2:8" x14ac:dyDescent="0.25">
      <c r="B84" s="560" t="s">
        <v>20</v>
      </c>
      <c r="C84" s="561"/>
      <c r="D84" s="297" t="s">
        <v>27</v>
      </c>
      <c r="E84" s="297" t="s">
        <v>29</v>
      </c>
      <c r="F84" s="298" t="s">
        <v>598</v>
      </c>
      <c r="G84" s="299" t="s">
        <v>597</v>
      </c>
      <c r="H84" s="310" t="s">
        <v>482</v>
      </c>
    </row>
    <row r="85" spans="2:8" x14ac:dyDescent="0.25">
      <c r="B85" s="554"/>
      <c r="C85" s="555"/>
      <c r="D85" s="285"/>
      <c r="E85" s="311"/>
      <c r="F85" s="289"/>
      <c r="G85" s="274"/>
      <c r="H85" s="275"/>
    </row>
    <row r="86" spans="2:8" x14ac:dyDescent="0.25">
      <c r="B86" s="596"/>
      <c r="C86" s="597"/>
      <c r="D86" s="285"/>
      <c r="E86" s="272"/>
      <c r="F86" s="289"/>
      <c r="G86" s="274"/>
      <c r="H86" s="275"/>
    </row>
    <row r="87" spans="2:8" x14ac:dyDescent="0.25">
      <c r="B87" s="596"/>
      <c r="C87" s="597"/>
      <c r="D87" s="285"/>
      <c r="E87" s="286"/>
      <c r="F87" s="303"/>
      <c r="G87" s="287"/>
      <c r="H87" s="275"/>
    </row>
    <row r="88" spans="2:8" x14ac:dyDescent="0.25">
      <c r="B88" s="305"/>
      <c r="C88" s="266"/>
      <c r="D88" s="266"/>
      <c r="E88" s="266"/>
      <c r="F88" s="308"/>
      <c r="G88" s="306" t="s">
        <v>25</v>
      </c>
      <c r="H88" s="312">
        <f>SUM(H85:H87)</f>
        <v>0</v>
      </c>
    </row>
    <row r="89" spans="2:8" x14ac:dyDescent="0.25">
      <c r="B89" s="214" t="s">
        <v>30</v>
      </c>
      <c r="C89" s="266"/>
      <c r="D89" s="266"/>
      <c r="E89" s="266"/>
      <c r="F89" s="308"/>
      <c r="G89" s="308"/>
      <c r="H89" s="304"/>
    </row>
    <row r="90" spans="2:8" x14ac:dyDescent="0.25">
      <c r="B90" s="560" t="s">
        <v>20</v>
      </c>
      <c r="C90" s="561"/>
      <c r="D90" s="297" t="s">
        <v>21</v>
      </c>
      <c r="E90" s="297" t="s">
        <v>127</v>
      </c>
      <c r="F90" s="298" t="s">
        <v>32</v>
      </c>
      <c r="G90" s="297" t="s">
        <v>24</v>
      </c>
      <c r="H90" s="313" t="s">
        <v>481</v>
      </c>
    </row>
    <row r="91" spans="2:8" x14ac:dyDescent="0.25">
      <c r="B91" s="598"/>
      <c r="C91" s="599"/>
      <c r="D91" s="314"/>
      <c r="E91" s="315"/>
      <c r="F91" s="274"/>
      <c r="G91" s="274">
        <f>+E91*F91</f>
        <v>0</v>
      </c>
      <c r="H91" s="304">
        <f>+G91</f>
        <v>0</v>
      </c>
    </row>
    <row r="92" spans="2:8" x14ac:dyDescent="0.25">
      <c r="B92" s="598"/>
      <c r="C92" s="599"/>
      <c r="D92" s="314"/>
      <c r="E92" s="316"/>
      <c r="F92" s="317"/>
      <c r="G92" s="316"/>
      <c r="H92" s="318"/>
    </row>
    <row r="93" spans="2:8" x14ac:dyDescent="0.25">
      <c r="B93" s="305"/>
      <c r="C93" s="266"/>
      <c r="D93" s="266"/>
      <c r="E93" s="266"/>
      <c r="F93" s="296"/>
      <c r="G93" s="306" t="s">
        <v>25</v>
      </c>
      <c r="H93" s="319">
        <f>+H91</f>
        <v>0</v>
      </c>
    </row>
    <row r="94" spans="2:8" x14ac:dyDescent="0.25">
      <c r="B94" s="214" t="s">
        <v>34</v>
      </c>
      <c r="C94" s="266"/>
      <c r="D94" s="266"/>
      <c r="E94" s="266"/>
      <c r="F94" s="296"/>
      <c r="G94" s="308"/>
      <c r="H94" s="320"/>
    </row>
    <row r="95" spans="2:8" x14ac:dyDescent="0.25">
      <c r="B95" s="321" t="s">
        <v>35</v>
      </c>
      <c r="C95" s="321" t="s">
        <v>29</v>
      </c>
      <c r="D95" s="321" t="s">
        <v>36</v>
      </c>
      <c r="E95" s="321" t="s">
        <v>37</v>
      </c>
      <c r="F95" s="322" t="s">
        <v>38</v>
      </c>
      <c r="G95" s="323" t="s">
        <v>23</v>
      </c>
      <c r="H95" s="324" t="s">
        <v>24</v>
      </c>
    </row>
    <row r="96" spans="2:8" x14ac:dyDescent="0.25">
      <c r="B96" s="288" t="s">
        <v>39</v>
      </c>
      <c r="C96" s="316">
        <v>1</v>
      </c>
      <c r="D96" s="325">
        <v>93381.6</v>
      </c>
      <c r="E96" s="326">
        <v>1.8344</v>
      </c>
      <c r="F96" s="327">
        <f>+D96*C96*E96</f>
        <v>171299.20704000001</v>
      </c>
      <c r="G96" s="316">
        <v>35</v>
      </c>
      <c r="H96" s="274">
        <f>F96/G96</f>
        <v>4894.2630582857146</v>
      </c>
    </row>
    <row r="97" spans="2:8" x14ac:dyDescent="0.25">
      <c r="B97" s="288" t="s">
        <v>496</v>
      </c>
      <c r="C97" s="316">
        <v>2</v>
      </c>
      <c r="D97" s="325">
        <v>58363.5</v>
      </c>
      <c r="E97" s="326">
        <v>1.8344</v>
      </c>
      <c r="F97" s="327">
        <f>+D97*C97*E97</f>
        <v>214124.00880000001</v>
      </c>
      <c r="G97" s="316">
        <v>35</v>
      </c>
      <c r="H97" s="274">
        <f>+F97/G97</f>
        <v>6117.8288228571428</v>
      </c>
    </row>
    <row r="98" spans="2:8" x14ac:dyDescent="0.25">
      <c r="B98" s="288"/>
      <c r="C98" s="288"/>
      <c r="D98" s="317"/>
      <c r="E98" s="288"/>
      <c r="F98" s="317"/>
      <c r="G98" s="288"/>
      <c r="H98" s="327"/>
    </row>
    <row r="99" spans="2:8" x14ac:dyDescent="0.25">
      <c r="B99" s="305"/>
      <c r="C99" s="266"/>
      <c r="D99" s="266"/>
      <c r="E99" s="266"/>
      <c r="F99" s="296"/>
      <c r="G99" s="306" t="s">
        <v>25</v>
      </c>
      <c r="H99" s="328">
        <f>+SUM(H96:H98)</f>
        <v>11012.091881142856</v>
      </c>
    </row>
    <row r="100" spans="2:8" x14ac:dyDescent="0.25">
      <c r="B100" s="217"/>
      <c r="C100" s="26"/>
      <c r="D100" s="26"/>
      <c r="E100" s="26"/>
      <c r="F100" s="215"/>
      <c r="G100" s="256"/>
      <c r="H100" s="218"/>
    </row>
    <row r="101" spans="2:8" ht="15.6" x14ac:dyDescent="0.25">
      <c r="B101" s="258"/>
      <c r="C101" s="479" t="s">
        <v>645</v>
      </c>
      <c r="D101" s="477"/>
      <c r="E101" s="477"/>
      <c r="F101" s="477"/>
      <c r="G101" s="469" t="s">
        <v>41</v>
      </c>
      <c r="H101" s="254">
        <f>+H82+H88+H93+H99</f>
        <v>12113.301069257142</v>
      </c>
    </row>
    <row r="102" spans="2:8" ht="15.6" x14ac:dyDescent="0.25">
      <c r="B102" s="258"/>
      <c r="C102" s="479"/>
      <c r="D102" s="477"/>
      <c r="E102" s="477"/>
      <c r="F102" s="477"/>
      <c r="G102" s="255"/>
      <c r="H102" s="219"/>
    </row>
    <row r="103" spans="2:8" ht="15.6" x14ac:dyDescent="0.25">
      <c r="B103" s="258"/>
      <c r="C103" s="479"/>
      <c r="D103" s="477"/>
      <c r="E103" s="477"/>
      <c r="F103" s="477"/>
      <c r="G103" s="255"/>
      <c r="H103" s="219"/>
    </row>
    <row r="104" spans="2:8" ht="15.6" x14ac:dyDescent="0.25">
      <c r="B104" s="258"/>
      <c r="C104" s="475" t="s">
        <v>643</v>
      </c>
      <c r="D104" s="474"/>
      <c r="E104" s="477"/>
      <c r="F104" s="477"/>
      <c r="G104" s="255"/>
      <c r="H104" s="219"/>
    </row>
    <row r="105" spans="2:8" ht="15" x14ac:dyDescent="0.25">
      <c r="B105" s="262"/>
      <c r="C105" s="200" t="s">
        <v>590</v>
      </c>
      <c r="D105" s="474"/>
      <c r="E105" s="478"/>
      <c r="F105" s="478"/>
      <c r="G105" s="255"/>
      <c r="H105" s="219"/>
    </row>
    <row r="106" spans="2:8" ht="15" x14ac:dyDescent="0.25">
      <c r="B106" s="264"/>
      <c r="C106" s="261" t="s">
        <v>591</v>
      </c>
      <c r="D106" s="474"/>
      <c r="E106" s="478"/>
      <c r="F106" s="478"/>
      <c r="G106" s="255"/>
      <c r="H106" s="219"/>
    </row>
    <row r="107" spans="2:8" ht="15" x14ac:dyDescent="0.25">
      <c r="B107" s="265"/>
      <c r="C107" s="261" t="s">
        <v>644</v>
      </c>
      <c r="D107" s="474"/>
      <c r="E107" s="478"/>
      <c r="F107" s="478"/>
      <c r="G107" s="255"/>
      <c r="H107" s="219"/>
    </row>
    <row r="108" spans="2:8" x14ac:dyDescent="0.25">
      <c r="B108" s="267"/>
      <c r="C108" s="268"/>
      <c r="D108" s="259"/>
      <c r="E108" s="259"/>
      <c r="F108" s="259"/>
      <c r="G108" s="259"/>
      <c r="H108" s="260"/>
    </row>
    <row r="119" spans="2:8" ht="15.6" x14ac:dyDescent="0.25">
      <c r="B119" s="566" t="s">
        <v>320</v>
      </c>
      <c r="C119" s="567"/>
      <c r="D119" s="567"/>
      <c r="E119" s="567"/>
      <c r="F119" s="567"/>
      <c r="G119" s="567"/>
      <c r="H119" s="568"/>
    </row>
    <row r="120" spans="2:8" ht="14.25" customHeight="1" x14ac:dyDescent="0.25">
      <c r="B120" s="569" t="str">
        <f>+PRESUPUESTO!B1</f>
        <v>MANTENIMIENTO Y ADECUACIÓN DE INSTITUCIONES EDUCATIVAS OFICIALES, DEL MUNICIPIO DE LA APARTADA CORDOBA.</v>
      </c>
      <c r="C120" s="638"/>
      <c r="D120" s="638"/>
      <c r="E120" s="638"/>
      <c r="F120" s="638"/>
      <c r="G120" s="638"/>
      <c r="H120" s="639"/>
    </row>
    <row r="121" spans="2:8" x14ac:dyDescent="0.25">
      <c r="B121" s="640"/>
      <c r="C121" s="641"/>
      <c r="D121" s="641"/>
      <c r="E121" s="641"/>
      <c r="F121" s="641"/>
      <c r="G121" s="641"/>
      <c r="H121" s="642"/>
    </row>
    <row r="122" spans="2:8" x14ac:dyDescent="0.25">
      <c r="B122" s="643"/>
      <c r="C122" s="644"/>
      <c r="D122" s="644"/>
      <c r="E122" s="644"/>
      <c r="F122" s="644"/>
      <c r="G122" s="644"/>
      <c r="H122" s="645"/>
    </row>
    <row r="123" spans="2:8" ht="14.25" customHeight="1" x14ac:dyDescent="0.25">
      <c r="B123" s="578" t="str">
        <f>+PRESUPUESTO!C60</f>
        <v xml:space="preserve">S/I DE CIELO RASO EN LAMINA PVC, EN SALA DE SISTEMAS. </v>
      </c>
      <c r="C123" s="579"/>
      <c r="D123" s="579"/>
      <c r="E123" s="579"/>
      <c r="F123" s="580"/>
      <c r="G123" s="587" t="s">
        <v>606</v>
      </c>
      <c r="H123" s="588"/>
    </row>
    <row r="124" spans="2:8" x14ac:dyDescent="0.25">
      <c r="B124" s="581"/>
      <c r="C124" s="582"/>
      <c r="D124" s="582"/>
      <c r="E124" s="582"/>
      <c r="F124" s="583"/>
      <c r="G124" s="589"/>
      <c r="H124" s="590"/>
    </row>
    <row r="125" spans="2:8" x14ac:dyDescent="0.25">
      <c r="B125" s="584"/>
      <c r="C125" s="585"/>
      <c r="D125" s="585"/>
      <c r="E125" s="585"/>
      <c r="F125" s="586"/>
      <c r="G125" s="591"/>
      <c r="H125" s="592"/>
    </row>
    <row r="126" spans="2:8" x14ac:dyDescent="0.25">
      <c r="B126" s="518" t="s">
        <v>0</v>
      </c>
      <c r="C126" s="515">
        <f>+PRESUPUESTO!B60</f>
        <v>7.3</v>
      </c>
      <c r="D126" s="516"/>
      <c r="E126" s="516"/>
      <c r="F126" s="516"/>
      <c r="G126" s="516"/>
      <c r="H126" s="517"/>
    </row>
    <row r="127" spans="2:8" x14ac:dyDescent="0.25">
      <c r="B127" s="214" t="s">
        <v>19</v>
      </c>
      <c r="C127" s="266"/>
      <c r="D127" s="266"/>
      <c r="E127" s="266"/>
      <c r="F127" s="296"/>
      <c r="G127" s="266"/>
      <c r="H127" s="216"/>
    </row>
    <row r="128" spans="2:8" x14ac:dyDescent="0.25">
      <c r="B128" s="560" t="s">
        <v>20</v>
      </c>
      <c r="C128" s="561"/>
      <c r="D128" s="297" t="s">
        <v>21</v>
      </c>
      <c r="E128" s="297" t="s">
        <v>22</v>
      </c>
      <c r="F128" s="298" t="s">
        <v>23</v>
      </c>
      <c r="G128" s="299" t="s">
        <v>24</v>
      </c>
      <c r="H128" s="300" t="s">
        <v>482</v>
      </c>
    </row>
    <row r="129" spans="2:8" x14ac:dyDescent="0.25">
      <c r="B129" s="646" t="s">
        <v>8</v>
      </c>
      <c r="C129" s="647"/>
      <c r="D129" s="301"/>
      <c r="E129" s="302"/>
      <c r="F129" s="303">
        <v>0.1</v>
      </c>
      <c r="G129" s="287">
        <f>+H157</f>
        <v>17397.575714999999</v>
      </c>
      <c r="H129" s="304">
        <f>+F129*G129</f>
        <v>1739.7575715</v>
      </c>
    </row>
    <row r="130" spans="2:8" x14ac:dyDescent="0.25">
      <c r="B130" s="460" t="s">
        <v>632</v>
      </c>
      <c r="C130" s="461"/>
      <c r="D130" s="301"/>
      <c r="E130" s="427">
        <v>4200</v>
      </c>
      <c r="F130" s="289">
        <v>5</v>
      </c>
      <c r="G130" s="287">
        <f>+E130/F130</f>
        <v>840</v>
      </c>
      <c r="H130" s="304">
        <f>+G130</f>
        <v>840</v>
      </c>
    </row>
    <row r="131" spans="2:8" x14ac:dyDescent="0.25">
      <c r="B131" s="460" t="s">
        <v>633</v>
      </c>
      <c r="C131" s="461"/>
      <c r="D131" s="301"/>
      <c r="E131" s="427">
        <v>4600</v>
      </c>
      <c r="F131" s="289">
        <v>5</v>
      </c>
      <c r="G131" s="287">
        <f>+E131/F131</f>
        <v>920</v>
      </c>
      <c r="H131" s="304">
        <f>+G131</f>
        <v>920</v>
      </c>
    </row>
    <row r="132" spans="2:8" x14ac:dyDescent="0.25">
      <c r="B132" s="305"/>
      <c r="C132" s="266"/>
      <c r="D132" s="266"/>
      <c r="E132" s="266"/>
      <c r="F132" s="296"/>
      <c r="G132" s="306" t="s">
        <v>25</v>
      </c>
      <c r="H132" s="307">
        <f>SUM(H129:H131)</f>
        <v>3499.7575715000003</v>
      </c>
    </row>
    <row r="133" spans="2:8" x14ac:dyDescent="0.25">
      <c r="B133" s="214" t="s">
        <v>26</v>
      </c>
      <c r="C133" s="266"/>
      <c r="D133" s="266"/>
      <c r="E133" s="266"/>
      <c r="F133" s="308"/>
      <c r="G133" s="308"/>
      <c r="H133" s="309"/>
    </row>
    <row r="134" spans="2:8" x14ac:dyDescent="0.25">
      <c r="B134" s="560" t="s">
        <v>20</v>
      </c>
      <c r="C134" s="561"/>
      <c r="D134" s="297" t="s">
        <v>27</v>
      </c>
      <c r="E134" s="297" t="s">
        <v>28</v>
      </c>
      <c r="F134" s="298" t="s">
        <v>29</v>
      </c>
      <c r="G134" s="299" t="s">
        <v>24</v>
      </c>
      <c r="H134" s="310" t="s">
        <v>482</v>
      </c>
    </row>
    <row r="135" spans="2:8" x14ac:dyDescent="0.25">
      <c r="B135" s="554"/>
      <c r="C135" s="555"/>
      <c r="D135" s="271" t="str">
        <f>+IF(B135=0,"",(VLOOKUP(B135,[7]MATERIALES!$B$6:$D$149,3,FALSE)))</f>
        <v/>
      </c>
      <c r="E135" s="272"/>
      <c r="F135" s="273"/>
      <c r="G135" s="274">
        <f t="shared" ref="G135:G144" si="3">E135*F135</f>
        <v>0</v>
      </c>
      <c r="H135" s="275">
        <f>G135</f>
        <v>0</v>
      </c>
    </row>
    <row r="136" spans="2:8" x14ac:dyDescent="0.25">
      <c r="B136" s="556" t="s">
        <v>634</v>
      </c>
      <c r="C136" s="557"/>
      <c r="D136" s="462" t="s">
        <v>1</v>
      </c>
      <c r="E136" s="427">
        <v>3650</v>
      </c>
      <c r="F136" s="463">
        <v>0.35</v>
      </c>
      <c r="G136" s="274">
        <f t="shared" si="3"/>
        <v>1277.5</v>
      </c>
      <c r="H136" s="275">
        <f t="shared" ref="H136:H142" si="4">G136</f>
        <v>1277.5</v>
      </c>
    </row>
    <row r="137" spans="2:8" x14ac:dyDescent="0.25">
      <c r="B137" s="556" t="s">
        <v>635</v>
      </c>
      <c r="C137" s="557"/>
      <c r="D137" s="462" t="s">
        <v>1</v>
      </c>
      <c r="E137" s="427">
        <v>500</v>
      </c>
      <c r="F137" s="463">
        <v>5</v>
      </c>
      <c r="G137" s="274">
        <f t="shared" si="3"/>
        <v>2500</v>
      </c>
      <c r="H137" s="275">
        <f t="shared" si="4"/>
        <v>2500</v>
      </c>
    </row>
    <row r="138" spans="2:8" ht="14.25" customHeight="1" x14ac:dyDescent="0.25">
      <c r="B138" s="564" t="s">
        <v>636</v>
      </c>
      <c r="C138" s="565"/>
      <c r="D138" s="462" t="s">
        <v>1</v>
      </c>
      <c r="E138" s="427">
        <v>5200</v>
      </c>
      <c r="F138" s="463">
        <v>1.8</v>
      </c>
      <c r="G138" s="274">
        <f t="shared" si="3"/>
        <v>9360</v>
      </c>
      <c r="H138" s="275">
        <f t="shared" si="4"/>
        <v>9360</v>
      </c>
    </row>
    <row r="139" spans="2:8" x14ac:dyDescent="0.25">
      <c r="B139" s="410" t="s">
        <v>637</v>
      </c>
      <c r="C139" s="464"/>
      <c r="D139" s="462" t="s">
        <v>332</v>
      </c>
      <c r="E139" s="427">
        <v>15600</v>
      </c>
      <c r="F139" s="463">
        <v>7.0000000000000007E-2</v>
      </c>
      <c r="G139" s="274">
        <f t="shared" si="3"/>
        <v>1092</v>
      </c>
      <c r="H139" s="275">
        <f t="shared" si="4"/>
        <v>1092</v>
      </c>
    </row>
    <row r="140" spans="2:8" x14ac:dyDescent="0.25">
      <c r="B140" s="410" t="s">
        <v>638</v>
      </c>
      <c r="C140" s="464"/>
      <c r="D140" s="462" t="s">
        <v>1</v>
      </c>
      <c r="E140" s="427">
        <v>7900</v>
      </c>
      <c r="F140" s="463">
        <v>0.35</v>
      </c>
      <c r="G140" s="274">
        <f t="shared" si="3"/>
        <v>2765</v>
      </c>
      <c r="H140" s="275">
        <f t="shared" si="4"/>
        <v>2765</v>
      </c>
    </row>
    <row r="141" spans="2:8" x14ac:dyDescent="0.25">
      <c r="B141" s="556" t="s">
        <v>639</v>
      </c>
      <c r="C141" s="557"/>
      <c r="D141" s="462" t="s">
        <v>1</v>
      </c>
      <c r="E141" s="427">
        <f>(79692)/4</f>
        <v>19923</v>
      </c>
      <c r="F141" s="463">
        <v>1.2</v>
      </c>
      <c r="G141" s="274">
        <f t="shared" si="3"/>
        <v>23907.599999999999</v>
      </c>
      <c r="H141" s="275">
        <f t="shared" si="4"/>
        <v>23907.599999999999</v>
      </c>
    </row>
    <row r="142" spans="2:8" x14ac:dyDescent="0.25">
      <c r="B142" s="556" t="s">
        <v>640</v>
      </c>
      <c r="C142" s="557"/>
      <c r="D142" s="462" t="s">
        <v>1</v>
      </c>
      <c r="E142" s="427">
        <v>200</v>
      </c>
      <c r="F142" s="463">
        <v>20</v>
      </c>
      <c r="G142" s="274">
        <f t="shared" si="3"/>
        <v>4000</v>
      </c>
      <c r="H142" s="275">
        <f t="shared" si="4"/>
        <v>4000</v>
      </c>
    </row>
    <row r="143" spans="2:8" x14ac:dyDescent="0.25">
      <c r="B143" s="408"/>
      <c r="C143" s="409"/>
      <c r="D143" s="271"/>
      <c r="E143" s="272"/>
      <c r="F143" s="273"/>
      <c r="G143" s="274"/>
      <c r="H143" s="275"/>
    </row>
    <row r="144" spans="2:8" x14ac:dyDescent="0.25">
      <c r="B144" s="596" t="s">
        <v>605</v>
      </c>
      <c r="C144" s="597"/>
      <c r="D144" s="271" t="s">
        <v>501</v>
      </c>
      <c r="E144" s="272">
        <f>+SUM(G136:G143)</f>
        <v>44902.1</v>
      </c>
      <c r="F144" s="276">
        <v>0.05</v>
      </c>
      <c r="G144" s="274">
        <f t="shared" si="3"/>
        <v>2245.105</v>
      </c>
      <c r="H144" s="275">
        <f>G144</f>
        <v>2245.105</v>
      </c>
    </row>
    <row r="145" spans="2:8" x14ac:dyDescent="0.25">
      <c r="B145" s="596"/>
      <c r="C145" s="597"/>
      <c r="D145" s="285"/>
      <c r="E145" s="286"/>
      <c r="F145" s="289"/>
      <c r="G145" s="287"/>
      <c r="H145" s="288"/>
    </row>
    <row r="146" spans="2:8" x14ac:dyDescent="0.25">
      <c r="B146" s="305"/>
      <c r="C146" s="266"/>
      <c r="D146" s="266"/>
      <c r="E146" s="266"/>
      <c r="F146" s="308"/>
      <c r="G146" s="306" t="s">
        <v>25</v>
      </c>
      <c r="H146" s="312">
        <f>SUM(H135:H145)</f>
        <v>47147.205000000002</v>
      </c>
    </row>
    <row r="147" spans="2:8" x14ac:dyDescent="0.25">
      <c r="B147" s="214" t="s">
        <v>30</v>
      </c>
      <c r="C147" s="266"/>
      <c r="D147" s="266"/>
      <c r="E147" s="266"/>
      <c r="F147" s="308"/>
      <c r="G147" s="308"/>
      <c r="H147" s="304"/>
    </row>
    <row r="148" spans="2:8" x14ac:dyDescent="0.25">
      <c r="B148" s="560" t="s">
        <v>20</v>
      </c>
      <c r="C148" s="561"/>
      <c r="D148" s="297" t="s">
        <v>21</v>
      </c>
      <c r="E148" s="297" t="s">
        <v>127</v>
      </c>
      <c r="F148" s="298" t="s">
        <v>642</v>
      </c>
      <c r="G148" s="297" t="s">
        <v>24</v>
      </c>
      <c r="H148" s="313" t="s">
        <v>481</v>
      </c>
    </row>
    <row r="149" spans="2:8" x14ac:dyDescent="0.25">
      <c r="B149" s="598" t="s">
        <v>641</v>
      </c>
      <c r="C149" s="599"/>
      <c r="D149" s="314" t="s">
        <v>600</v>
      </c>
      <c r="E149" s="315">
        <v>1</v>
      </c>
      <c r="F149" s="274">
        <v>2000</v>
      </c>
      <c r="G149" s="274">
        <f>+E149*F149</f>
        <v>2000</v>
      </c>
      <c r="H149" s="304">
        <f>+G149</f>
        <v>2000</v>
      </c>
    </row>
    <row r="150" spans="2:8" x14ac:dyDescent="0.25">
      <c r="B150" s="598"/>
      <c r="C150" s="599"/>
      <c r="D150" s="314"/>
      <c r="E150" s="316"/>
      <c r="F150" s="317"/>
      <c r="G150" s="316"/>
      <c r="H150" s="318"/>
    </row>
    <row r="151" spans="2:8" x14ac:dyDescent="0.25">
      <c r="B151" s="305"/>
      <c r="C151" s="266"/>
      <c r="D151" s="266"/>
      <c r="E151" s="266"/>
      <c r="F151" s="296"/>
      <c r="G151" s="306" t="s">
        <v>25</v>
      </c>
      <c r="H151" s="319">
        <f>SUM(H149:H150)</f>
        <v>2000</v>
      </c>
    </row>
    <row r="152" spans="2:8" x14ac:dyDescent="0.25">
      <c r="B152" s="214" t="s">
        <v>34</v>
      </c>
      <c r="C152" s="266"/>
      <c r="D152" s="266"/>
      <c r="E152" s="266"/>
      <c r="F152" s="296"/>
      <c r="G152" s="308"/>
      <c r="H152" s="320"/>
    </row>
    <row r="153" spans="2:8" x14ac:dyDescent="0.25">
      <c r="B153" s="321" t="s">
        <v>35</v>
      </c>
      <c r="C153" s="321" t="s">
        <v>29</v>
      </c>
      <c r="D153" s="321" t="s">
        <v>36</v>
      </c>
      <c r="E153" s="321" t="s">
        <v>37</v>
      </c>
      <c r="F153" s="322" t="s">
        <v>38</v>
      </c>
      <c r="G153" s="323" t="s">
        <v>23</v>
      </c>
      <c r="H153" s="324" t="s">
        <v>24</v>
      </c>
    </row>
    <row r="154" spans="2:8" x14ac:dyDescent="0.25">
      <c r="B154" s="288" t="s">
        <v>39</v>
      </c>
      <c r="C154" s="316">
        <v>1</v>
      </c>
      <c r="D154" s="325">
        <f>+D96</f>
        <v>93381.6</v>
      </c>
      <c r="E154" s="326">
        <v>1.8344</v>
      </c>
      <c r="F154" s="327">
        <f>+D154*C154*E154</f>
        <v>171299.20704000001</v>
      </c>
      <c r="G154" s="316">
        <v>16</v>
      </c>
      <c r="H154" s="274">
        <f>F154/G154</f>
        <v>10706.200440000001</v>
      </c>
    </row>
    <row r="155" spans="2:8" x14ac:dyDescent="0.25">
      <c r="B155" s="288" t="s">
        <v>496</v>
      </c>
      <c r="C155" s="316">
        <v>1</v>
      </c>
      <c r="D155" s="325">
        <f>+D97</f>
        <v>58363.5</v>
      </c>
      <c r="E155" s="326">
        <v>1.8344</v>
      </c>
      <c r="F155" s="327">
        <f>+D155*C155*E155</f>
        <v>107062.00440000001</v>
      </c>
      <c r="G155" s="316">
        <v>16</v>
      </c>
      <c r="H155" s="274">
        <f>+F155/G155</f>
        <v>6691.3752750000003</v>
      </c>
    </row>
    <row r="156" spans="2:8" x14ac:dyDescent="0.25">
      <c r="B156" s="288"/>
      <c r="C156" s="288"/>
      <c r="D156" s="317"/>
      <c r="E156" s="288"/>
      <c r="F156" s="317"/>
      <c r="G156" s="288"/>
      <c r="H156" s="327"/>
    </row>
    <row r="157" spans="2:8" x14ac:dyDescent="0.25">
      <c r="B157" s="305"/>
      <c r="C157" s="266"/>
      <c r="D157" s="266"/>
      <c r="E157" s="266"/>
      <c r="F157" s="296"/>
      <c r="G157" s="306" t="s">
        <v>25</v>
      </c>
      <c r="H157" s="328">
        <f>+SUM(H154:H156)</f>
        <v>17397.575714999999</v>
      </c>
    </row>
    <row r="158" spans="2:8" x14ac:dyDescent="0.25">
      <c r="B158" s="305"/>
      <c r="C158" s="266"/>
      <c r="D158" s="266"/>
      <c r="E158" s="266"/>
      <c r="F158" s="296"/>
      <c r="G158" s="449"/>
      <c r="H158" s="320"/>
    </row>
    <row r="159" spans="2:8" ht="15.6" x14ac:dyDescent="0.25">
      <c r="B159" s="258"/>
      <c r="C159" s="479" t="s">
        <v>645</v>
      </c>
      <c r="D159" s="477"/>
      <c r="E159" s="477"/>
      <c r="F159" s="477"/>
      <c r="G159" s="469" t="s">
        <v>41</v>
      </c>
      <c r="H159" s="254">
        <f>+H132+H146+H151+H157</f>
        <v>70044.538286499999</v>
      </c>
    </row>
    <row r="160" spans="2:8" ht="15.6" x14ac:dyDescent="0.25">
      <c r="B160" s="258"/>
      <c r="C160" s="479"/>
      <c r="D160" s="477"/>
      <c r="E160" s="477"/>
      <c r="F160" s="477"/>
      <c r="G160" s="255"/>
      <c r="H160" s="465"/>
    </row>
    <row r="161" spans="2:8" ht="15.6" x14ac:dyDescent="0.25">
      <c r="B161" s="258"/>
      <c r="C161" s="479"/>
      <c r="D161" s="477"/>
      <c r="E161" s="477"/>
      <c r="F161" s="477"/>
      <c r="G161" s="255"/>
      <c r="H161" s="465"/>
    </row>
    <row r="162" spans="2:8" ht="15.6" x14ac:dyDescent="0.25">
      <c r="B162" s="258"/>
      <c r="C162" s="475" t="s">
        <v>643</v>
      </c>
      <c r="D162" s="474"/>
      <c r="E162" s="477"/>
      <c r="F162" s="477"/>
      <c r="G162" s="255"/>
      <c r="H162" s="465"/>
    </row>
    <row r="163" spans="2:8" ht="15" x14ac:dyDescent="0.25">
      <c r="B163" s="262"/>
      <c r="C163" s="200" t="s">
        <v>590</v>
      </c>
      <c r="D163" s="474"/>
      <c r="E163" s="478"/>
      <c r="F163" s="478"/>
      <c r="G163" s="255"/>
      <c r="H163" s="465"/>
    </row>
    <row r="164" spans="2:8" ht="15" x14ac:dyDescent="0.25">
      <c r="B164" s="264"/>
      <c r="C164" s="261" t="s">
        <v>591</v>
      </c>
      <c r="D164" s="474"/>
      <c r="E164" s="478"/>
      <c r="F164" s="478"/>
      <c r="G164" s="255"/>
      <c r="H164" s="465"/>
    </row>
    <row r="165" spans="2:8" ht="15" x14ac:dyDescent="0.25">
      <c r="B165" s="265"/>
      <c r="C165" s="261" t="s">
        <v>644</v>
      </c>
      <c r="D165" s="474"/>
      <c r="E165" s="478"/>
      <c r="F165" s="478"/>
      <c r="G165" s="255"/>
      <c r="H165" s="465"/>
    </row>
    <row r="166" spans="2:8" x14ac:dyDescent="0.25">
      <c r="B166" s="258"/>
      <c r="H166" s="465"/>
    </row>
    <row r="167" spans="2:8" x14ac:dyDescent="0.25">
      <c r="B167" s="466"/>
      <c r="C167" s="467"/>
      <c r="D167" s="467"/>
      <c r="E167" s="467"/>
      <c r="F167" s="467"/>
      <c r="G167" s="467"/>
      <c r="H167" s="468"/>
    </row>
    <row r="183" spans="2:8" ht="15.6" x14ac:dyDescent="0.25">
      <c r="B183" s="566" t="s">
        <v>320</v>
      </c>
      <c r="C183" s="567"/>
      <c r="D183" s="567"/>
      <c r="E183" s="567"/>
      <c r="F183" s="567"/>
      <c r="G183" s="567"/>
      <c r="H183" s="568"/>
    </row>
    <row r="184" spans="2:8" ht="14.25" customHeight="1" x14ac:dyDescent="0.25">
      <c r="B184" s="569" t="str">
        <f>+PRESUPUESTO!B1</f>
        <v>MANTENIMIENTO Y ADECUACIÓN DE INSTITUCIONES EDUCATIVAS OFICIALES, DEL MUNICIPIO DE LA APARTADA CORDOBA.</v>
      </c>
      <c r="C184" s="638"/>
      <c r="D184" s="638"/>
      <c r="E184" s="638"/>
      <c r="F184" s="638"/>
      <c r="G184" s="638"/>
      <c r="H184" s="639"/>
    </row>
    <row r="185" spans="2:8" x14ac:dyDescent="0.25">
      <c r="B185" s="640"/>
      <c r="C185" s="641"/>
      <c r="D185" s="641"/>
      <c r="E185" s="641"/>
      <c r="F185" s="641"/>
      <c r="G185" s="641"/>
      <c r="H185" s="642"/>
    </row>
    <row r="186" spans="2:8" x14ac:dyDescent="0.25">
      <c r="B186" s="643"/>
      <c r="C186" s="644"/>
      <c r="D186" s="644"/>
      <c r="E186" s="644"/>
      <c r="F186" s="644"/>
      <c r="G186" s="644"/>
      <c r="H186" s="645"/>
    </row>
    <row r="187" spans="2:8" ht="14.25" customHeight="1" x14ac:dyDescent="0.25">
      <c r="B187" s="578" t="str">
        <f>+PRESUPUESTO!C61</f>
        <v>PINTURA PARA MUROS INTERIORES LAVABLE</v>
      </c>
      <c r="C187" s="579"/>
      <c r="D187" s="579"/>
      <c r="E187" s="579"/>
      <c r="F187" s="580"/>
      <c r="G187" s="587" t="s">
        <v>606</v>
      </c>
      <c r="H187" s="588"/>
    </row>
    <row r="188" spans="2:8" x14ac:dyDescent="0.25">
      <c r="B188" s="581"/>
      <c r="C188" s="582"/>
      <c r="D188" s="582"/>
      <c r="E188" s="582"/>
      <c r="F188" s="583"/>
      <c r="G188" s="589"/>
      <c r="H188" s="590"/>
    </row>
    <row r="189" spans="2:8" x14ac:dyDescent="0.25">
      <c r="B189" s="584"/>
      <c r="C189" s="585"/>
      <c r="D189" s="585"/>
      <c r="E189" s="585"/>
      <c r="F189" s="586"/>
      <c r="G189" s="591"/>
      <c r="H189" s="592"/>
    </row>
    <row r="190" spans="2:8" x14ac:dyDescent="0.25">
      <c r="B190" s="518" t="s">
        <v>0</v>
      </c>
      <c r="C190" s="515">
        <f>+PRESUPUESTO!B61</f>
        <v>7.4</v>
      </c>
      <c r="D190" s="516"/>
      <c r="E190" s="516"/>
      <c r="F190" s="516"/>
      <c r="G190" s="516"/>
      <c r="H190" s="517"/>
    </row>
    <row r="191" spans="2:8" x14ac:dyDescent="0.25">
      <c r="B191" s="214" t="s">
        <v>19</v>
      </c>
      <c r="C191" s="266"/>
      <c r="D191" s="266"/>
      <c r="E191" s="266"/>
      <c r="F191" s="296"/>
      <c r="G191" s="266"/>
      <c r="H191" s="216"/>
    </row>
    <row r="192" spans="2:8" x14ac:dyDescent="0.25">
      <c r="B192" s="560" t="s">
        <v>20</v>
      </c>
      <c r="C192" s="561"/>
      <c r="D192" s="297" t="s">
        <v>21</v>
      </c>
      <c r="E192" s="297" t="s">
        <v>22</v>
      </c>
      <c r="F192" s="298" t="s">
        <v>23</v>
      </c>
      <c r="G192" s="299" t="s">
        <v>24</v>
      </c>
      <c r="H192" s="300" t="s">
        <v>482</v>
      </c>
    </row>
    <row r="193" spans="2:8" x14ac:dyDescent="0.25">
      <c r="B193" s="562" t="s">
        <v>8</v>
      </c>
      <c r="C193" s="563"/>
      <c r="D193" s="301"/>
      <c r="E193" s="302"/>
      <c r="F193" s="303">
        <v>0.1</v>
      </c>
      <c r="G193" s="287">
        <f>+H213</f>
        <v>2783.6121143999999</v>
      </c>
      <c r="H193" s="304">
        <f>+F193*G193</f>
        <v>278.36121143999998</v>
      </c>
    </row>
    <row r="194" spans="2:8" x14ac:dyDescent="0.25">
      <c r="B194" s="600"/>
      <c r="C194" s="601"/>
      <c r="D194" s="301"/>
      <c r="E194" s="302"/>
      <c r="F194" s="289"/>
      <c r="G194" s="287"/>
      <c r="H194" s="304"/>
    </row>
    <row r="195" spans="2:8" x14ac:dyDescent="0.25">
      <c r="B195" s="562"/>
      <c r="C195" s="563"/>
      <c r="D195" s="301"/>
      <c r="E195" s="302"/>
      <c r="F195" s="289"/>
      <c r="G195" s="287"/>
      <c r="H195" s="304"/>
    </row>
    <row r="196" spans="2:8" x14ac:dyDescent="0.25">
      <c r="B196" s="305"/>
      <c r="C196" s="266"/>
      <c r="D196" s="266"/>
      <c r="E196" s="266"/>
      <c r="F196" s="296"/>
      <c r="G196" s="306" t="s">
        <v>25</v>
      </c>
      <c r="H196" s="307">
        <f>SUM(H193:H195)</f>
        <v>278.36121143999998</v>
      </c>
    </row>
    <row r="197" spans="2:8" x14ac:dyDescent="0.25">
      <c r="B197" s="214" t="s">
        <v>26</v>
      </c>
      <c r="C197" s="266"/>
      <c r="D197" s="266"/>
      <c r="E197" s="266"/>
      <c r="F197" s="308"/>
      <c r="G197" s="308"/>
      <c r="H197" s="309"/>
    </row>
    <row r="198" spans="2:8" x14ac:dyDescent="0.25">
      <c r="B198" s="560" t="s">
        <v>20</v>
      </c>
      <c r="C198" s="561"/>
      <c r="D198" s="297" t="s">
        <v>27</v>
      </c>
      <c r="E198" s="297" t="s">
        <v>28</v>
      </c>
      <c r="F198" s="298" t="s">
        <v>29</v>
      </c>
      <c r="G198" s="299" t="s">
        <v>24</v>
      </c>
      <c r="H198" s="310" t="s">
        <v>482</v>
      </c>
    </row>
    <row r="199" spans="2:8" ht="14.25" customHeight="1" x14ac:dyDescent="0.25">
      <c r="B199" s="554" t="s">
        <v>353</v>
      </c>
      <c r="C199" s="555"/>
      <c r="D199" s="271" t="str">
        <f>+IF(B199=0,"",(VLOOKUP(B199,[7]MATERIALES!$B$6:$D$149,3,FALSE)))</f>
        <v>Galón</v>
      </c>
      <c r="E199" s="272">
        <v>93900</v>
      </c>
      <c r="F199" s="273">
        <v>8.3333333333333329E-2</v>
      </c>
      <c r="G199" s="274">
        <f>E199*F199</f>
        <v>7825</v>
      </c>
      <c r="H199" s="275">
        <f>G199</f>
        <v>7825</v>
      </c>
    </row>
    <row r="200" spans="2:8" x14ac:dyDescent="0.25">
      <c r="B200" s="596"/>
      <c r="C200" s="597"/>
      <c r="D200" s="271"/>
      <c r="E200" s="272"/>
      <c r="F200" s="273"/>
      <c r="G200" s="274"/>
      <c r="H200" s="275"/>
    </row>
    <row r="201" spans="2:8" x14ac:dyDescent="0.25">
      <c r="B201" s="596" t="s">
        <v>628</v>
      </c>
      <c r="C201" s="597"/>
      <c r="D201" s="285" t="s">
        <v>72</v>
      </c>
      <c r="E201" s="286">
        <v>7500</v>
      </c>
      <c r="F201" s="289">
        <v>0.05</v>
      </c>
      <c r="G201" s="274">
        <f>E201*F201</f>
        <v>375</v>
      </c>
      <c r="H201" s="275">
        <f>G201</f>
        <v>375</v>
      </c>
    </row>
    <row r="202" spans="2:8" x14ac:dyDescent="0.25">
      <c r="B202" s="305"/>
      <c r="C202" s="266"/>
      <c r="D202" s="266"/>
      <c r="E202" s="266"/>
      <c r="F202" s="308"/>
      <c r="G202" s="306" t="s">
        <v>25</v>
      </c>
      <c r="H202" s="312">
        <f>SUM(H199:H201)</f>
        <v>8200</v>
      </c>
    </row>
    <row r="203" spans="2:8" x14ac:dyDescent="0.25">
      <c r="B203" s="214" t="s">
        <v>30</v>
      </c>
      <c r="C203" s="266"/>
      <c r="D203" s="266"/>
      <c r="E203" s="266"/>
      <c r="F203" s="308"/>
      <c r="G203" s="308"/>
      <c r="H203" s="304"/>
    </row>
    <row r="204" spans="2:8" x14ac:dyDescent="0.25">
      <c r="B204" s="560" t="s">
        <v>20</v>
      </c>
      <c r="C204" s="561"/>
      <c r="D204" s="297" t="s">
        <v>21</v>
      </c>
      <c r="E204" s="297" t="s">
        <v>127</v>
      </c>
      <c r="F204" s="298" t="s">
        <v>32</v>
      </c>
      <c r="G204" s="297" t="s">
        <v>24</v>
      </c>
      <c r="H204" s="313" t="s">
        <v>481</v>
      </c>
    </row>
    <row r="205" spans="2:8" x14ac:dyDescent="0.25">
      <c r="B205" s="598"/>
      <c r="C205" s="599"/>
      <c r="D205" s="314"/>
      <c r="E205" s="315"/>
      <c r="F205" s="274"/>
      <c r="G205" s="274"/>
      <c r="H205" s="304"/>
    </row>
    <row r="206" spans="2:8" x14ac:dyDescent="0.25">
      <c r="B206" s="598"/>
      <c r="C206" s="599"/>
      <c r="D206" s="314"/>
      <c r="E206" s="316"/>
      <c r="F206" s="317"/>
      <c r="G206" s="316"/>
      <c r="H206" s="318"/>
    </row>
    <row r="207" spans="2:8" x14ac:dyDescent="0.25">
      <c r="B207" s="305"/>
      <c r="C207" s="266"/>
      <c r="D207" s="266"/>
      <c r="E207" s="266"/>
      <c r="F207" s="296"/>
      <c r="G207" s="306" t="s">
        <v>25</v>
      </c>
      <c r="H207" s="319">
        <f>SUM(H205:H206)</f>
        <v>0</v>
      </c>
    </row>
    <row r="208" spans="2:8" x14ac:dyDescent="0.25">
      <c r="B208" s="214" t="s">
        <v>34</v>
      </c>
      <c r="C208" s="266"/>
      <c r="D208" s="266"/>
      <c r="E208" s="266"/>
      <c r="F208" s="296"/>
      <c r="G208" s="308"/>
      <c r="H208" s="320"/>
    </row>
    <row r="209" spans="2:8" x14ac:dyDescent="0.25">
      <c r="B209" s="321" t="s">
        <v>35</v>
      </c>
      <c r="C209" s="321" t="s">
        <v>29</v>
      </c>
      <c r="D209" s="321" t="s">
        <v>36</v>
      </c>
      <c r="E209" s="321" t="s">
        <v>37</v>
      </c>
      <c r="F209" s="322" t="s">
        <v>38</v>
      </c>
      <c r="G209" s="323" t="s">
        <v>23</v>
      </c>
      <c r="H209" s="324" t="s">
        <v>24</v>
      </c>
    </row>
    <row r="210" spans="2:8" x14ac:dyDescent="0.25">
      <c r="B210" s="288" t="s">
        <v>39</v>
      </c>
      <c r="C210" s="316">
        <v>1</v>
      </c>
      <c r="D210" s="325">
        <f>+D154</f>
        <v>93381.6</v>
      </c>
      <c r="E210" s="326">
        <v>1.8344</v>
      </c>
      <c r="F210" s="327">
        <f>+D210*C210*E210</f>
        <v>171299.20704000001</v>
      </c>
      <c r="G210" s="316">
        <v>100</v>
      </c>
      <c r="H210" s="274">
        <f>F210/G210</f>
        <v>1712.9920704000001</v>
      </c>
    </row>
    <row r="211" spans="2:8" x14ac:dyDescent="0.25">
      <c r="B211" s="288" t="s">
        <v>496</v>
      </c>
      <c r="C211" s="316">
        <v>1</v>
      </c>
      <c r="D211" s="325">
        <f>+D155</f>
        <v>58363.5</v>
      </c>
      <c r="E211" s="326">
        <v>1.8344</v>
      </c>
      <c r="F211" s="327">
        <f>+D211*C211*E211</f>
        <v>107062.00440000001</v>
      </c>
      <c r="G211" s="316">
        <v>100</v>
      </c>
      <c r="H211" s="274">
        <f>+F211/G211</f>
        <v>1070.620044</v>
      </c>
    </row>
    <row r="212" spans="2:8" x14ac:dyDescent="0.25">
      <c r="B212" s="288"/>
      <c r="C212" s="288"/>
      <c r="D212" s="317"/>
      <c r="E212" s="288"/>
      <c r="F212" s="317"/>
      <c r="G212" s="288"/>
      <c r="H212" s="327"/>
    </row>
    <row r="213" spans="2:8" x14ac:dyDescent="0.25">
      <c r="B213" s="305"/>
      <c r="C213" s="266"/>
      <c r="D213" s="266"/>
      <c r="E213" s="266"/>
      <c r="F213" s="296"/>
      <c r="G213" s="306" t="s">
        <v>25</v>
      </c>
      <c r="H213" s="328">
        <f>+SUM(H210:H212)</f>
        <v>2783.6121143999999</v>
      </c>
    </row>
    <row r="214" spans="2:8" x14ac:dyDescent="0.25">
      <c r="B214" s="305"/>
      <c r="C214" s="266"/>
      <c r="D214" s="266"/>
      <c r="E214" s="266"/>
      <c r="F214" s="296"/>
      <c r="G214" s="449"/>
      <c r="H214" s="320"/>
    </row>
    <row r="215" spans="2:8" ht="15.6" x14ac:dyDescent="0.25">
      <c r="B215" s="258"/>
      <c r="C215" s="479" t="s">
        <v>645</v>
      </c>
      <c r="D215" s="477"/>
      <c r="E215" s="477"/>
      <c r="F215" s="477"/>
      <c r="G215" s="469" t="s">
        <v>41</v>
      </c>
      <c r="H215" s="254">
        <f>+H196+H202+H207+H213</f>
        <v>11261.973325840001</v>
      </c>
    </row>
    <row r="216" spans="2:8" ht="15.6" x14ac:dyDescent="0.25">
      <c r="B216" s="258"/>
      <c r="C216" s="479"/>
      <c r="D216" s="477"/>
      <c r="E216" s="477"/>
      <c r="F216" s="477"/>
      <c r="G216" s="255"/>
      <c r="H216" s="219"/>
    </row>
    <row r="217" spans="2:8" ht="15.6" x14ac:dyDescent="0.25">
      <c r="B217" s="258"/>
      <c r="C217" s="479"/>
      <c r="D217" s="477"/>
      <c r="E217" s="477"/>
      <c r="F217" s="477"/>
      <c r="G217" s="255"/>
      <c r="H217" s="219"/>
    </row>
    <row r="218" spans="2:8" ht="15.6" x14ac:dyDescent="0.25">
      <c r="B218" s="258"/>
      <c r="C218" s="475" t="s">
        <v>643</v>
      </c>
      <c r="D218" s="474"/>
      <c r="E218" s="477"/>
      <c r="F218" s="477"/>
      <c r="G218" s="255"/>
      <c r="H218" s="219"/>
    </row>
    <row r="219" spans="2:8" ht="15" x14ac:dyDescent="0.25">
      <c r="B219" s="262"/>
      <c r="C219" s="200" t="s">
        <v>590</v>
      </c>
      <c r="D219" s="474"/>
      <c r="E219" s="478"/>
      <c r="F219" s="478"/>
      <c r="G219" s="255"/>
      <c r="H219" s="219"/>
    </row>
    <row r="220" spans="2:8" ht="15" x14ac:dyDescent="0.25">
      <c r="B220" s="264"/>
      <c r="C220" s="261" t="s">
        <v>591</v>
      </c>
      <c r="D220" s="474"/>
      <c r="E220" s="478"/>
      <c r="F220" s="478"/>
      <c r="G220" s="255"/>
      <c r="H220" s="219"/>
    </row>
    <row r="221" spans="2:8" ht="15" x14ac:dyDescent="0.25">
      <c r="B221" s="265"/>
      <c r="C221" s="261" t="s">
        <v>644</v>
      </c>
      <c r="D221" s="474"/>
      <c r="E221" s="478"/>
      <c r="F221" s="478"/>
      <c r="G221" s="255"/>
      <c r="H221" s="219"/>
    </row>
    <row r="222" spans="2:8" x14ac:dyDescent="0.25">
      <c r="B222" s="267"/>
      <c r="C222" s="268"/>
      <c r="D222" s="259"/>
      <c r="E222" s="259"/>
      <c r="F222" s="259"/>
      <c r="G222" s="259"/>
      <c r="H222" s="260"/>
    </row>
    <row r="232" spans="2:8" ht="15.6" x14ac:dyDescent="0.25">
      <c r="B232" s="566" t="s">
        <v>320</v>
      </c>
      <c r="C232" s="567"/>
      <c r="D232" s="567"/>
      <c r="E232" s="567"/>
      <c r="F232" s="567"/>
      <c r="G232" s="567"/>
      <c r="H232" s="568"/>
    </row>
    <row r="233" spans="2:8" ht="14.25" customHeight="1" x14ac:dyDescent="0.25">
      <c r="B233" s="569" t="str">
        <f>+PRESUPUESTO!B1</f>
        <v>MANTENIMIENTO Y ADECUACIÓN DE INSTITUCIONES EDUCATIVAS OFICIALES, DEL MUNICIPIO DE LA APARTADA CORDOBA.</v>
      </c>
      <c r="C233" s="638"/>
      <c r="D233" s="638"/>
      <c r="E233" s="638"/>
      <c r="F233" s="638"/>
      <c r="G233" s="638"/>
      <c r="H233" s="639"/>
    </row>
    <row r="234" spans="2:8" x14ac:dyDescent="0.25">
      <c r="B234" s="640"/>
      <c r="C234" s="641"/>
      <c r="D234" s="641"/>
      <c r="E234" s="641"/>
      <c r="F234" s="641"/>
      <c r="G234" s="641"/>
      <c r="H234" s="642"/>
    </row>
    <row r="235" spans="2:8" x14ac:dyDescent="0.25">
      <c r="B235" s="643"/>
      <c r="C235" s="644"/>
      <c r="D235" s="644"/>
      <c r="E235" s="644"/>
      <c r="F235" s="644"/>
      <c r="G235" s="644"/>
      <c r="H235" s="645"/>
    </row>
    <row r="236" spans="2:8" ht="14.25" customHeight="1" x14ac:dyDescent="0.25">
      <c r="B236" s="578" t="str">
        <f>+PRESUPUESTO!C62</f>
        <v>S/I DE LAMPARAS LED DE LAMPARAS LEED DE 0,60 X 0,60 LUZ BLANCA.</v>
      </c>
      <c r="C236" s="579"/>
      <c r="D236" s="579"/>
      <c r="E236" s="579"/>
      <c r="F236" s="580"/>
      <c r="G236" s="587" t="s">
        <v>646</v>
      </c>
      <c r="H236" s="588"/>
    </row>
    <row r="237" spans="2:8" x14ac:dyDescent="0.25">
      <c r="B237" s="581"/>
      <c r="C237" s="582"/>
      <c r="D237" s="582"/>
      <c r="E237" s="582"/>
      <c r="F237" s="583"/>
      <c r="G237" s="589"/>
      <c r="H237" s="590"/>
    </row>
    <row r="238" spans="2:8" x14ac:dyDescent="0.25">
      <c r="B238" s="584"/>
      <c r="C238" s="585"/>
      <c r="D238" s="585"/>
      <c r="E238" s="585"/>
      <c r="F238" s="586"/>
      <c r="G238" s="591"/>
      <c r="H238" s="592"/>
    </row>
    <row r="239" spans="2:8" x14ac:dyDescent="0.25">
      <c r="B239" s="518" t="s">
        <v>0</v>
      </c>
      <c r="C239" s="515">
        <f>+PRESUPUESTO!B62</f>
        <v>7.5</v>
      </c>
      <c r="D239" s="516"/>
      <c r="E239" s="516"/>
      <c r="F239" s="516"/>
      <c r="G239" s="516"/>
      <c r="H239" s="517"/>
    </row>
    <row r="240" spans="2:8" x14ac:dyDescent="0.25">
      <c r="B240" s="214" t="s">
        <v>19</v>
      </c>
      <c r="C240" s="266"/>
      <c r="D240" s="266"/>
      <c r="E240" s="266"/>
      <c r="F240" s="296"/>
      <c r="G240" s="266"/>
      <c r="H240" s="216"/>
    </row>
    <row r="241" spans="2:8" x14ac:dyDescent="0.25">
      <c r="B241" s="560" t="s">
        <v>20</v>
      </c>
      <c r="C241" s="561"/>
      <c r="D241" s="297" t="s">
        <v>21</v>
      </c>
      <c r="E241" s="297" t="s">
        <v>22</v>
      </c>
      <c r="F241" s="298" t="s">
        <v>23</v>
      </c>
      <c r="G241" s="299" t="s">
        <v>24</v>
      </c>
      <c r="H241" s="300" t="s">
        <v>482</v>
      </c>
    </row>
    <row r="242" spans="2:8" x14ac:dyDescent="0.25">
      <c r="B242" s="562" t="s">
        <v>8</v>
      </c>
      <c r="C242" s="563"/>
      <c r="D242" s="301"/>
      <c r="E242" s="302"/>
      <c r="F242" s="303">
        <v>0.1</v>
      </c>
      <c r="G242" s="287">
        <f>+H262</f>
        <v>48417.000733333334</v>
      </c>
      <c r="H242" s="304">
        <f>+F242*G242</f>
        <v>4841.7000733333334</v>
      </c>
    </row>
    <row r="243" spans="2:8" x14ac:dyDescent="0.25">
      <c r="B243" s="600" t="s">
        <v>459</v>
      </c>
      <c r="C243" s="601"/>
      <c r="D243" s="301"/>
      <c r="E243" s="302">
        <v>2875</v>
      </c>
      <c r="F243" s="289">
        <v>0.5</v>
      </c>
      <c r="G243" s="287">
        <f>+E243/F243</f>
        <v>5750</v>
      </c>
      <c r="H243" s="304">
        <f t="shared" ref="H243" si="5">G243</f>
        <v>5750</v>
      </c>
    </row>
    <row r="244" spans="2:8" x14ac:dyDescent="0.25">
      <c r="B244" s="562"/>
      <c r="C244" s="563"/>
      <c r="D244" s="301"/>
      <c r="E244" s="302"/>
      <c r="F244" s="289"/>
      <c r="G244" s="287"/>
      <c r="H244" s="304"/>
    </row>
    <row r="245" spans="2:8" x14ac:dyDescent="0.25">
      <c r="B245" s="305"/>
      <c r="C245" s="266"/>
      <c r="D245" s="266"/>
      <c r="E245" s="266"/>
      <c r="F245" s="296"/>
      <c r="G245" s="306" t="s">
        <v>25</v>
      </c>
      <c r="H245" s="307">
        <f>SUM(H242:H244)</f>
        <v>10591.700073333333</v>
      </c>
    </row>
    <row r="246" spans="2:8" x14ac:dyDescent="0.25">
      <c r="B246" s="214" t="s">
        <v>26</v>
      </c>
      <c r="C246" s="266"/>
      <c r="D246" s="266"/>
      <c r="E246" s="266"/>
      <c r="F246" s="308"/>
      <c r="G246" s="308"/>
      <c r="H246" s="309"/>
    </row>
    <row r="247" spans="2:8" x14ac:dyDescent="0.25">
      <c r="B247" s="560" t="s">
        <v>20</v>
      </c>
      <c r="C247" s="561"/>
      <c r="D247" s="297" t="s">
        <v>27</v>
      </c>
      <c r="E247" s="297" t="s">
        <v>28</v>
      </c>
      <c r="F247" s="298" t="s">
        <v>29</v>
      </c>
      <c r="G247" s="299" t="s">
        <v>24</v>
      </c>
      <c r="H247" s="310" t="s">
        <v>482</v>
      </c>
    </row>
    <row r="248" spans="2:8" ht="14.25" customHeight="1" x14ac:dyDescent="0.25">
      <c r="B248" s="554" t="s">
        <v>491</v>
      </c>
      <c r="C248" s="555"/>
      <c r="D248" s="271" t="str">
        <f>+IF(B248=0,"",(VLOOKUP(B248,[8]MATERIALES!$B$6:$D$149,3,FALSE)))</f>
        <v>und</v>
      </c>
      <c r="E248" s="272">
        <v>92000</v>
      </c>
      <c r="F248" s="273">
        <v>1</v>
      </c>
      <c r="G248" s="274">
        <f t="shared" ref="G248:G249" si="6">E248*F248</f>
        <v>92000</v>
      </c>
      <c r="H248" s="275">
        <f>G248</f>
        <v>92000</v>
      </c>
    </row>
    <row r="249" spans="2:8" x14ac:dyDescent="0.25">
      <c r="B249" s="596" t="s">
        <v>477</v>
      </c>
      <c r="C249" s="597"/>
      <c r="D249" s="271" t="str">
        <f>+IF(B249=0,"",(VLOOKUP(B249,[8]MATERIALES!$B$6:$D$149,3,FALSE)))</f>
        <v>und</v>
      </c>
      <c r="E249" s="272">
        <v>24900</v>
      </c>
      <c r="F249" s="273">
        <v>0.1</v>
      </c>
      <c r="G249" s="274">
        <f t="shared" si="6"/>
        <v>2490</v>
      </c>
      <c r="H249" s="275">
        <f t="shared" ref="H249" si="7">G249</f>
        <v>2490</v>
      </c>
    </row>
    <row r="250" spans="2:8" x14ac:dyDescent="0.25">
      <c r="B250" s="596"/>
      <c r="C250" s="597"/>
      <c r="D250" s="285"/>
      <c r="E250" s="286"/>
      <c r="F250" s="289"/>
      <c r="G250" s="287"/>
      <c r="H250" s="288"/>
    </row>
    <row r="251" spans="2:8" x14ac:dyDescent="0.25">
      <c r="B251" s="305"/>
      <c r="C251" s="266"/>
      <c r="D251" s="266"/>
      <c r="E251" s="266"/>
      <c r="F251" s="308"/>
      <c r="G251" s="306" t="s">
        <v>25</v>
      </c>
      <c r="H251" s="312">
        <f>SUM(H248:H250)</f>
        <v>94490</v>
      </c>
    </row>
    <row r="252" spans="2:8" x14ac:dyDescent="0.25">
      <c r="B252" s="214" t="s">
        <v>30</v>
      </c>
      <c r="C252" s="266"/>
      <c r="D252" s="266"/>
      <c r="E252" s="266"/>
      <c r="F252" s="308"/>
      <c r="G252" s="308"/>
      <c r="H252" s="304"/>
    </row>
    <row r="253" spans="2:8" x14ac:dyDescent="0.25">
      <c r="B253" s="560" t="s">
        <v>20</v>
      </c>
      <c r="C253" s="561"/>
      <c r="D253" s="297" t="s">
        <v>21</v>
      </c>
      <c r="E253" s="297" t="s">
        <v>127</v>
      </c>
      <c r="F253" s="298" t="s">
        <v>32</v>
      </c>
      <c r="G253" s="297" t="s">
        <v>24</v>
      </c>
      <c r="H253" s="313" t="s">
        <v>481</v>
      </c>
    </row>
    <row r="254" spans="2:8" x14ac:dyDescent="0.25">
      <c r="B254" s="598"/>
      <c r="C254" s="599"/>
      <c r="D254" s="314"/>
      <c r="E254" s="315"/>
      <c r="F254" s="274"/>
      <c r="G254" s="274"/>
      <c r="H254" s="304"/>
    </row>
    <row r="255" spans="2:8" x14ac:dyDescent="0.25">
      <c r="B255" s="598"/>
      <c r="C255" s="599"/>
      <c r="D255" s="314"/>
      <c r="E255" s="316"/>
      <c r="F255" s="317"/>
      <c r="G255" s="316"/>
      <c r="H255" s="318"/>
    </row>
    <row r="256" spans="2:8" x14ac:dyDescent="0.25">
      <c r="B256" s="305"/>
      <c r="C256" s="266"/>
      <c r="D256" s="266"/>
      <c r="E256" s="266"/>
      <c r="F256" s="296"/>
      <c r="G256" s="306" t="s">
        <v>25</v>
      </c>
      <c r="H256" s="319">
        <f>SUM(H254:H255)</f>
        <v>0</v>
      </c>
    </row>
    <row r="257" spans="2:8" x14ac:dyDescent="0.25">
      <c r="B257" s="214" t="s">
        <v>34</v>
      </c>
      <c r="C257" s="266"/>
      <c r="D257" s="266"/>
      <c r="E257" s="266"/>
      <c r="F257" s="296"/>
      <c r="G257" s="308"/>
      <c r="H257" s="320"/>
    </row>
    <row r="258" spans="2:8" x14ac:dyDescent="0.25">
      <c r="B258" s="321" t="s">
        <v>35</v>
      </c>
      <c r="C258" s="321" t="s">
        <v>29</v>
      </c>
      <c r="D258" s="321" t="s">
        <v>36</v>
      </c>
      <c r="E258" s="321" t="s">
        <v>37</v>
      </c>
      <c r="F258" s="322" t="s">
        <v>38</v>
      </c>
      <c r="G258" s="323" t="s">
        <v>23</v>
      </c>
      <c r="H258" s="324" t="s">
        <v>24</v>
      </c>
    </row>
    <row r="259" spans="2:8" x14ac:dyDescent="0.25">
      <c r="B259" s="288" t="s">
        <v>626</v>
      </c>
      <c r="C259" s="316">
        <v>1</v>
      </c>
      <c r="D259" s="325">
        <v>100000</v>
      </c>
      <c r="E259" s="326">
        <v>1.8344</v>
      </c>
      <c r="F259" s="327">
        <f>+D259*C259*E259</f>
        <v>183440</v>
      </c>
      <c r="G259" s="316">
        <v>6</v>
      </c>
      <c r="H259" s="274">
        <f>F259/G259</f>
        <v>30573.333333333332</v>
      </c>
    </row>
    <row r="260" spans="2:8" x14ac:dyDescent="0.25">
      <c r="B260" s="288" t="s">
        <v>496</v>
      </c>
      <c r="C260" s="316">
        <v>1</v>
      </c>
      <c r="D260" s="325">
        <f>+D211</f>
        <v>58363.5</v>
      </c>
      <c r="E260" s="326">
        <v>1.8344</v>
      </c>
      <c r="F260" s="327">
        <f>+D260*C260*E260</f>
        <v>107062.00440000001</v>
      </c>
      <c r="G260" s="316">
        <v>6</v>
      </c>
      <c r="H260" s="274">
        <f>+F260/G260</f>
        <v>17843.667400000002</v>
      </c>
    </row>
    <row r="261" spans="2:8" x14ac:dyDescent="0.25">
      <c r="B261" s="288"/>
      <c r="C261" s="288"/>
      <c r="D261" s="317"/>
      <c r="E261" s="288"/>
      <c r="F261" s="317"/>
      <c r="G261" s="288"/>
      <c r="H261" s="327"/>
    </row>
    <row r="262" spans="2:8" x14ac:dyDescent="0.25">
      <c r="B262" s="305"/>
      <c r="C262" s="266"/>
      <c r="D262" s="266"/>
      <c r="E262" s="266"/>
      <c r="F262" s="296"/>
      <c r="G262" s="306" t="s">
        <v>25</v>
      </c>
      <c r="H262" s="328">
        <f>+SUM(H259:H261)</f>
        <v>48417.000733333334</v>
      </c>
    </row>
    <row r="263" spans="2:8" x14ac:dyDescent="0.25">
      <c r="B263" s="305"/>
      <c r="C263" s="266"/>
      <c r="D263" s="266"/>
      <c r="E263" s="266"/>
      <c r="F263" s="296"/>
      <c r="G263" s="449"/>
      <c r="H263" s="320"/>
    </row>
    <row r="264" spans="2:8" ht="15.6" x14ac:dyDescent="0.25">
      <c r="B264" s="258"/>
      <c r="C264" s="479" t="s">
        <v>645</v>
      </c>
      <c r="D264" s="477"/>
      <c r="E264" s="477"/>
      <c r="F264" s="477"/>
      <c r="G264" s="469" t="s">
        <v>41</v>
      </c>
      <c r="H264" s="254">
        <f>+H245+H251+H256+H262</f>
        <v>153498.70080666669</v>
      </c>
    </row>
    <row r="265" spans="2:8" ht="15.6" x14ac:dyDescent="0.25">
      <c r="B265" s="258"/>
      <c r="C265" s="479"/>
      <c r="D265" s="477"/>
      <c r="E265" s="477"/>
      <c r="F265" s="477"/>
      <c r="G265" s="255"/>
      <c r="H265" s="219"/>
    </row>
    <row r="266" spans="2:8" ht="15.6" x14ac:dyDescent="0.25">
      <c r="B266" s="258"/>
      <c r="C266" s="479"/>
      <c r="D266" s="477"/>
      <c r="E266" s="477"/>
      <c r="F266" s="477"/>
      <c r="G266" s="255"/>
      <c r="H266" s="219"/>
    </row>
    <row r="267" spans="2:8" ht="15.6" x14ac:dyDescent="0.25">
      <c r="B267" s="258"/>
      <c r="C267" s="475" t="s">
        <v>643</v>
      </c>
      <c r="D267" s="474"/>
      <c r="E267" s="477"/>
      <c r="F267" s="477"/>
      <c r="G267" s="255"/>
      <c r="H267" s="219"/>
    </row>
    <row r="268" spans="2:8" ht="15" x14ac:dyDescent="0.25">
      <c r="B268" s="262"/>
      <c r="C268" s="200" t="s">
        <v>590</v>
      </c>
      <c r="D268" s="474"/>
      <c r="E268" s="478"/>
      <c r="F268" s="478"/>
      <c r="G268" s="255"/>
      <c r="H268" s="219"/>
    </row>
    <row r="269" spans="2:8" ht="15" x14ac:dyDescent="0.25">
      <c r="B269" s="264"/>
      <c r="C269" s="261" t="s">
        <v>591</v>
      </c>
      <c r="D269" s="474"/>
      <c r="E269" s="478"/>
      <c r="F269" s="478"/>
      <c r="G269" s="255"/>
      <c r="H269" s="219"/>
    </row>
    <row r="270" spans="2:8" ht="15" x14ac:dyDescent="0.25">
      <c r="B270" s="265"/>
      <c r="C270" s="261" t="s">
        <v>644</v>
      </c>
      <c r="D270" s="474"/>
      <c r="E270" s="478"/>
      <c r="F270" s="478"/>
      <c r="G270" s="255"/>
      <c r="H270" s="219"/>
    </row>
    <row r="271" spans="2:8" x14ac:dyDescent="0.25">
      <c r="B271" s="265"/>
      <c r="C271" s="266"/>
      <c r="D271" s="255"/>
      <c r="E271" s="255"/>
      <c r="F271" s="255"/>
      <c r="G271" s="255"/>
      <c r="H271" s="219"/>
    </row>
    <row r="272" spans="2:8" x14ac:dyDescent="0.25">
      <c r="B272" s="265"/>
      <c r="C272" s="266"/>
      <c r="D272" s="255"/>
      <c r="E272" s="255"/>
      <c r="F272" s="255"/>
      <c r="G272" s="255"/>
      <c r="H272" s="219"/>
    </row>
    <row r="273" spans="2:8" x14ac:dyDescent="0.25">
      <c r="B273" s="267"/>
      <c r="C273" s="268"/>
      <c r="D273" s="259"/>
      <c r="E273" s="259"/>
      <c r="F273" s="259"/>
      <c r="G273" s="259"/>
      <c r="H273" s="260"/>
    </row>
  </sheetData>
  <mergeCells count="90">
    <mergeCell ref="B41:C41"/>
    <mergeCell ref="B42:C42"/>
    <mergeCell ref="B43:C43"/>
    <mergeCell ref="B69:H69"/>
    <mergeCell ref="B36:C36"/>
    <mergeCell ref="B8:H8"/>
    <mergeCell ref="B9:H11"/>
    <mergeCell ref="B12:F14"/>
    <mergeCell ref="G12:H14"/>
    <mergeCell ref="B26:C26"/>
    <mergeCell ref="B32:C32"/>
    <mergeCell ref="B33:C33"/>
    <mergeCell ref="B34:C34"/>
    <mergeCell ref="B35:C35"/>
    <mergeCell ref="B17:C17"/>
    <mergeCell ref="B18:C18"/>
    <mergeCell ref="B19:C19"/>
    <mergeCell ref="B20:C20"/>
    <mergeCell ref="B23:C23"/>
    <mergeCell ref="B78:C78"/>
    <mergeCell ref="B79:C79"/>
    <mergeCell ref="B80:C80"/>
    <mergeCell ref="B81:C81"/>
    <mergeCell ref="B24:C24"/>
    <mergeCell ref="B25:C25"/>
    <mergeCell ref="B70:H72"/>
    <mergeCell ref="B73:F75"/>
    <mergeCell ref="G73:H75"/>
    <mergeCell ref="B27:C27"/>
    <mergeCell ref="B28:C28"/>
    <mergeCell ref="B29:C29"/>
    <mergeCell ref="B30:C30"/>
    <mergeCell ref="B31:C31"/>
    <mergeCell ref="B37:C37"/>
    <mergeCell ref="B38:C38"/>
    <mergeCell ref="B84:C84"/>
    <mergeCell ref="B85:C85"/>
    <mergeCell ref="B86:C86"/>
    <mergeCell ref="B87:C87"/>
    <mergeCell ref="B90:C90"/>
    <mergeCell ref="B91:C91"/>
    <mergeCell ref="B92:C92"/>
    <mergeCell ref="B119:H119"/>
    <mergeCell ref="B120:H122"/>
    <mergeCell ref="B123:F125"/>
    <mergeCell ref="G123:H125"/>
    <mergeCell ref="B135:C135"/>
    <mergeCell ref="B136:C136"/>
    <mergeCell ref="B137:C137"/>
    <mergeCell ref="B141:C141"/>
    <mergeCell ref="B128:C128"/>
    <mergeCell ref="B129:C129"/>
    <mergeCell ref="B134:C134"/>
    <mergeCell ref="B192:C192"/>
    <mergeCell ref="B193:C193"/>
    <mergeCell ref="B194:C194"/>
    <mergeCell ref="B195:C195"/>
    <mergeCell ref="B142:C142"/>
    <mergeCell ref="B183:H183"/>
    <mergeCell ref="B184:H186"/>
    <mergeCell ref="B187:F189"/>
    <mergeCell ref="G187:H189"/>
    <mergeCell ref="B198:C198"/>
    <mergeCell ref="B199:C199"/>
    <mergeCell ref="B200:C200"/>
    <mergeCell ref="B201:C201"/>
    <mergeCell ref="B204:C204"/>
    <mergeCell ref="B244:C244"/>
    <mergeCell ref="B205:C205"/>
    <mergeCell ref="B206:C206"/>
    <mergeCell ref="B232:H232"/>
    <mergeCell ref="B233:H235"/>
    <mergeCell ref="B236:F238"/>
    <mergeCell ref="G236:H238"/>
    <mergeCell ref="B254:C254"/>
    <mergeCell ref="B255:C255"/>
    <mergeCell ref="B138:C138"/>
    <mergeCell ref="B144:C144"/>
    <mergeCell ref="B145:C145"/>
    <mergeCell ref="B148:C148"/>
    <mergeCell ref="B149:C149"/>
    <mergeCell ref="B150:C150"/>
    <mergeCell ref="B247:C247"/>
    <mergeCell ref="B248:C248"/>
    <mergeCell ref="B249:C249"/>
    <mergeCell ref="B250:C250"/>
    <mergeCell ref="B253:C253"/>
    <mergeCell ref="B241:C241"/>
    <mergeCell ref="B242:C242"/>
    <mergeCell ref="B243:C243"/>
  </mergeCells>
  <dataValidations count="3">
    <dataValidation type="list" allowBlank="1" showInputMessage="1" showErrorMessage="1" sqref="B87:C87" xr:uid="{4870E4D1-FC20-4BED-A44E-9643DCC34FDD}">
      <formula1>#REF!</formula1>
    </dataValidation>
    <dataValidation type="list" allowBlank="1" showInputMessage="1" showErrorMessage="1" sqref="B145:C145" xr:uid="{134860A9-CECF-4B0C-861B-78D11019C21F}">
      <formula1>$C$1:$C$57</formula1>
    </dataValidation>
    <dataValidation type="list" allowBlank="1" showInputMessage="1" showErrorMessage="1" sqref="B250:C250" xr:uid="{23FFD453-FBCE-49B0-B2D9-6C6D1E36B916}">
      <formula1>$C$1:$C$103</formula1>
    </dataValidation>
  </dataValidations>
  <pageMargins left="0.70866141732283472" right="0.70866141732283472" top="0.74803149606299213" bottom="0.74803149606299213" header="0.31496062992125984" footer="0.31496062992125984"/>
  <pageSetup scale="16" orientation="portrait" r:id="rId1"/>
  <ignoredErrors>
    <ignoredError sqref="H210 H213 G193 F210" evalError="1"/>
    <ignoredError sqref="E27:E28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9BF6C0F-535C-42C3-92E2-0F03BD726598}">
          <x14:formula1>
            <xm:f>MATERIALES!$B$5:$B$146</xm:f>
          </x14:formula1>
          <xm:sqref>B85:C86</xm:sqref>
        </x14:dataValidation>
        <x14:dataValidation type="list" allowBlank="1" showInputMessage="1" showErrorMessage="1" xr:uid="{4C1C8E4C-3D25-497D-92A2-7A2F0624C741}">
          <x14:formula1>
            <xm:f>EQUIPOS!$B$6:$B$25</xm:f>
          </x14:formula1>
          <xm:sqref>B19:C19 B80:C80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41ED4-0768-4FBC-8D36-2DC5B5A43298}">
  <sheetPr>
    <tabColor rgb="FF00B0F0"/>
  </sheetPr>
  <dimension ref="A1:T37"/>
  <sheetViews>
    <sheetView zoomScale="59" zoomScaleNormal="93" workbookViewId="0">
      <selection activeCell="F39" sqref="F39"/>
    </sheetView>
  </sheetViews>
  <sheetFormatPr baseColWidth="10" defaultRowHeight="14.4" x14ac:dyDescent="0.3"/>
  <cols>
    <col min="2" max="2" width="5.5546875" customWidth="1"/>
    <col min="3" max="3" width="9.33203125" hidden="1" customWidth="1"/>
    <col min="4" max="4" width="3.5546875" hidden="1" customWidth="1"/>
    <col min="5" max="5" width="11.5546875" hidden="1" customWidth="1"/>
    <col min="6" max="6" width="25.5546875" customWidth="1"/>
    <col min="7" max="7" width="21.88671875" customWidth="1"/>
    <col min="8" max="9" width="7.33203125" customWidth="1"/>
    <col min="10" max="10" width="6" customWidth="1"/>
    <col min="11" max="11" width="8.109375" customWidth="1"/>
    <col min="12" max="12" width="4.33203125" customWidth="1"/>
    <col min="13" max="13" width="11" customWidth="1"/>
    <col min="15" max="15" width="22.109375" customWidth="1"/>
    <col min="16" max="16" width="16.88671875" customWidth="1"/>
  </cols>
  <sheetData>
    <row r="1" spans="1:13" ht="27.6" customHeight="1" x14ac:dyDescent="0.3">
      <c r="A1" s="678" t="s">
        <v>537</v>
      </c>
      <c r="B1" s="679"/>
      <c r="C1" s="679"/>
      <c r="D1" s="679"/>
      <c r="E1" s="679"/>
      <c r="F1" s="679"/>
      <c r="G1" s="679"/>
      <c r="H1" s="679"/>
      <c r="I1" s="679"/>
      <c r="J1" s="680"/>
      <c r="K1" s="682" t="s">
        <v>538</v>
      </c>
      <c r="L1" s="679"/>
      <c r="M1" s="683"/>
    </row>
    <row r="2" spans="1:13" ht="22.95" customHeight="1" thickBot="1" x14ac:dyDescent="0.35">
      <c r="A2" s="681"/>
      <c r="B2" s="674"/>
      <c r="C2" s="674"/>
      <c r="D2" s="674"/>
      <c r="E2" s="674"/>
      <c r="F2" s="674"/>
      <c r="G2" s="674"/>
      <c r="H2" s="674"/>
      <c r="I2" s="674"/>
      <c r="J2" s="675"/>
      <c r="K2" s="684"/>
      <c r="L2" s="685"/>
      <c r="M2" s="686"/>
    </row>
    <row r="3" spans="1:13" x14ac:dyDescent="0.3">
      <c r="A3" s="688" t="s">
        <v>539</v>
      </c>
      <c r="B3" s="668"/>
      <c r="C3" s="669"/>
      <c r="D3" s="689" t="str">
        <f>+PRESUPUESTO!B1</f>
        <v>MANTENIMIENTO Y ADECUACIÓN DE INSTITUCIONES EDUCATIVAS OFICIALES, DEL MUNICIPIO DE LA APARTADA CORDOBA.</v>
      </c>
      <c r="E3" s="685"/>
      <c r="F3" s="685"/>
      <c r="G3" s="685"/>
      <c r="H3" s="685"/>
      <c r="I3" s="685"/>
      <c r="J3" s="685"/>
      <c r="K3" s="684"/>
      <c r="L3" s="685"/>
      <c r="M3" s="686"/>
    </row>
    <row r="4" spans="1:13" ht="40.950000000000003" customHeight="1" thickBot="1" x14ac:dyDescent="0.35">
      <c r="A4" s="681"/>
      <c r="B4" s="674"/>
      <c r="C4" s="675"/>
      <c r="D4" s="684"/>
      <c r="E4" s="685"/>
      <c r="F4" s="685"/>
      <c r="G4" s="685"/>
      <c r="H4" s="685"/>
      <c r="I4" s="685"/>
      <c r="J4" s="685"/>
      <c r="K4" s="673"/>
      <c r="L4" s="674"/>
      <c r="M4" s="687"/>
    </row>
    <row r="5" spans="1:13" ht="29.4" customHeight="1" thickBot="1" x14ac:dyDescent="0.35">
      <c r="A5" s="690" t="s">
        <v>540</v>
      </c>
      <c r="B5" s="691"/>
      <c r="C5" s="691"/>
      <c r="D5" s="691"/>
      <c r="E5" s="691"/>
      <c r="F5" s="691"/>
      <c r="G5" s="354" t="s">
        <v>541</v>
      </c>
      <c r="H5" s="692">
        <v>46273</v>
      </c>
      <c r="I5" s="691"/>
      <c r="J5" s="693"/>
      <c r="K5" s="694" t="s">
        <v>542</v>
      </c>
      <c r="L5" s="695"/>
      <c r="M5" s="355" t="s">
        <v>83</v>
      </c>
    </row>
    <row r="6" spans="1:13" ht="51.75" customHeight="1" thickBot="1" x14ac:dyDescent="0.35">
      <c r="A6" s="658" t="s">
        <v>543</v>
      </c>
      <c r="B6" s="659"/>
      <c r="C6" s="660" t="str">
        <f>+PRESUPUESTO!C6</f>
        <v>DESMONTE DE PUERTA DE BAÑO DE UNIDAD SANITARIA EN MAL ESTADO. 0.68 MTS X 1.80 MTS, INCLUYE DESMONTE DE MARCO</v>
      </c>
      <c r="D6" s="661"/>
      <c r="E6" s="661"/>
      <c r="F6" s="661"/>
      <c r="G6" s="661"/>
      <c r="H6" s="661"/>
      <c r="I6" s="661"/>
      <c r="J6" s="662"/>
      <c r="K6" s="663" t="s">
        <v>544</v>
      </c>
      <c r="L6" s="664"/>
      <c r="M6" s="356">
        <f>+M19</f>
        <v>0</v>
      </c>
    </row>
    <row r="7" spans="1:13" ht="25.95" customHeight="1" x14ac:dyDescent="0.3">
      <c r="A7" s="665" t="s">
        <v>545</v>
      </c>
      <c r="B7" s="666"/>
      <c r="C7" s="667" t="s">
        <v>553</v>
      </c>
      <c r="D7" s="668"/>
      <c r="E7" s="668"/>
      <c r="F7" s="669"/>
      <c r="G7" s="670"/>
      <c r="H7" s="672" t="s">
        <v>546</v>
      </c>
      <c r="I7" s="668"/>
      <c r="J7" s="668"/>
      <c r="K7" s="669"/>
      <c r="L7" s="676" t="s">
        <v>547</v>
      </c>
      <c r="M7" s="699" t="s">
        <v>548</v>
      </c>
    </row>
    <row r="8" spans="1:13" ht="15" thickBot="1" x14ac:dyDescent="0.35">
      <c r="A8" s="701"/>
      <c r="B8" s="702"/>
      <c r="C8" s="702"/>
      <c r="D8" s="702"/>
      <c r="E8" s="702"/>
      <c r="F8" s="703"/>
      <c r="G8" s="671"/>
      <c r="H8" s="673"/>
      <c r="I8" s="674"/>
      <c r="J8" s="674"/>
      <c r="K8" s="675"/>
      <c r="L8" s="677"/>
      <c r="M8" s="700"/>
    </row>
    <row r="9" spans="1:13" x14ac:dyDescent="0.3">
      <c r="A9" s="704"/>
      <c r="B9" s="705"/>
      <c r="C9" s="705"/>
      <c r="D9" s="705"/>
      <c r="E9" s="705"/>
      <c r="F9" s="706"/>
      <c r="G9" s="671"/>
      <c r="H9" s="358"/>
      <c r="I9" s="357"/>
      <c r="J9" s="357" t="s">
        <v>552</v>
      </c>
      <c r="K9" s="359" t="s">
        <v>549</v>
      </c>
      <c r="L9" s="677"/>
      <c r="M9" s="700"/>
    </row>
    <row r="10" spans="1:13" x14ac:dyDescent="0.3">
      <c r="A10" s="704"/>
      <c r="B10" s="705"/>
      <c r="C10" s="705"/>
      <c r="D10" s="705"/>
      <c r="E10" s="705"/>
      <c r="F10" s="706"/>
      <c r="G10" s="360"/>
      <c r="H10" s="361"/>
      <c r="I10" s="362"/>
      <c r="J10" s="362"/>
      <c r="K10" s="361"/>
      <c r="L10" s="363"/>
      <c r="M10" s="364"/>
    </row>
    <row r="11" spans="1:13" x14ac:dyDescent="0.3">
      <c r="A11" s="704"/>
      <c r="B11" s="705"/>
      <c r="C11" s="705"/>
      <c r="D11" s="705"/>
      <c r="E11" s="705"/>
      <c r="F11" s="706"/>
      <c r="G11" s="365"/>
      <c r="H11" s="361"/>
      <c r="I11" s="362"/>
      <c r="J11" s="362"/>
      <c r="K11" s="361"/>
      <c r="L11" s="363"/>
      <c r="M11" s="364"/>
    </row>
    <row r="12" spans="1:13" ht="15.6" customHeight="1" x14ac:dyDescent="0.3">
      <c r="A12" s="704"/>
      <c r="B12" s="705"/>
      <c r="C12" s="705"/>
      <c r="D12" s="705"/>
      <c r="E12" s="705"/>
      <c r="F12" s="706"/>
      <c r="G12" s="710"/>
      <c r="H12" s="710"/>
      <c r="I12" s="711"/>
      <c r="J12" s="362"/>
      <c r="K12" s="361"/>
      <c r="L12" s="363"/>
      <c r="M12" s="364">
        <f>+J12*K12</f>
        <v>0</v>
      </c>
    </row>
    <row r="13" spans="1:13" ht="13.2" customHeight="1" x14ac:dyDescent="0.3">
      <c r="A13" s="704"/>
      <c r="B13" s="705"/>
      <c r="C13" s="705"/>
      <c r="D13" s="705"/>
      <c r="E13" s="705"/>
      <c r="F13" s="706"/>
      <c r="G13" s="710"/>
      <c r="H13" s="710"/>
      <c r="I13" s="711"/>
      <c r="J13" s="362"/>
      <c r="K13" s="361"/>
      <c r="L13" s="363"/>
      <c r="M13" s="364"/>
    </row>
    <row r="14" spans="1:13" x14ac:dyDescent="0.3">
      <c r="A14" s="704"/>
      <c r="B14" s="705"/>
      <c r="C14" s="705"/>
      <c r="D14" s="705"/>
      <c r="E14" s="705"/>
      <c r="F14" s="706"/>
      <c r="G14" s="710"/>
      <c r="H14" s="710"/>
      <c r="I14" s="711"/>
      <c r="J14" s="362"/>
      <c r="K14" s="361"/>
      <c r="L14" s="361"/>
      <c r="M14" s="364"/>
    </row>
    <row r="15" spans="1:13" x14ac:dyDescent="0.3">
      <c r="A15" s="704"/>
      <c r="B15" s="705"/>
      <c r="C15" s="705"/>
      <c r="D15" s="705"/>
      <c r="E15" s="705"/>
      <c r="F15" s="706"/>
      <c r="G15" s="710"/>
      <c r="H15" s="710"/>
      <c r="I15" s="711"/>
      <c r="J15" s="362"/>
      <c r="K15" s="362"/>
      <c r="L15" s="366"/>
      <c r="M15" s="364"/>
    </row>
    <row r="16" spans="1:13" ht="15.6" customHeight="1" x14ac:dyDescent="0.3">
      <c r="A16" s="704"/>
      <c r="B16" s="705"/>
      <c r="C16" s="705"/>
      <c r="D16" s="705"/>
      <c r="E16" s="705"/>
      <c r="F16" s="706"/>
      <c r="G16" s="710"/>
      <c r="H16" s="710"/>
      <c r="I16" s="711"/>
      <c r="J16" s="362"/>
      <c r="K16" s="362"/>
      <c r="L16" s="366"/>
      <c r="M16" s="364"/>
    </row>
    <row r="17" spans="1:20" x14ac:dyDescent="0.3">
      <c r="A17" s="704"/>
      <c r="B17" s="705"/>
      <c r="C17" s="705"/>
      <c r="D17" s="705"/>
      <c r="E17" s="705"/>
      <c r="F17" s="706"/>
      <c r="G17" s="710"/>
      <c r="H17" s="710"/>
      <c r="I17" s="711"/>
      <c r="J17" s="362"/>
      <c r="K17" s="362"/>
      <c r="L17" s="366"/>
      <c r="M17" s="364"/>
    </row>
    <row r="18" spans="1:20" x14ac:dyDescent="0.3">
      <c r="A18" s="707"/>
      <c r="B18" s="708"/>
      <c r="C18" s="708"/>
      <c r="D18" s="708"/>
      <c r="E18" s="708"/>
      <c r="F18" s="709"/>
      <c r="G18" s="710"/>
      <c r="H18" s="710"/>
      <c r="I18" s="711"/>
      <c r="J18" s="362"/>
      <c r="K18" s="362"/>
      <c r="L18" s="366"/>
      <c r="M18" s="364"/>
    </row>
    <row r="19" spans="1:20" ht="15.6" x14ac:dyDescent="0.3">
      <c r="A19" s="367"/>
      <c r="B19" s="368"/>
      <c r="C19" s="368"/>
      <c r="D19" s="368"/>
      <c r="E19" s="368"/>
      <c r="F19" s="369"/>
      <c r="G19" s="712" t="s">
        <v>550</v>
      </c>
      <c r="H19" s="713"/>
      <c r="I19" s="713"/>
      <c r="J19" s="713"/>
      <c r="K19" s="713"/>
      <c r="L19" s="714"/>
      <c r="M19" s="370">
        <f>SUM(M10:M18)</f>
        <v>0</v>
      </c>
    </row>
    <row r="20" spans="1:20" ht="31.2" customHeight="1" x14ac:dyDescent="0.3">
      <c r="A20" s="715" t="s">
        <v>551</v>
      </c>
      <c r="B20" s="716"/>
      <c r="C20" s="716"/>
      <c r="D20" s="716"/>
      <c r="E20" s="716"/>
      <c r="F20" s="716"/>
      <c r="G20" s="716"/>
      <c r="H20" s="716"/>
      <c r="I20" s="716"/>
      <c r="J20" s="716"/>
      <c r="K20" s="716"/>
      <c r="L20" s="716"/>
      <c r="M20" s="717"/>
    </row>
    <row r="21" spans="1:20" ht="15.6" x14ac:dyDescent="0.3">
      <c r="A21" s="373"/>
      <c r="B21" s="374"/>
      <c r="C21" s="374"/>
      <c r="D21" s="374"/>
      <c r="E21" s="374"/>
      <c r="F21" s="374"/>
      <c r="G21" s="375"/>
      <c r="H21" s="375"/>
      <c r="I21" s="375"/>
      <c r="J21" s="375"/>
      <c r="K21" s="375"/>
      <c r="L21" s="375"/>
      <c r="M21" s="376"/>
    </row>
    <row r="22" spans="1:20" ht="15.6" x14ac:dyDescent="0.3">
      <c r="A22" s="377"/>
      <c r="B22" s="378"/>
      <c r="C22" s="378"/>
      <c r="D22" s="378"/>
      <c r="E22" s="378"/>
      <c r="F22" s="378"/>
      <c r="G22" s="379"/>
      <c r="H22" s="379"/>
      <c r="I22" s="379"/>
      <c r="J22" s="379"/>
      <c r="K22" s="379"/>
      <c r="L22" s="379"/>
      <c r="M22" s="380"/>
      <c r="T22" t="s">
        <v>497</v>
      </c>
    </row>
    <row r="23" spans="1:20" ht="15.6" x14ac:dyDescent="0.3">
      <c r="A23" s="371"/>
      <c r="B23" s="372"/>
      <c r="C23" s="372"/>
      <c r="D23" s="372"/>
      <c r="E23" s="372"/>
      <c r="F23" s="372"/>
      <c r="G23" s="381"/>
      <c r="H23" s="381"/>
      <c r="I23" s="381"/>
      <c r="J23" s="381"/>
      <c r="K23" s="381"/>
      <c r="L23" s="381"/>
      <c r="M23" s="382"/>
    </row>
    <row r="24" spans="1:20" ht="15.6" x14ac:dyDescent="0.3">
      <c r="A24" s="373"/>
      <c r="B24" s="374"/>
      <c r="C24" s="374"/>
      <c r="D24" s="374"/>
      <c r="E24" s="374"/>
      <c r="F24" s="374"/>
      <c r="G24" s="375"/>
      <c r="H24" s="375"/>
      <c r="I24" s="375"/>
      <c r="J24" s="375"/>
      <c r="K24" s="375"/>
      <c r="L24" s="375"/>
      <c r="M24" s="376"/>
    </row>
    <row r="25" spans="1:20" ht="13.95" customHeight="1" x14ac:dyDescent="0.3">
      <c r="A25" s="718" t="str">
        <f>PRESUPUESTO!C73</f>
        <v>OMAR ANTONIO ROMAN HERRERA</v>
      </c>
      <c r="B25" s="719"/>
      <c r="C25" s="719"/>
      <c r="D25" s="719"/>
      <c r="E25" s="719"/>
      <c r="F25" s="719"/>
      <c r="G25" s="719"/>
      <c r="H25" s="719"/>
      <c r="I25" s="719"/>
      <c r="J25" s="719"/>
      <c r="K25" s="719"/>
      <c r="L25" s="719"/>
      <c r="M25" s="720"/>
    </row>
    <row r="26" spans="1:20" ht="13.95" customHeight="1" x14ac:dyDescent="0.3">
      <c r="A26" s="696" t="str">
        <f>PRESUPUESTO!C74</f>
        <v>Secretario de Planeación, Obras Públicas y Medio Ambiente</v>
      </c>
      <c r="B26" s="697"/>
      <c r="C26" s="697"/>
      <c r="D26" s="697"/>
      <c r="E26" s="697"/>
      <c r="F26" s="697"/>
      <c r="G26" s="697"/>
      <c r="H26" s="697"/>
      <c r="I26" s="697"/>
      <c r="J26" s="697"/>
      <c r="K26" s="697"/>
      <c r="L26" s="697"/>
      <c r="M26" s="698"/>
    </row>
    <row r="27" spans="1:20" ht="13.2" customHeight="1" x14ac:dyDescent="0.3">
      <c r="A27" s="696" t="str">
        <f>PRESUPUESTO!C75</f>
        <v>Municipio de La Apartada Córdoba (E)</v>
      </c>
      <c r="B27" s="697"/>
      <c r="C27" s="697"/>
      <c r="D27" s="697"/>
      <c r="E27" s="697"/>
      <c r="F27" s="697"/>
      <c r="G27" s="697"/>
      <c r="H27" s="697"/>
      <c r="I27" s="697"/>
      <c r="J27" s="697"/>
      <c r="K27" s="697"/>
      <c r="L27" s="697"/>
      <c r="M27" s="698"/>
    </row>
    <row r="28" spans="1:20" ht="15.6" customHeight="1" x14ac:dyDescent="0.3">
      <c r="A28" s="696"/>
      <c r="B28" s="697"/>
      <c r="C28" s="697"/>
      <c r="D28" s="697"/>
      <c r="E28" s="697"/>
      <c r="F28" s="697"/>
      <c r="G28" s="697"/>
      <c r="H28" s="697"/>
      <c r="I28" s="697"/>
      <c r="J28" s="697"/>
      <c r="K28" s="697"/>
      <c r="L28" s="697"/>
      <c r="M28" s="698"/>
    </row>
    <row r="29" spans="1:20" x14ac:dyDescent="0.3">
      <c r="A29" s="383"/>
      <c r="B29" s="384"/>
      <c r="C29" s="384"/>
      <c r="D29" s="384"/>
      <c r="E29" s="385"/>
      <c r="F29" s="385"/>
      <c r="G29" s="385"/>
      <c r="H29" s="385"/>
      <c r="I29" s="385"/>
      <c r="J29" s="385"/>
      <c r="K29" s="385"/>
      <c r="L29" s="385"/>
      <c r="M29" s="386"/>
    </row>
    <row r="30" spans="1:20" x14ac:dyDescent="0.3">
      <c r="A30" s="387"/>
      <c r="B30" s="387"/>
      <c r="C30" s="387"/>
      <c r="D30" s="387"/>
      <c r="E30" s="388"/>
      <c r="F30" s="388"/>
      <c r="G30" s="388"/>
      <c r="H30" s="388"/>
      <c r="I30" s="388"/>
      <c r="J30" s="388"/>
      <c r="K30" s="388"/>
      <c r="L30" s="388"/>
      <c r="M30" s="388"/>
    </row>
    <row r="31" spans="1:20" x14ac:dyDescent="0.3">
      <c r="A31" s="387"/>
      <c r="B31" s="387"/>
      <c r="C31" s="387"/>
      <c r="D31" s="387"/>
      <c r="E31" s="388"/>
      <c r="F31" s="388"/>
      <c r="G31" s="388"/>
      <c r="H31" s="388"/>
      <c r="I31" s="388"/>
      <c r="J31" s="388"/>
      <c r="K31" s="388"/>
      <c r="L31" s="388"/>
      <c r="M31" s="388"/>
    </row>
    <row r="32" spans="1:20" x14ac:dyDescent="0.3">
      <c r="A32" s="387"/>
      <c r="B32" s="387"/>
      <c r="C32" s="387"/>
      <c r="D32" s="387"/>
      <c r="E32" s="388"/>
      <c r="F32" s="388"/>
      <c r="G32" s="388"/>
      <c r="H32" s="388"/>
      <c r="I32" s="388"/>
      <c r="J32" s="388"/>
      <c r="K32" s="388"/>
      <c r="L32" s="388"/>
      <c r="M32" s="388"/>
    </row>
    <row r="33" spans="1:13" x14ac:dyDescent="0.3">
      <c r="A33" s="387"/>
      <c r="B33" s="387"/>
      <c r="C33" s="387"/>
      <c r="D33" s="387"/>
      <c r="E33" s="388"/>
      <c r="F33" s="388"/>
      <c r="G33" s="388"/>
      <c r="H33" s="388"/>
      <c r="I33" s="388"/>
      <c r="J33" s="388"/>
      <c r="K33" s="388"/>
      <c r="L33" s="388"/>
      <c r="M33" s="388"/>
    </row>
    <row r="34" spans="1:13" x14ac:dyDescent="0.3">
      <c r="A34" s="387"/>
      <c r="B34" s="387"/>
      <c r="C34" s="387"/>
      <c r="D34" s="387"/>
      <c r="E34" s="388"/>
      <c r="F34" s="388"/>
      <c r="G34" s="388"/>
      <c r="H34" s="388"/>
      <c r="I34" s="388"/>
      <c r="J34" s="388"/>
      <c r="K34" s="388"/>
      <c r="L34" s="388"/>
      <c r="M34" s="388"/>
    </row>
    <row r="35" spans="1:13" ht="21" customHeight="1" x14ac:dyDescent="0.3">
      <c r="A35" s="387"/>
      <c r="B35" s="387"/>
      <c r="C35" s="387"/>
      <c r="D35" s="387"/>
      <c r="E35" s="388"/>
      <c r="F35" s="388"/>
      <c r="G35" s="388"/>
      <c r="H35" s="388"/>
      <c r="I35" s="388"/>
      <c r="J35" s="388"/>
      <c r="K35" s="388"/>
      <c r="L35" s="388"/>
      <c r="M35" s="388"/>
    </row>
    <row r="36" spans="1:13" ht="36" customHeight="1" x14ac:dyDescent="0.3">
      <c r="A36" s="387"/>
      <c r="B36" s="387"/>
      <c r="C36" s="387"/>
      <c r="D36" s="387"/>
      <c r="E36" s="388"/>
      <c r="F36" s="388"/>
      <c r="G36" s="388"/>
      <c r="H36" s="388"/>
      <c r="I36" s="388"/>
      <c r="J36" s="388"/>
      <c r="K36" s="388"/>
      <c r="L36" s="388"/>
      <c r="M36" s="388"/>
    </row>
    <row r="37" spans="1:13" x14ac:dyDescent="0.3">
      <c r="A37" s="387"/>
      <c r="B37" s="387"/>
      <c r="C37" s="387"/>
      <c r="D37" s="387"/>
      <c r="E37" s="388"/>
      <c r="F37" s="388"/>
      <c r="G37" s="388"/>
      <c r="H37" s="388"/>
      <c r="I37" s="388"/>
      <c r="J37" s="388"/>
      <c r="K37" s="388"/>
      <c r="L37" s="388"/>
      <c r="M37" s="388"/>
    </row>
  </sheetData>
  <mergeCells count="30">
    <mergeCell ref="A28:M28"/>
    <mergeCell ref="M7:M9"/>
    <mergeCell ref="A8:F18"/>
    <mergeCell ref="G12:I12"/>
    <mergeCell ref="G13:I13"/>
    <mergeCell ref="G14:I14"/>
    <mergeCell ref="G15:I15"/>
    <mergeCell ref="G16:I16"/>
    <mergeCell ref="G17:I17"/>
    <mergeCell ref="G18:I18"/>
    <mergeCell ref="G19:L19"/>
    <mergeCell ref="A20:M20"/>
    <mergeCell ref="A25:M25"/>
    <mergeCell ref="A26:M26"/>
    <mergeCell ref="A27:M27"/>
    <mergeCell ref="A1:J2"/>
    <mergeCell ref="K1:M4"/>
    <mergeCell ref="A3:C4"/>
    <mergeCell ref="D3:J4"/>
    <mergeCell ref="A5:F5"/>
    <mergeCell ref="H5:J5"/>
    <mergeCell ref="K5:L5"/>
    <mergeCell ref="A6:B6"/>
    <mergeCell ref="C6:J6"/>
    <mergeCell ref="K6:L6"/>
    <mergeCell ref="A7:B7"/>
    <mergeCell ref="C7:F7"/>
    <mergeCell ref="G7:G9"/>
    <mergeCell ref="H7:K8"/>
    <mergeCell ref="L7:L9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60E11-83FF-430A-9AA9-674FE5712AF2}">
  <sheetPr>
    <tabColor rgb="FF00B0F0"/>
  </sheetPr>
  <dimension ref="B5:T212"/>
  <sheetViews>
    <sheetView showGridLines="0" zoomScale="65" zoomScaleNormal="77" workbookViewId="0">
      <selection activeCell="J31" sqref="J31"/>
    </sheetView>
  </sheetViews>
  <sheetFormatPr baseColWidth="10" defaultColWidth="11.44140625" defaultRowHeight="13.8" x14ac:dyDescent="0.25"/>
  <cols>
    <col min="1" max="1" width="11.44140625" style="257"/>
    <col min="2" max="2" width="26.6640625" style="257" customWidth="1"/>
    <col min="3" max="3" width="27.5546875" style="257" customWidth="1"/>
    <col min="4" max="4" width="13.109375" style="257" customWidth="1"/>
    <col min="5" max="5" width="15.109375" style="257" customWidth="1"/>
    <col min="6" max="6" width="17.109375" style="257" customWidth="1"/>
    <col min="7" max="7" width="20.6640625" style="257" customWidth="1"/>
    <col min="8" max="8" width="18.6640625" style="257" customWidth="1"/>
    <col min="9" max="9" width="15.109375" style="257" customWidth="1"/>
    <col min="10" max="10" width="11.88671875" style="257" bestFit="1" customWidth="1"/>
    <col min="11" max="11" width="11.44140625" style="257"/>
    <col min="12" max="12" width="16.44140625" style="257" bestFit="1" customWidth="1"/>
    <col min="13" max="13" width="19" style="257" customWidth="1"/>
    <col min="14" max="14" width="19.5546875" style="257" customWidth="1"/>
    <col min="15" max="15" width="11.44140625" style="257"/>
    <col min="16" max="16" width="15.33203125" style="257" customWidth="1"/>
    <col min="17" max="17" width="19.44140625" style="257" customWidth="1"/>
    <col min="18" max="18" width="20.33203125" style="257" customWidth="1"/>
    <col min="19" max="16384" width="11.44140625" style="257"/>
  </cols>
  <sheetData>
    <row r="5" spans="2:11" x14ac:dyDescent="0.25">
      <c r="K5" s="257" t="s">
        <v>497</v>
      </c>
    </row>
    <row r="8" spans="2:11" ht="51.75" customHeight="1" x14ac:dyDescent="0.25">
      <c r="B8" s="566" t="s">
        <v>320</v>
      </c>
      <c r="C8" s="567"/>
      <c r="D8" s="567"/>
      <c r="E8" s="567"/>
      <c r="F8" s="567"/>
      <c r="G8" s="567"/>
      <c r="H8" s="568"/>
    </row>
    <row r="9" spans="2:11" x14ac:dyDescent="0.25">
      <c r="B9" s="629" t="str">
        <f>+PRESUPUESTO!B1</f>
        <v>MANTENIMIENTO Y ADECUACIÓN DE INSTITUCIONES EDUCATIVAS OFICIALES, DEL MUNICIPIO DE LA APARTADA CORDOBA.</v>
      </c>
      <c r="C9" s="721"/>
      <c r="D9" s="721"/>
      <c r="E9" s="721"/>
      <c r="F9" s="721"/>
      <c r="G9" s="721"/>
      <c r="H9" s="722"/>
    </row>
    <row r="10" spans="2:11" x14ac:dyDescent="0.25">
      <c r="B10" s="723"/>
      <c r="C10" s="724"/>
      <c r="D10" s="724"/>
      <c r="E10" s="724"/>
      <c r="F10" s="724"/>
      <c r="G10" s="724"/>
      <c r="H10" s="725"/>
    </row>
    <row r="11" spans="2:11" x14ac:dyDescent="0.25">
      <c r="B11" s="726"/>
      <c r="C11" s="727"/>
      <c r="D11" s="727"/>
      <c r="E11" s="727"/>
      <c r="F11" s="727"/>
      <c r="G11" s="727"/>
      <c r="H11" s="728"/>
    </row>
    <row r="12" spans="2:11" x14ac:dyDescent="0.25">
      <c r="B12" s="578" t="str">
        <f>+PRESUPUESTO!C5</f>
        <v>DESMONTE DE PUERTA GALVANIZADA DE ACCCESO A UNIDAD SANITARIA, 1.0 MTS X 2.40 MTS, INLCUYE DESMONTE DE MARCO</v>
      </c>
      <c r="C12" s="579"/>
      <c r="D12" s="579"/>
      <c r="E12" s="579"/>
      <c r="F12" s="580"/>
      <c r="G12" s="587" t="s">
        <v>505</v>
      </c>
      <c r="H12" s="588"/>
    </row>
    <row r="13" spans="2:11" x14ac:dyDescent="0.25">
      <c r="B13" s="581"/>
      <c r="C13" s="582"/>
      <c r="D13" s="582"/>
      <c r="E13" s="582"/>
      <c r="F13" s="583"/>
      <c r="G13" s="589"/>
      <c r="H13" s="590"/>
    </row>
    <row r="14" spans="2:11" x14ac:dyDescent="0.25">
      <c r="B14" s="584"/>
      <c r="C14" s="585"/>
      <c r="D14" s="585"/>
      <c r="E14" s="585"/>
      <c r="F14" s="586"/>
      <c r="G14" s="591"/>
      <c r="H14" s="592"/>
    </row>
    <row r="15" spans="2:11" x14ac:dyDescent="0.25">
      <c r="B15" s="651"/>
      <c r="C15" s="652"/>
      <c r="D15" s="652"/>
      <c r="E15" s="652"/>
      <c r="F15" s="652"/>
      <c r="G15" s="652"/>
      <c r="H15" s="653"/>
    </row>
    <row r="16" spans="2:11" x14ac:dyDescent="0.25">
      <c r="B16" s="214" t="s">
        <v>19</v>
      </c>
      <c r="C16" s="266"/>
      <c r="D16" s="266"/>
      <c r="E16" s="266"/>
      <c r="F16" s="296"/>
      <c r="G16" s="266"/>
      <c r="H16" s="216"/>
    </row>
    <row r="17" spans="2:8" x14ac:dyDescent="0.25">
      <c r="B17" s="560" t="s">
        <v>20</v>
      </c>
      <c r="C17" s="561"/>
      <c r="D17" s="297" t="s">
        <v>21</v>
      </c>
      <c r="E17" s="297" t="s">
        <v>22</v>
      </c>
      <c r="F17" s="298" t="s">
        <v>23</v>
      </c>
      <c r="G17" s="299" t="s">
        <v>24</v>
      </c>
      <c r="H17" s="300" t="s">
        <v>482</v>
      </c>
    </row>
    <row r="18" spans="2:8" x14ac:dyDescent="0.25">
      <c r="B18" s="562" t="s">
        <v>8</v>
      </c>
      <c r="C18" s="563"/>
      <c r="D18" s="301"/>
      <c r="E18" s="302"/>
      <c r="F18" s="303">
        <v>0.1</v>
      </c>
      <c r="G18" s="287">
        <f>+H38</f>
        <v>3976.5887348571432</v>
      </c>
      <c r="H18" s="304">
        <f>+F18*G18</f>
        <v>397.65887348571437</v>
      </c>
    </row>
    <row r="19" spans="2:8" x14ac:dyDescent="0.25">
      <c r="B19" s="600"/>
      <c r="C19" s="601"/>
      <c r="D19" s="301"/>
      <c r="E19" s="302"/>
      <c r="F19" s="289"/>
      <c r="G19" s="287"/>
      <c r="H19" s="304"/>
    </row>
    <row r="20" spans="2:8" x14ac:dyDescent="0.25">
      <c r="B20" s="562"/>
      <c r="C20" s="563"/>
      <c r="D20" s="301"/>
      <c r="E20" s="302"/>
      <c r="F20" s="289"/>
      <c r="G20" s="287"/>
      <c r="H20" s="304"/>
    </row>
    <row r="21" spans="2:8" x14ac:dyDescent="0.25">
      <c r="B21" s="305"/>
      <c r="C21" s="266"/>
      <c r="D21" s="266"/>
      <c r="E21" s="266"/>
      <c r="F21" s="296"/>
      <c r="G21" s="306" t="s">
        <v>25</v>
      </c>
      <c r="H21" s="307">
        <f>SUM(H18:H20)</f>
        <v>397.65887348571437</v>
      </c>
    </row>
    <row r="22" spans="2:8" x14ac:dyDescent="0.25">
      <c r="B22" s="214" t="s">
        <v>26</v>
      </c>
      <c r="C22" s="266"/>
      <c r="D22" s="266"/>
      <c r="E22" s="266"/>
      <c r="F22" s="308"/>
      <c r="G22" s="308"/>
      <c r="H22" s="309"/>
    </row>
    <row r="23" spans="2:8" x14ac:dyDescent="0.25">
      <c r="B23" s="560" t="s">
        <v>20</v>
      </c>
      <c r="C23" s="561"/>
      <c r="D23" s="297" t="s">
        <v>27</v>
      </c>
      <c r="E23" s="297" t="s">
        <v>28</v>
      </c>
      <c r="F23" s="298" t="s">
        <v>29</v>
      </c>
      <c r="G23" s="299" t="s">
        <v>24</v>
      </c>
      <c r="H23" s="310" t="s">
        <v>482</v>
      </c>
    </row>
    <row r="24" spans="2:8" ht="27.6" customHeight="1" x14ac:dyDescent="0.25">
      <c r="B24" s="554" t="s">
        <v>519</v>
      </c>
      <c r="C24" s="555"/>
      <c r="D24" s="285" t="s">
        <v>44</v>
      </c>
      <c r="E24" s="311">
        <v>5144.04</v>
      </c>
      <c r="F24" s="289">
        <v>1</v>
      </c>
      <c r="G24" s="274">
        <f>E24*F24</f>
        <v>5144.04</v>
      </c>
      <c r="H24" s="275">
        <f>G24</f>
        <v>5144.04</v>
      </c>
    </row>
    <row r="25" spans="2:8" ht="22.5" customHeight="1" x14ac:dyDescent="0.25">
      <c r="B25" s="596" t="s">
        <v>520</v>
      </c>
      <c r="C25" s="597"/>
      <c r="D25" s="285" t="s">
        <v>44</v>
      </c>
      <c r="E25" s="272">
        <v>11200</v>
      </c>
      <c r="F25" s="289">
        <v>0.05</v>
      </c>
      <c r="G25" s="274">
        <f>E25*F25</f>
        <v>560</v>
      </c>
      <c r="H25" s="275">
        <f>G25</f>
        <v>560</v>
      </c>
    </row>
    <row r="26" spans="2:8" ht="18.75" customHeight="1" x14ac:dyDescent="0.25">
      <c r="B26" s="596" t="s">
        <v>506</v>
      </c>
      <c r="C26" s="597"/>
      <c r="D26" s="285" t="s">
        <v>501</v>
      </c>
      <c r="E26" s="286">
        <f>+SUM(G24:G25)</f>
        <v>5704.04</v>
      </c>
      <c r="F26" s="303">
        <v>0.05</v>
      </c>
      <c r="G26" s="287">
        <f>+E26*F26</f>
        <v>285.202</v>
      </c>
      <c r="H26" s="275">
        <f>+G26</f>
        <v>285.202</v>
      </c>
    </row>
    <row r="27" spans="2:8" x14ac:dyDescent="0.25">
      <c r="B27" s="305"/>
      <c r="C27" s="266"/>
      <c r="D27" s="266"/>
      <c r="E27" s="266"/>
      <c r="F27" s="308"/>
      <c r="G27" s="306" t="s">
        <v>25</v>
      </c>
      <c r="H27" s="312">
        <f>SUM(H24:H26)</f>
        <v>5989.2420000000002</v>
      </c>
    </row>
    <row r="28" spans="2:8" x14ac:dyDescent="0.25">
      <c r="B28" s="214" t="s">
        <v>30</v>
      </c>
      <c r="C28" s="266"/>
      <c r="D28" s="266"/>
      <c r="E28" s="266"/>
      <c r="F28" s="308"/>
      <c r="G28" s="308"/>
      <c r="H28" s="304"/>
    </row>
    <row r="29" spans="2:8" x14ac:dyDescent="0.25">
      <c r="B29" s="560" t="s">
        <v>20</v>
      </c>
      <c r="C29" s="561"/>
      <c r="D29" s="297" t="s">
        <v>21</v>
      </c>
      <c r="E29" s="297" t="s">
        <v>127</v>
      </c>
      <c r="F29" s="298" t="s">
        <v>32</v>
      </c>
      <c r="G29" s="297" t="s">
        <v>24</v>
      </c>
      <c r="H29" s="313" t="s">
        <v>481</v>
      </c>
    </row>
    <row r="30" spans="2:8" x14ac:dyDescent="0.25">
      <c r="B30" s="598"/>
      <c r="C30" s="599"/>
      <c r="D30" s="314"/>
      <c r="E30" s="315"/>
      <c r="F30" s="274"/>
      <c r="G30" s="274">
        <f>+E30*F30</f>
        <v>0</v>
      </c>
      <c r="H30" s="304">
        <f>+G30</f>
        <v>0</v>
      </c>
    </row>
    <row r="31" spans="2:8" x14ac:dyDescent="0.25">
      <c r="B31" s="598"/>
      <c r="C31" s="599"/>
      <c r="D31" s="314"/>
      <c r="E31" s="316"/>
      <c r="F31" s="317"/>
      <c r="G31" s="316"/>
      <c r="H31" s="318"/>
    </row>
    <row r="32" spans="2:8" x14ac:dyDescent="0.25">
      <c r="B32" s="305"/>
      <c r="C32" s="266"/>
      <c r="D32" s="266"/>
      <c r="E32" s="266"/>
      <c r="F32" s="296"/>
      <c r="G32" s="306" t="s">
        <v>25</v>
      </c>
      <c r="H32" s="319">
        <f>+H30</f>
        <v>0</v>
      </c>
    </row>
    <row r="33" spans="2:11" x14ac:dyDescent="0.25">
      <c r="B33" s="214" t="s">
        <v>34</v>
      </c>
      <c r="C33" s="266"/>
      <c r="D33" s="266"/>
      <c r="E33" s="266"/>
      <c r="F33" s="296"/>
      <c r="G33" s="308"/>
      <c r="H33" s="320"/>
    </row>
    <row r="34" spans="2:11" x14ac:dyDescent="0.25">
      <c r="B34" s="321" t="s">
        <v>35</v>
      </c>
      <c r="C34" s="321" t="s">
        <v>29</v>
      </c>
      <c r="D34" s="321" t="s">
        <v>36</v>
      </c>
      <c r="E34" s="321" t="s">
        <v>37</v>
      </c>
      <c r="F34" s="322" t="s">
        <v>38</v>
      </c>
      <c r="G34" s="323" t="s">
        <v>23</v>
      </c>
      <c r="H34" s="324" t="s">
        <v>24</v>
      </c>
    </row>
    <row r="35" spans="2:11" x14ac:dyDescent="0.25">
      <c r="B35" s="288" t="s">
        <v>39</v>
      </c>
      <c r="C35" s="316">
        <v>1</v>
      </c>
      <c r="D35" s="325">
        <v>93381.6</v>
      </c>
      <c r="E35" s="326">
        <v>1.8344</v>
      </c>
      <c r="F35" s="327">
        <f>+D35*C35*E35</f>
        <v>171299.20704000001</v>
      </c>
      <c r="G35" s="316">
        <v>70</v>
      </c>
      <c r="H35" s="274">
        <f>F35/G35</f>
        <v>2447.1315291428573</v>
      </c>
    </row>
    <row r="36" spans="2:11" x14ac:dyDescent="0.25">
      <c r="B36" s="288" t="s">
        <v>496</v>
      </c>
      <c r="C36" s="316">
        <v>1</v>
      </c>
      <c r="D36" s="325">
        <v>58363.5</v>
      </c>
      <c r="E36" s="326">
        <v>1.8344</v>
      </c>
      <c r="F36" s="327">
        <f>+D36*C36*E36</f>
        <v>107062.00440000001</v>
      </c>
      <c r="G36" s="316">
        <v>70</v>
      </c>
      <c r="H36" s="274">
        <f>+F36/G36</f>
        <v>1529.4572057142857</v>
      </c>
    </row>
    <row r="37" spans="2:11" x14ac:dyDescent="0.25">
      <c r="B37" s="288"/>
      <c r="C37" s="288"/>
      <c r="D37" s="317"/>
      <c r="E37" s="288"/>
      <c r="F37" s="317"/>
      <c r="G37" s="288">
        <v>4</v>
      </c>
      <c r="H37" s="327"/>
    </row>
    <row r="38" spans="2:11" x14ac:dyDescent="0.25">
      <c r="B38" s="305"/>
      <c r="C38" s="266"/>
      <c r="D38" s="266"/>
      <c r="E38" s="266"/>
      <c r="F38" s="296"/>
      <c r="G38" s="306" t="s">
        <v>25</v>
      </c>
      <c r="H38" s="328">
        <f>+SUM(H35:H37)</f>
        <v>3976.5887348571432</v>
      </c>
      <c r="K38" s="257" t="s">
        <v>497</v>
      </c>
    </row>
    <row r="39" spans="2:11" x14ac:dyDescent="0.25">
      <c r="B39" s="217"/>
      <c r="C39" s="26"/>
      <c r="D39" s="26"/>
      <c r="E39" s="26"/>
      <c r="F39" s="215"/>
      <c r="G39" s="256"/>
      <c r="H39" s="218"/>
    </row>
    <row r="40" spans="2:11" x14ac:dyDescent="0.25">
      <c r="B40" s="258"/>
      <c r="C40" s="26"/>
      <c r="D40" s="648" t="s">
        <v>41</v>
      </c>
      <c r="E40" s="648"/>
      <c r="F40" s="648"/>
      <c r="G40" s="649"/>
      <c r="H40" s="254">
        <f>+H21+H27+H32+H38</f>
        <v>10363.489608342858</v>
      </c>
    </row>
    <row r="41" spans="2:11" x14ac:dyDescent="0.25">
      <c r="B41" s="258"/>
      <c r="C41" s="26"/>
      <c r="D41" s="255"/>
      <c r="E41" s="255"/>
      <c r="F41" s="255"/>
      <c r="G41" s="255"/>
      <c r="H41" s="219"/>
    </row>
    <row r="42" spans="2:11" x14ac:dyDescent="0.25">
      <c r="B42" s="258"/>
      <c r="C42" s="26"/>
      <c r="D42" s="255"/>
      <c r="E42" s="255"/>
      <c r="F42" s="255"/>
      <c r="G42" s="255"/>
      <c r="H42" s="219"/>
      <c r="I42" s="257" t="s">
        <v>497</v>
      </c>
    </row>
    <row r="43" spans="2:11" x14ac:dyDescent="0.25">
      <c r="B43" s="258"/>
      <c r="C43" s="26"/>
      <c r="D43" s="255"/>
      <c r="E43" s="255"/>
      <c r="F43" s="255"/>
      <c r="G43" s="255"/>
      <c r="H43" s="219"/>
    </row>
    <row r="44" spans="2:11" x14ac:dyDescent="0.25">
      <c r="B44" s="262" t="str">
        <f>+PRESUPUESTO!C73</f>
        <v>OMAR ANTONIO ROMAN HERRERA</v>
      </c>
      <c r="C44" s="263"/>
      <c r="D44" s="255"/>
      <c r="E44" s="255"/>
      <c r="F44" s="255"/>
      <c r="G44" s="255"/>
      <c r="H44" s="219"/>
    </row>
    <row r="45" spans="2:11" x14ac:dyDescent="0.25">
      <c r="B45" s="264" t="str">
        <f>PRESUPUESTO!C74</f>
        <v>Secretario de Planeación, Obras Públicas y Medio Ambiente</v>
      </c>
      <c r="C45" s="263"/>
      <c r="D45" s="255"/>
      <c r="E45" s="255"/>
      <c r="F45" s="255"/>
      <c r="G45" s="255"/>
      <c r="H45" s="219"/>
    </row>
    <row r="46" spans="2:11" x14ac:dyDescent="0.25">
      <c r="B46" s="265" t="str">
        <f>PRESUPUESTO!C75</f>
        <v>Municipio de La Apartada Córdoba (E)</v>
      </c>
      <c r="C46" s="266"/>
      <c r="D46" s="255"/>
      <c r="E46" s="255"/>
      <c r="F46" s="255"/>
      <c r="G46" s="255"/>
      <c r="H46" s="219"/>
    </row>
    <row r="47" spans="2:11" x14ac:dyDescent="0.25">
      <c r="B47" s="267"/>
      <c r="C47" s="268"/>
      <c r="D47" s="259"/>
      <c r="E47" s="259"/>
      <c r="F47" s="259"/>
      <c r="G47" s="259"/>
      <c r="H47" s="260"/>
    </row>
    <row r="57" spans="2:12" ht="45.75" customHeight="1" x14ac:dyDescent="0.25">
      <c r="B57" s="566" t="s">
        <v>320</v>
      </c>
      <c r="C57" s="567"/>
      <c r="D57" s="567"/>
      <c r="E57" s="567"/>
      <c r="F57" s="567"/>
      <c r="G57" s="567"/>
      <c r="H57" s="568"/>
    </row>
    <row r="58" spans="2:12" x14ac:dyDescent="0.25">
      <c r="B58" s="731" t="str">
        <f>+PRESUPUESTO!B1</f>
        <v>MANTENIMIENTO Y ADECUACIÓN DE INSTITUCIONES EDUCATIVAS OFICIALES, DEL MUNICIPIO DE LA APARTADA CORDOBA.</v>
      </c>
      <c r="C58" s="732"/>
      <c r="D58" s="732"/>
      <c r="E58" s="732"/>
      <c r="F58" s="732"/>
      <c r="G58" s="732"/>
      <c r="H58" s="733"/>
    </row>
    <row r="59" spans="2:12" x14ac:dyDescent="0.25">
      <c r="B59" s="734"/>
      <c r="C59" s="735"/>
      <c r="D59" s="735"/>
      <c r="E59" s="735"/>
      <c r="F59" s="735"/>
      <c r="G59" s="735"/>
      <c r="H59" s="736"/>
    </row>
    <row r="60" spans="2:12" x14ac:dyDescent="0.25">
      <c r="B60" s="737"/>
      <c r="C60" s="738"/>
      <c r="D60" s="738"/>
      <c r="E60" s="738"/>
      <c r="F60" s="738"/>
      <c r="G60" s="738"/>
      <c r="H60" s="739"/>
    </row>
    <row r="61" spans="2:12" x14ac:dyDescent="0.25">
      <c r="B61" s="740" t="str">
        <f>+PRESUPUESTO!C6</f>
        <v>DESMONTE DE PUERTA DE BAÑO DE UNIDAD SANITARIA EN MAL ESTADO. 0.68 MTS X 1.80 MTS, INCLUYE DESMONTE DE MARCO</v>
      </c>
      <c r="C61" s="741"/>
      <c r="D61" s="741"/>
      <c r="E61" s="741"/>
      <c r="F61" s="742"/>
      <c r="G61" s="587" t="s">
        <v>521</v>
      </c>
      <c r="H61" s="588"/>
    </row>
    <row r="62" spans="2:12" x14ac:dyDescent="0.25">
      <c r="B62" s="743"/>
      <c r="C62" s="744"/>
      <c r="D62" s="744"/>
      <c r="E62" s="744"/>
      <c r="F62" s="745"/>
      <c r="G62" s="589"/>
      <c r="H62" s="590"/>
    </row>
    <row r="63" spans="2:12" x14ac:dyDescent="0.25">
      <c r="B63" s="746"/>
      <c r="C63" s="747"/>
      <c r="D63" s="747"/>
      <c r="E63" s="747"/>
      <c r="F63" s="748"/>
      <c r="G63" s="591"/>
      <c r="H63" s="592"/>
      <c r="J63" s="294" t="s">
        <v>530</v>
      </c>
      <c r="L63" s="257">
        <f>0.054*1</f>
        <v>5.3999999999999999E-2</v>
      </c>
    </row>
    <row r="64" spans="2:12" x14ac:dyDescent="0.25">
      <c r="B64" s="651"/>
      <c r="C64" s="652"/>
      <c r="D64" s="652"/>
      <c r="E64" s="652"/>
      <c r="F64" s="652"/>
      <c r="G64" s="652"/>
      <c r="H64" s="653"/>
    </row>
    <row r="65" spans="2:8" x14ac:dyDescent="0.25">
      <c r="B65" s="214" t="s">
        <v>19</v>
      </c>
      <c r="C65" s="266"/>
      <c r="D65" s="266"/>
      <c r="E65" s="266"/>
      <c r="F65" s="296"/>
      <c r="G65" s="266"/>
      <c r="H65" s="216"/>
    </row>
    <row r="66" spans="2:8" x14ac:dyDescent="0.25">
      <c r="B66" s="560" t="s">
        <v>20</v>
      </c>
      <c r="C66" s="561"/>
      <c r="D66" s="297" t="s">
        <v>21</v>
      </c>
      <c r="E66" s="297" t="s">
        <v>22</v>
      </c>
      <c r="F66" s="298" t="s">
        <v>23</v>
      </c>
      <c r="G66" s="299" t="s">
        <v>24</v>
      </c>
      <c r="H66" s="300" t="s">
        <v>482</v>
      </c>
    </row>
    <row r="67" spans="2:8" x14ac:dyDescent="0.25">
      <c r="B67" s="562" t="s">
        <v>8</v>
      </c>
      <c r="C67" s="563"/>
      <c r="D67" s="301"/>
      <c r="E67" s="302"/>
      <c r="F67" s="303">
        <v>0.1</v>
      </c>
      <c r="G67" s="287">
        <f>+H95</f>
        <v>19271.160792000002</v>
      </c>
      <c r="H67" s="304">
        <f>+F67*G67</f>
        <v>1927.1160792000003</v>
      </c>
    </row>
    <row r="68" spans="2:8" x14ac:dyDescent="0.25">
      <c r="B68" s="600"/>
      <c r="C68" s="601"/>
      <c r="D68" s="301"/>
      <c r="E68" s="302"/>
      <c r="F68" s="289"/>
      <c r="G68" s="287"/>
      <c r="H68" s="304"/>
    </row>
    <row r="69" spans="2:8" x14ac:dyDescent="0.25">
      <c r="B69" s="562"/>
      <c r="C69" s="563"/>
      <c r="D69" s="301"/>
      <c r="E69" s="302"/>
      <c r="F69" s="289"/>
      <c r="G69" s="287"/>
      <c r="H69" s="304"/>
    </row>
    <row r="70" spans="2:8" x14ac:dyDescent="0.25">
      <c r="B70" s="305"/>
      <c r="C70" s="266"/>
      <c r="D70" s="266"/>
      <c r="E70" s="266"/>
      <c r="F70" s="296"/>
      <c r="G70" s="306" t="s">
        <v>25</v>
      </c>
      <c r="H70" s="307">
        <f>SUM(H67:H69)</f>
        <v>1927.1160792000003</v>
      </c>
    </row>
    <row r="71" spans="2:8" x14ac:dyDescent="0.25">
      <c r="B71" s="214" t="s">
        <v>26</v>
      </c>
      <c r="C71" s="266"/>
      <c r="D71" s="266"/>
      <c r="E71" s="266"/>
      <c r="F71" s="308"/>
      <c r="G71" s="308"/>
      <c r="H71" s="309"/>
    </row>
    <row r="72" spans="2:8" x14ac:dyDescent="0.25">
      <c r="B72" s="560" t="s">
        <v>20</v>
      </c>
      <c r="C72" s="561"/>
      <c r="D72" s="297" t="s">
        <v>27</v>
      </c>
      <c r="E72" s="297" t="s">
        <v>28</v>
      </c>
      <c r="F72" s="298" t="s">
        <v>29</v>
      </c>
      <c r="G72" s="299" t="s">
        <v>24</v>
      </c>
      <c r="H72" s="310" t="s">
        <v>482</v>
      </c>
    </row>
    <row r="73" spans="2:8" x14ac:dyDescent="0.25">
      <c r="B73" s="596" t="s">
        <v>522</v>
      </c>
      <c r="C73" s="597"/>
      <c r="D73" s="278" t="s">
        <v>4</v>
      </c>
      <c r="E73" s="279">
        <v>90000</v>
      </c>
      <c r="F73" s="329">
        <f>+(L63*0.67)</f>
        <v>3.6180000000000004E-2</v>
      </c>
      <c r="G73" s="280">
        <f>+E73*F73</f>
        <v>3256.2000000000003</v>
      </c>
      <c r="H73" s="281">
        <f t="shared" ref="H73:H76" si="0">+G73</f>
        <v>3256.2000000000003</v>
      </c>
    </row>
    <row r="74" spans="2:8" x14ac:dyDescent="0.25">
      <c r="B74" s="596" t="s">
        <v>525</v>
      </c>
      <c r="C74" s="597"/>
      <c r="D74" s="278" t="s">
        <v>4</v>
      </c>
      <c r="E74" s="279">
        <v>55000</v>
      </c>
      <c r="F74" s="277">
        <f>+L63*0.67</f>
        <v>3.6180000000000004E-2</v>
      </c>
      <c r="G74" s="280">
        <f>+E74*F74</f>
        <v>1989.9000000000003</v>
      </c>
      <c r="H74" s="281">
        <f t="shared" si="0"/>
        <v>1989.9000000000003</v>
      </c>
    </row>
    <row r="75" spans="2:8" x14ac:dyDescent="0.25">
      <c r="B75" s="596" t="s">
        <v>523</v>
      </c>
      <c r="C75" s="597"/>
      <c r="D75" s="278" t="s">
        <v>72</v>
      </c>
      <c r="E75" s="279">
        <v>32000</v>
      </c>
      <c r="F75" s="277">
        <f>+(L63*420)/50</f>
        <v>0.4536</v>
      </c>
      <c r="G75" s="280">
        <f t="shared" ref="G75:G76" si="1">+E75*F75</f>
        <v>14515.2</v>
      </c>
      <c r="H75" s="281">
        <f t="shared" si="0"/>
        <v>14515.2</v>
      </c>
    </row>
    <row r="76" spans="2:8" x14ac:dyDescent="0.25">
      <c r="B76" s="596" t="s">
        <v>524</v>
      </c>
      <c r="C76" s="597"/>
      <c r="D76" s="278" t="s">
        <v>499</v>
      </c>
      <c r="E76" s="279">
        <v>150</v>
      </c>
      <c r="F76" s="277">
        <f>+L63*250</f>
        <v>13.5</v>
      </c>
      <c r="G76" s="280">
        <f t="shared" si="1"/>
        <v>2025</v>
      </c>
      <c r="H76" s="281">
        <f t="shared" si="0"/>
        <v>2025</v>
      </c>
    </row>
    <row r="77" spans="2:8" x14ac:dyDescent="0.25">
      <c r="B77" s="330"/>
      <c r="C77" s="331"/>
      <c r="D77" s="332"/>
      <c r="E77" s="332"/>
      <c r="F77" s="333"/>
      <c r="G77" s="274">
        <f t="shared" ref="G77:G80" si="2">E77*F77</f>
        <v>0</v>
      </c>
      <c r="H77" s="275">
        <f t="shared" ref="H77:H80" si="3">G77</f>
        <v>0</v>
      </c>
    </row>
    <row r="78" spans="2:8" x14ac:dyDescent="0.25">
      <c r="B78" s="330"/>
      <c r="C78" s="331"/>
      <c r="D78" s="332"/>
      <c r="E78" s="332"/>
      <c r="F78" s="333"/>
      <c r="G78" s="274">
        <f t="shared" si="2"/>
        <v>0</v>
      </c>
      <c r="H78" s="275">
        <f t="shared" si="3"/>
        <v>0</v>
      </c>
    </row>
    <row r="79" spans="2:8" x14ac:dyDescent="0.25">
      <c r="B79" s="330"/>
      <c r="C79" s="331"/>
      <c r="D79" s="332"/>
      <c r="E79" s="332"/>
      <c r="F79" s="333"/>
      <c r="G79" s="274">
        <f t="shared" si="2"/>
        <v>0</v>
      </c>
      <c r="H79" s="275">
        <f t="shared" si="3"/>
        <v>0</v>
      </c>
    </row>
    <row r="80" spans="2:8" x14ac:dyDescent="0.25">
      <c r="B80" s="330"/>
      <c r="C80" s="331"/>
      <c r="D80" s="332"/>
      <c r="E80" s="332"/>
      <c r="F80" s="333"/>
      <c r="G80" s="274">
        <f t="shared" si="2"/>
        <v>0</v>
      </c>
      <c r="H80" s="275">
        <f t="shared" si="3"/>
        <v>0</v>
      </c>
    </row>
    <row r="81" spans="2:8" x14ac:dyDescent="0.25">
      <c r="B81" s="749"/>
      <c r="C81" s="750"/>
      <c r="D81" s="334" t="str">
        <f>+IF(B81=0,"",(VLOOKUP(B81,MATERIALES!$B$6:$D$149,3,FALSE)))</f>
        <v/>
      </c>
      <c r="E81" s="335"/>
      <c r="F81" s="204"/>
      <c r="G81" s="274">
        <f>E81*F81</f>
        <v>0</v>
      </c>
      <c r="H81" s="275">
        <f>G81</f>
        <v>0</v>
      </c>
    </row>
    <row r="82" spans="2:8" x14ac:dyDescent="0.25">
      <c r="B82" s="596"/>
      <c r="C82" s="597"/>
      <c r="D82" s="271" t="str">
        <f>+IF(B82=0,"",(VLOOKUP(B82,MATERIALES!$B$6:$D$149,3,FALSE)))</f>
        <v/>
      </c>
      <c r="E82" s="272"/>
      <c r="F82" s="273"/>
      <c r="G82" s="274">
        <f>E82*F82</f>
        <v>0</v>
      </c>
      <c r="H82" s="275">
        <f>G82</f>
        <v>0</v>
      </c>
    </row>
    <row r="83" spans="2:8" x14ac:dyDescent="0.25">
      <c r="B83" s="596"/>
      <c r="C83" s="597"/>
      <c r="D83" s="285"/>
      <c r="E83" s="286"/>
      <c r="F83" s="289"/>
      <c r="G83" s="287"/>
      <c r="H83" s="288"/>
    </row>
    <row r="84" spans="2:8" x14ac:dyDescent="0.25">
      <c r="B84" s="305"/>
      <c r="C84" s="266"/>
      <c r="D84" s="266"/>
      <c r="E84" s="266"/>
      <c r="F84" s="308"/>
      <c r="G84" s="306" t="s">
        <v>25</v>
      </c>
      <c r="H84" s="312">
        <f>SUM(H73:H83)</f>
        <v>21786.300000000003</v>
      </c>
    </row>
    <row r="85" spans="2:8" x14ac:dyDescent="0.25">
      <c r="B85" s="214" t="s">
        <v>30</v>
      </c>
      <c r="C85" s="266"/>
      <c r="D85" s="266"/>
      <c r="E85" s="266"/>
      <c r="F85" s="308"/>
      <c r="G85" s="308"/>
      <c r="H85" s="304"/>
    </row>
    <row r="86" spans="2:8" x14ac:dyDescent="0.25">
      <c r="B86" s="560" t="s">
        <v>20</v>
      </c>
      <c r="C86" s="561"/>
      <c r="D86" s="297" t="s">
        <v>21</v>
      </c>
      <c r="E86" s="297" t="s">
        <v>127</v>
      </c>
      <c r="F86" s="298" t="s">
        <v>32</v>
      </c>
      <c r="G86" s="297" t="s">
        <v>24</v>
      </c>
      <c r="H86" s="313" t="s">
        <v>481</v>
      </c>
    </row>
    <row r="87" spans="2:8" x14ac:dyDescent="0.25">
      <c r="B87" s="598"/>
      <c r="C87" s="599"/>
      <c r="D87" s="314"/>
      <c r="E87" s="315"/>
      <c r="F87" s="274"/>
      <c r="G87" s="274"/>
      <c r="H87" s="304"/>
    </row>
    <row r="88" spans="2:8" x14ac:dyDescent="0.25">
      <c r="B88" s="598"/>
      <c r="C88" s="599"/>
      <c r="D88" s="314"/>
      <c r="E88" s="316"/>
      <c r="F88" s="317"/>
      <c r="G88" s="316"/>
      <c r="H88" s="318"/>
    </row>
    <row r="89" spans="2:8" x14ac:dyDescent="0.25">
      <c r="B89" s="305"/>
      <c r="C89" s="266"/>
      <c r="D89" s="266"/>
      <c r="E89" s="266"/>
      <c r="F89" s="296"/>
      <c r="G89" s="306" t="s">
        <v>25</v>
      </c>
      <c r="H89" s="319">
        <f>SUM(H87:H88)</f>
        <v>0</v>
      </c>
    </row>
    <row r="90" spans="2:8" x14ac:dyDescent="0.25">
      <c r="B90" s="214" t="s">
        <v>34</v>
      </c>
      <c r="C90" s="266"/>
      <c r="D90" s="266"/>
      <c r="E90" s="266"/>
      <c r="F90" s="296"/>
      <c r="G90" s="308"/>
      <c r="H90" s="320"/>
    </row>
    <row r="91" spans="2:8" x14ac:dyDescent="0.25">
      <c r="B91" s="321" t="s">
        <v>35</v>
      </c>
      <c r="C91" s="321" t="s">
        <v>29</v>
      </c>
      <c r="D91" s="321" t="s">
        <v>36</v>
      </c>
      <c r="E91" s="321" t="s">
        <v>37</v>
      </c>
      <c r="F91" s="322" t="s">
        <v>38</v>
      </c>
      <c r="G91" s="323" t="s">
        <v>23</v>
      </c>
      <c r="H91" s="324" t="s">
        <v>24</v>
      </c>
    </row>
    <row r="92" spans="2:8" x14ac:dyDescent="0.25">
      <c r="B92" s="288" t="s">
        <v>39</v>
      </c>
      <c r="C92" s="316">
        <v>1</v>
      </c>
      <c r="D92" s="325">
        <v>93381.6</v>
      </c>
      <c r="E92" s="326">
        <v>1.8344</v>
      </c>
      <c r="F92" s="327">
        <f>+D92*C92*E92</f>
        <v>171299.20704000001</v>
      </c>
      <c r="G92" s="316">
        <v>20</v>
      </c>
      <c r="H92" s="274">
        <f>F92/G92</f>
        <v>8564.9603520000001</v>
      </c>
    </row>
    <row r="93" spans="2:8" x14ac:dyDescent="0.25">
      <c r="B93" s="288" t="s">
        <v>496</v>
      </c>
      <c r="C93" s="316">
        <v>2</v>
      </c>
      <c r="D93" s="325">
        <v>58363.5</v>
      </c>
      <c r="E93" s="326">
        <v>1.8344</v>
      </c>
      <c r="F93" s="327">
        <f>+D93*C93*E93</f>
        <v>214124.00880000001</v>
      </c>
      <c r="G93" s="316">
        <v>20</v>
      </c>
      <c r="H93" s="274">
        <f>+F93/G93</f>
        <v>10706.200440000001</v>
      </c>
    </row>
    <row r="94" spans="2:8" x14ac:dyDescent="0.25">
      <c r="B94" s="288"/>
      <c r="C94" s="288"/>
      <c r="D94" s="317"/>
      <c r="E94" s="288"/>
      <c r="F94" s="317"/>
      <c r="G94" s="288"/>
      <c r="H94" s="327"/>
    </row>
    <row r="95" spans="2:8" x14ac:dyDescent="0.25">
      <c r="B95" s="305"/>
      <c r="C95" s="266"/>
      <c r="D95" s="266"/>
      <c r="E95" s="266"/>
      <c r="F95" s="296"/>
      <c r="G95" s="306" t="s">
        <v>25</v>
      </c>
      <c r="H95" s="328">
        <f>+SUM(H92:H94)</f>
        <v>19271.160792000002</v>
      </c>
    </row>
    <row r="96" spans="2:8" x14ac:dyDescent="0.25">
      <c r="B96" s="217"/>
      <c r="C96" s="26"/>
      <c r="D96" s="26"/>
      <c r="E96" s="26"/>
      <c r="F96" s="215"/>
      <c r="G96" s="256"/>
      <c r="H96" s="218"/>
    </row>
    <row r="97" spans="2:8" x14ac:dyDescent="0.25">
      <c r="B97" s="258"/>
      <c r="C97" s="26"/>
      <c r="D97" s="648" t="s">
        <v>41</v>
      </c>
      <c r="E97" s="648"/>
      <c r="F97" s="648"/>
      <c r="G97" s="649"/>
      <c r="H97" s="254">
        <f>+H70+H84+H89+H95</f>
        <v>42984.576871200006</v>
      </c>
    </row>
    <row r="98" spans="2:8" x14ac:dyDescent="0.25">
      <c r="B98" s="258"/>
      <c r="C98" s="26"/>
      <c r="D98" s="255"/>
      <c r="E98" s="255"/>
      <c r="F98" s="255"/>
      <c r="G98" s="255"/>
      <c r="H98" s="219"/>
    </row>
    <row r="99" spans="2:8" x14ac:dyDescent="0.25">
      <c r="B99" s="258"/>
      <c r="C99" s="26"/>
      <c r="D99" s="255"/>
      <c r="E99" s="255"/>
      <c r="F99" s="255"/>
      <c r="G99" s="255"/>
      <c r="H99" s="219"/>
    </row>
    <row r="100" spans="2:8" x14ac:dyDescent="0.25">
      <c r="B100" s="258"/>
      <c r="C100" s="26"/>
      <c r="D100" s="255"/>
      <c r="E100" s="255"/>
      <c r="F100" s="255"/>
      <c r="G100" s="255"/>
      <c r="H100" s="219"/>
    </row>
    <row r="101" spans="2:8" x14ac:dyDescent="0.25">
      <c r="B101" s="262" t="str">
        <f>+PRESUPUESTO!C73</f>
        <v>OMAR ANTONIO ROMAN HERRERA</v>
      </c>
      <c r="C101" s="263"/>
      <c r="D101" s="255"/>
      <c r="E101" s="255"/>
      <c r="F101" s="255"/>
      <c r="G101" s="255"/>
      <c r="H101" s="219"/>
    </row>
    <row r="102" spans="2:8" x14ac:dyDescent="0.25">
      <c r="B102" s="264" t="str">
        <f>B45</f>
        <v>Secretario de Planeación, Obras Públicas y Medio Ambiente</v>
      </c>
      <c r="C102" s="263"/>
      <c r="D102" s="255"/>
      <c r="E102" s="255"/>
      <c r="F102" s="255"/>
      <c r="G102" s="255"/>
      <c r="H102" s="219"/>
    </row>
    <row r="103" spans="2:8" x14ac:dyDescent="0.25">
      <c r="B103" s="265" t="s">
        <v>554</v>
      </c>
      <c r="C103" s="266"/>
      <c r="D103" s="255"/>
      <c r="E103" s="255"/>
      <c r="F103" s="255"/>
      <c r="G103" s="255"/>
      <c r="H103" s="219"/>
    </row>
    <row r="104" spans="2:8" x14ac:dyDescent="0.25">
      <c r="B104" s="267"/>
      <c r="C104" s="268"/>
      <c r="D104" s="259"/>
      <c r="E104" s="259"/>
      <c r="F104" s="259"/>
      <c r="G104" s="259"/>
      <c r="H104" s="260"/>
    </row>
    <row r="115" spans="2:8" ht="47.25" customHeight="1" x14ac:dyDescent="0.25">
      <c r="B115" s="566" t="s">
        <v>320</v>
      </c>
      <c r="C115" s="567"/>
      <c r="D115" s="567"/>
      <c r="E115" s="567"/>
      <c r="F115" s="567"/>
      <c r="G115" s="567"/>
      <c r="H115" s="568"/>
    </row>
    <row r="116" spans="2:8" x14ac:dyDescent="0.25">
      <c r="B116" s="629" t="str">
        <f>+PRESUPUESTO!B1</f>
        <v>MANTENIMIENTO Y ADECUACIÓN DE INSTITUCIONES EDUCATIVAS OFICIALES, DEL MUNICIPIO DE LA APARTADA CORDOBA.</v>
      </c>
      <c r="C116" s="721"/>
      <c r="D116" s="721"/>
      <c r="E116" s="721"/>
      <c r="F116" s="721"/>
      <c r="G116" s="721"/>
      <c r="H116" s="722"/>
    </row>
    <row r="117" spans="2:8" x14ac:dyDescent="0.25">
      <c r="B117" s="723"/>
      <c r="C117" s="724"/>
      <c r="D117" s="724"/>
      <c r="E117" s="724"/>
      <c r="F117" s="724"/>
      <c r="G117" s="724"/>
      <c r="H117" s="725"/>
    </row>
    <row r="118" spans="2:8" x14ac:dyDescent="0.25">
      <c r="B118" s="726"/>
      <c r="C118" s="727"/>
      <c r="D118" s="727"/>
      <c r="E118" s="727"/>
      <c r="F118" s="727"/>
      <c r="G118" s="727"/>
      <c r="H118" s="728"/>
    </row>
    <row r="119" spans="2:8" x14ac:dyDescent="0.25">
      <c r="B119" s="578" t="e">
        <f>+PRESUPUESTO!#REF!</f>
        <v>#REF!</v>
      </c>
      <c r="C119" s="579"/>
      <c r="D119" s="579"/>
      <c r="E119" s="579"/>
      <c r="F119" s="580"/>
      <c r="G119" s="587" t="s">
        <v>521</v>
      </c>
      <c r="H119" s="588"/>
    </row>
    <row r="120" spans="2:8" x14ac:dyDescent="0.25">
      <c r="B120" s="581"/>
      <c r="C120" s="582"/>
      <c r="D120" s="582"/>
      <c r="E120" s="582"/>
      <c r="F120" s="583"/>
      <c r="G120" s="589"/>
      <c r="H120" s="590"/>
    </row>
    <row r="121" spans="2:8" x14ac:dyDescent="0.25">
      <c r="B121" s="584"/>
      <c r="C121" s="585"/>
      <c r="D121" s="585"/>
      <c r="E121" s="585"/>
      <c r="F121" s="586"/>
      <c r="G121" s="591"/>
      <c r="H121" s="592"/>
    </row>
    <row r="122" spans="2:8" x14ac:dyDescent="0.25">
      <c r="B122" s="651"/>
      <c r="C122" s="652"/>
      <c r="D122" s="652"/>
      <c r="E122" s="652"/>
      <c r="F122" s="652"/>
      <c r="G122" s="652"/>
      <c r="H122" s="653"/>
    </row>
    <row r="123" spans="2:8" x14ac:dyDescent="0.25">
      <c r="B123" s="214" t="s">
        <v>19</v>
      </c>
      <c r="C123" s="266"/>
      <c r="D123" s="266"/>
      <c r="E123" s="266"/>
      <c r="F123" s="296"/>
      <c r="G123" s="266"/>
      <c r="H123" s="216"/>
    </row>
    <row r="124" spans="2:8" x14ac:dyDescent="0.25">
      <c r="B124" s="560" t="s">
        <v>20</v>
      </c>
      <c r="C124" s="561"/>
      <c r="D124" s="297" t="s">
        <v>21</v>
      </c>
      <c r="E124" s="297" t="s">
        <v>22</v>
      </c>
      <c r="F124" s="298" t="s">
        <v>23</v>
      </c>
      <c r="G124" s="299" t="s">
        <v>24</v>
      </c>
      <c r="H124" s="300" t="s">
        <v>482</v>
      </c>
    </row>
    <row r="125" spans="2:8" x14ac:dyDescent="0.25">
      <c r="B125" s="562" t="s">
        <v>8</v>
      </c>
      <c r="C125" s="563"/>
      <c r="D125" s="301"/>
      <c r="E125" s="302"/>
      <c r="F125" s="303">
        <v>0.1</v>
      </c>
      <c r="G125" s="287">
        <f>+H150</f>
        <v>7137.4669600000007</v>
      </c>
      <c r="H125" s="304">
        <f>+F125*G125</f>
        <v>713.74669600000016</v>
      </c>
    </row>
    <row r="126" spans="2:8" x14ac:dyDescent="0.25">
      <c r="B126" s="600"/>
      <c r="C126" s="601"/>
      <c r="D126" s="301"/>
      <c r="E126" s="302"/>
      <c r="F126" s="289"/>
      <c r="G126" s="287"/>
      <c r="H126" s="304"/>
    </row>
    <row r="127" spans="2:8" x14ac:dyDescent="0.25">
      <c r="B127" s="562"/>
      <c r="C127" s="563"/>
      <c r="D127" s="301"/>
      <c r="E127" s="302"/>
      <c r="F127" s="289"/>
      <c r="G127" s="287"/>
      <c r="H127" s="304"/>
    </row>
    <row r="128" spans="2:8" x14ac:dyDescent="0.25">
      <c r="B128" s="305"/>
      <c r="C128" s="266"/>
      <c r="D128" s="266"/>
      <c r="E128" s="266"/>
      <c r="F128" s="296"/>
      <c r="G128" s="306" t="s">
        <v>25</v>
      </c>
      <c r="H128" s="307">
        <f>SUM(H125:H127)</f>
        <v>713.74669600000016</v>
      </c>
    </row>
    <row r="129" spans="2:10" x14ac:dyDescent="0.25">
      <c r="B129" s="214" t="s">
        <v>26</v>
      </c>
      <c r="C129" s="266"/>
      <c r="D129" s="266"/>
      <c r="E129" s="266"/>
      <c r="F129" s="308"/>
      <c r="G129" s="308"/>
      <c r="H129" s="309"/>
    </row>
    <row r="130" spans="2:10" x14ac:dyDescent="0.25">
      <c r="B130" s="560" t="s">
        <v>20</v>
      </c>
      <c r="C130" s="561"/>
      <c r="D130" s="297" t="s">
        <v>27</v>
      </c>
      <c r="E130" s="297" t="s">
        <v>28</v>
      </c>
      <c r="F130" s="298" t="s">
        <v>29</v>
      </c>
      <c r="G130" s="299" t="s">
        <v>24</v>
      </c>
      <c r="H130" s="310" t="s">
        <v>482</v>
      </c>
    </row>
    <row r="131" spans="2:10" ht="20.25" customHeight="1" x14ac:dyDescent="0.25">
      <c r="B131" s="729" t="s">
        <v>527</v>
      </c>
      <c r="C131" s="730"/>
      <c r="D131" s="271" t="s">
        <v>463</v>
      </c>
      <c r="E131" s="272">
        <v>175900</v>
      </c>
      <c r="F131" s="273">
        <v>0.1</v>
      </c>
      <c r="G131" s="274">
        <f>E131*F131</f>
        <v>17590</v>
      </c>
      <c r="H131" s="275">
        <f>G131</f>
        <v>17590</v>
      </c>
    </row>
    <row r="132" spans="2:10" ht="15.75" customHeight="1" x14ac:dyDescent="0.25">
      <c r="B132" s="729" t="s">
        <v>526</v>
      </c>
      <c r="C132" s="730"/>
      <c r="D132" s="271" t="s">
        <v>499</v>
      </c>
      <c r="E132" s="272">
        <v>45000</v>
      </c>
      <c r="F132" s="273">
        <v>0.02</v>
      </c>
      <c r="G132" s="274">
        <f t="shared" ref="G132:G136" si="4">E132*F132</f>
        <v>900</v>
      </c>
      <c r="H132" s="275">
        <f t="shared" ref="H132:H136" si="5">G132</f>
        <v>900</v>
      </c>
    </row>
    <row r="133" spans="2:10" ht="15.75" customHeight="1" x14ac:dyDescent="0.25">
      <c r="B133" s="293" t="s">
        <v>528</v>
      </c>
      <c r="C133" s="336"/>
      <c r="D133" s="271" t="s">
        <v>72</v>
      </c>
      <c r="E133" s="272">
        <v>19900</v>
      </c>
      <c r="F133" s="273">
        <v>2.5000000000000001E-2</v>
      </c>
      <c r="G133" s="274">
        <f t="shared" si="4"/>
        <v>497.5</v>
      </c>
      <c r="H133" s="275">
        <f t="shared" si="5"/>
        <v>497.5</v>
      </c>
    </row>
    <row r="134" spans="2:10" ht="18" customHeight="1" x14ac:dyDescent="0.25">
      <c r="B134" s="556" t="s">
        <v>529</v>
      </c>
      <c r="C134" s="557"/>
      <c r="D134" s="271" t="s">
        <v>121</v>
      </c>
      <c r="E134" s="337">
        <v>422.5</v>
      </c>
      <c r="F134" s="273">
        <v>2</v>
      </c>
      <c r="G134" s="274">
        <f t="shared" si="4"/>
        <v>845</v>
      </c>
      <c r="H134" s="275">
        <f t="shared" si="5"/>
        <v>845</v>
      </c>
      <c r="J134" s="257" t="s">
        <v>497</v>
      </c>
    </row>
    <row r="135" spans="2:10" ht="19.95" customHeight="1" x14ac:dyDescent="0.25">
      <c r="B135" s="556"/>
      <c r="C135" s="557"/>
      <c r="D135" s="271"/>
      <c r="E135" s="272"/>
      <c r="F135" s="273"/>
      <c r="G135" s="274">
        <f t="shared" si="4"/>
        <v>0</v>
      </c>
      <c r="H135" s="275">
        <f t="shared" si="5"/>
        <v>0</v>
      </c>
    </row>
    <row r="136" spans="2:10" ht="16.95" customHeight="1" x14ac:dyDescent="0.25">
      <c r="B136" s="556"/>
      <c r="C136" s="557"/>
      <c r="D136" s="271"/>
      <c r="E136" s="272"/>
      <c r="F136" s="273"/>
      <c r="G136" s="274">
        <f t="shared" si="4"/>
        <v>0</v>
      </c>
      <c r="H136" s="275">
        <f t="shared" si="5"/>
        <v>0</v>
      </c>
      <c r="J136" s="257" t="s">
        <v>504</v>
      </c>
    </row>
    <row r="137" spans="2:10" x14ac:dyDescent="0.25">
      <c r="B137" s="596" t="s">
        <v>506</v>
      </c>
      <c r="C137" s="597"/>
      <c r="D137" s="271" t="s">
        <v>501</v>
      </c>
      <c r="E137" s="272">
        <f>+SUM(G131:G134)</f>
        <v>19832.5</v>
      </c>
      <c r="F137" s="276">
        <v>0.05</v>
      </c>
      <c r="G137" s="274">
        <f>E137*F137</f>
        <v>991.625</v>
      </c>
      <c r="H137" s="275">
        <f>G137</f>
        <v>991.625</v>
      </c>
    </row>
    <row r="138" spans="2:10" x14ac:dyDescent="0.25">
      <c r="B138" s="596"/>
      <c r="C138" s="597"/>
      <c r="D138" s="285"/>
      <c r="E138" s="286"/>
      <c r="F138" s="289"/>
      <c r="G138" s="287"/>
      <c r="H138" s="288"/>
    </row>
    <row r="139" spans="2:10" x14ac:dyDescent="0.25">
      <c r="B139" s="305"/>
      <c r="C139" s="266"/>
      <c r="D139" s="266"/>
      <c r="E139" s="266"/>
      <c r="F139" s="308"/>
      <c r="G139" s="306" t="s">
        <v>25</v>
      </c>
      <c r="H139" s="312">
        <f>SUM(H131:H138)</f>
        <v>20824.125</v>
      </c>
    </row>
    <row r="140" spans="2:10" x14ac:dyDescent="0.25">
      <c r="B140" s="214" t="s">
        <v>30</v>
      </c>
      <c r="C140" s="266"/>
      <c r="D140" s="266"/>
      <c r="E140" s="266"/>
      <c r="F140" s="308"/>
      <c r="G140" s="308"/>
      <c r="H140" s="304"/>
    </row>
    <row r="141" spans="2:10" x14ac:dyDescent="0.25">
      <c r="B141" s="560" t="s">
        <v>20</v>
      </c>
      <c r="C141" s="561"/>
      <c r="D141" s="297" t="s">
        <v>21</v>
      </c>
      <c r="E141" s="297" t="s">
        <v>127</v>
      </c>
      <c r="F141" s="298" t="s">
        <v>32</v>
      </c>
      <c r="G141" s="297" t="s">
        <v>24</v>
      </c>
      <c r="H141" s="313" t="s">
        <v>481</v>
      </c>
    </row>
    <row r="142" spans="2:10" x14ac:dyDescent="0.25">
      <c r="B142" s="598"/>
      <c r="C142" s="599"/>
      <c r="D142" s="314"/>
      <c r="E142" s="315"/>
      <c r="F142" s="274"/>
      <c r="G142" s="274"/>
      <c r="H142" s="304"/>
    </row>
    <row r="143" spans="2:10" x14ac:dyDescent="0.25">
      <c r="B143" s="598"/>
      <c r="C143" s="599"/>
      <c r="D143" s="314"/>
      <c r="E143" s="316"/>
      <c r="F143" s="317"/>
      <c r="G143" s="316"/>
      <c r="H143" s="318"/>
    </row>
    <row r="144" spans="2:10" x14ac:dyDescent="0.25">
      <c r="B144" s="305"/>
      <c r="C144" s="266"/>
      <c r="D144" s="266"/>
      <c r="E144" s="266"/>
      <c r="F144" s="296"/>
      <c r="G144" s="306" t="s">
        <v>25</v>
      </c>
      <c r="H144" s="319">
        <f>SUM(H142:H143)</f>
        <v>0</v>
      </c>
    </row>
    <row r="145" spans="2:8" x14ac:dyDescent="0.25">
      <c r="B145" s="214" t="s">
        <v>34</v>
      </c>
      <c r="C145" s="266"/>
      <c r="D145" s="266"/>
      <c r="E145" s="266"/>
      <c r="F145" s="296"/>
      <c r="G145" s="308"/>
      <c r="H145" s="320"/>
    </row>
    <row r="146" spans="2:8" x14ac:dyDescent="0.25">
      <c r="B146" s="321" t="s">
        <v>35</v>
      </c>
      <c r="C146" s="321" t="s">
        <v>29</v>
      </c>
      <c r="D146" s="321" t="s">
        <v>36</v>
      </c>
      <c r="E146" s="321" t="s">
        <v>37</v>
      </c>
      <c r="F146" s="322" t="s">
        <v>38</v>
      </c>
      <c r="G146" s="323" t="s">
        <v>23</v>
      </c>
      <c r="H146" s="324" t="s">
        <v>24</v>
      </c>
    </row>
    <row r="147" spans="2:8" x14ac:dyDescent="0.25">
      <c r="B147" s="288"/>
      <c r="C147" s="316"/>
      <c r="D147" s="325"/>
      <c r="E147" s="326"/>
      <c r="F147" s="327"/>
      <c r="G147" s="338"/>
      <c r="H147" s="274"/>
    </row>
    <row r="148" spans="2:8" x14ac:dyDescent="0.25">
      <c r="B148" s="288" t="s">
        <v>496</v>
      </c>
      <c r="C148" s="316">
        <v>2</v>
      </c>
      <c r="D148" s="325">
        <v>58363.5</v>
      </c>
      <c r="E148" s="326">
        <v>1.8344</v>
      </c>
      <c r="F148" s="327">
        <f>+D148*C148*E148</f>
        <v>214124.00880000001</v>
      </c>
      <c r="G148" s="338">
        <v>30</v>
      </c>
      <c r="H148" s="274">
        <f>+F148/G148</f>
        <v>7137.4669600000007</v>
      </c>
    </row>
    <row r="149" spans="2:8" x14ac:dyDescent="0.25">
      <c r="B149" s="288"/>
      <c r="C149" s="288"/>
      <c r="D149" s="317"/>
      <c r="E149" s="288"/>
      <c r="F149" s="317"/>
      <c r="G149" s="288"/>
      <c r="H149" s="327"/>
    </row>
    <row r="150" spans="2:8" x14ac:dyDescent="0.25">
      <c r="B150" s="305"/>
      <c r="C150" s="266"/>
      <c r="D150" s="266"/>
      <c r="E150" s="266"/>
      <c r="F150" s="296"/>
      <c r="G150" s="306" t="s">
        <v>25</v>
      </c>
      <c r="H150" s="328">
        <f>+SUM(H147:H149)</f>
        <v>7137.4669600000007</v>
      </c>
    </row>
    <row r="151" spans="2:8" x14ac:dyDescent="0.25">
      <c r="B151" s="217"/>
      <c r="C151" s="26"/>
      <c r="D151" s="26"/>
      <c r="E151" s="26"/>
      <c r="F151" s="215"/>
      <c r="G151" s="256"/>
      <c r="H151" s="218"/>
    </row>
    <row r="152" spans="2:8" x14ac:dyDescent="0.25">
      <c r="B152" s="258"/>
      <c r="C152" s="26"/>
      <c r="D152" s="648" t="s">
        <v>41</v>
      </c>
      <c r="E152" s="648"/>
      <c r="F152" s="648"/>
      <c r="G152" s="649"/>
      <c r="H152" s="254">
        <f>+H128+H139+H144+H150</f>
        <v>28675.338656000004</v>
      </c>
    </row>
    <row r="153" spans="2:8" x14ac:dyDescent="0.25">
      <c r="B153" s="258"/>
      <c r="C153" s="26"/>
      <c r="D153" s="255"/>
      <c r="E153" s="255"/>
      <c r="F153" s="255"/>
      <c r="G153" s="255"/>
      <c r="H153" s="219"/>
    </row>
    <row r="154" spans="2:8" x14ac:dyDescent="0.25">
      <c r="B154" s="258"/>
      <c r="C154" s="26"/>
      <c r="D154" s="255"/>
      <c r="E154" s="255"/>
      <c r="F154" s="255"/>
      <c r="G154" s="255"/>
      <c r="H154" s="219"/>
    </row>
    <row r="155" spans="2:8" x14ac:dyDescent="0.25">
      <c r="B155" s="258"/>
      <c r="C155" s="26"/>
      <c r="D155" s="255"/>
      <c r="E155" s="255"/>
      <c r="F155" s="255"/>
      <c r="G155" s="255"/>
      <c r="H155" s="219"/>
    </row>
    <row r="156" spans="2:8" x14ac:dyDescent="0.25">
      <c r="B156" s="262" t="str">
        <f>+B101</f>
        <v>OMAR ANTONIO ROMAN HERRERA</v>
      </c>
      <c r="C156" s="263"/>
      <c r="D156" s="255"/>
      <c r="E156" s="255"/>
      <c r="F156" s="255"/>
      <c r="G156" s="255"/>
      <c r="H156" s="219"/>
    </row>
    <row r="157" spans="2:8" x14ac:dyDescent="0.25">
      <c r="B157" s="264" t="str">
        <f>B102</f>
        <v>Secretario de Planeación, Obras Públicas y Medio Ambiente</v>
      </c>
      <c r="C157" s="263"/>
      <c r="D157" s="255"/>
      <c r="E157" s="255"/>
      <c r="F157" s="255"/>
      <c r="G157" s="255"/>
      <c r="H157" s="219"/>
    </row>
    <row r="158" spans="2:8" x14ac:dyDescent="0.25">
      <c r="B158" s="265" t="s">
        <v>554</v>
      </c>
      <c r="C158" s="266"/>
      <c r="D158" s="255"/>
      <c r="E158" s="255"/>
      <c r="F158" s="255"/>
      <c r="G158" s="255"/>
      <c r="H158" s="219"/>
    </row>
    <row r="159" spans="2:8" x14ac:dyDescent="0.25">
      <c r="B159" s="267"/>
      <c r="C159" s="268"/>
      <c r="D159" s="259"/>
      <c r="E159" s="259"/>
      <c r="F159" s="259"/>
      <c r="G159" s="259"/>
      <c r="H159" s="260"/>
    </row>
    <row r="170" spans="2:11" x14ac:dyDescent="0.25">
      <c r="K170" s="257" t="s">
        <v>497</v>
      </c>
    </row>
    <row r="171" spans="2:11" ht="45.75" customHeight="1" x14ac:dyDescent="0.25">
      <c r="B171" s="566" t="s">
        <v>320</v>
      </c>
      <c r="C171" s="567"/>
      <c r="D171" s="567"/>
      <c r="E171" s="567"/>
      <c r="F171" s="567"/>
      <c r="G171" s="567"/>
      <c r="H171" s="568"/>
    </row>
    <row r="172" spans="2:11" x14ac:dyDescent="0.25">
      <c r="B172" s="629" t="str">
        <f>+PRESUPUESTO!B1</f>
        <v>MANTENIMIENTO Y ADECUACIÓN DE INSTITUCIONES EDUCATIVAS OFICIALES, DEL MUNICIPIO DE LA APARTADA CORDOBA.</v>
      </c>
      <c r="C172" s="721"/>
      <c r="D172" s="721"/>
      <c r="E172" s="721"/>
      <c r="F172" s="721"/>
      <c r="G172" s="721"/>
      <c r="H172" s="722"/>
    </row>
    <row r="173" spans="2:11" x14ac:dyDescent="0.25">
      <c r="B173" s="723"/>
      <c r="C173" s="724"/>
      <c r="D173" s="724"/>
      <c r="E173" s="724"/>
      <c r="F173" s="724"/>
      <c r="G173" s="724"/>
      <c r="H173" s="725"/>
    </row>
    <row r="174" spans="2:11" x14ac:dyDescent="0.25">
      <c r="B174" s="726"/>
      <c r="C174" s="727"/>
      <c r="D174" s="727"/>
      <c r="E174" s="727"/>
      <c r="F174" s="727"/>
      <c r="G174" s="727"/>
      <c r="H174" s="728"/>
    </row>
    <row r="175" spans="2:11" x14ac:dyDescent="0.25">
      <c r="B175" s="578" t="str">
        <f>+PRESUPUESTO!C18</f>
        <v>S/I DE CIELO RASO EN LAMINA PVC, EN UNIDAD SANITARIA</v>
      </c>
      <c r="C175" s="579"/>
      <c r="D175" s="579"/>
      <c r="E175" s="579"/>
      <c r="F175" s="580"/>
      <c r="G175" s="587" t="s">
        <v>508</v>
      </c>
      <c r="H175" s="588"/>
    </row>
    <row r="176" spans="2:11" x14ac:dyDescent="0.25">
      <c r="B176" s="581"/>
      <c r="C176" s="582"/>
      <c r="D176" s="582"/>
      <c r="E176" s="582"/>
      <c r="F176" s="583"/>
      <c r="G176" s="589"/>
      <c r="H176" s="590"/>
    </row>
    <row r="177" spans="2:20" x14ac:dyDescent="0.25">
      <c r="B177" s="584"/>
      <c r="C177" s="585"/>
      <c r="D177" s="585"/>
      <c r="E177" s="585"/>
      <c r="F177" s="586"/>
      <c r="G177" s="591"/>
      <c r="H177" s="592"/>
    </row>
    <row r="178" spans="2:20" x14ac:dyDescent="0.25">
      <c r="B178" s="651"/>
      <c r="C178" s="652"/>
      <c r="D178" s="652"/>
      <c r="E178" s="652"/>
      <c r="F178" s="652"/>
      <c r="G178" s="652"/>
      <c r="H178" s="653"/>
    </row>
    <row r="179" spans="2:20" x14ac:dyDescent="0.25">
      <c r="B179" s="214" t="s">
        <v>19</v>
      </c>
      <c r="C179" s="266"/>
      <c r="D179" s="266"/>
      <c r="E179" s="266"/>
      <c r="F179" s="296"/>
      <c r="G179" s="266"/>
      <c r="H179" s="216"/>
    </row>
    <row r="180" spans="2:20" x14ac:dyDescent="0.25">
      <c r="B180" s="560" t="s">
        <v>20</v>
      </c>
      <c r="C180" s="561"/>
      <c r="D180" s="297" t="s">
        <v>21</v>
      </c>
      <c r="E180" s="297" t="s">
        <v>22</v>
      </c>
      <c r="F180" s="298" t="s">
        <v>23</v>
      </c>
      <c r="G180" s="299" t="s">
        <v>24</v>
      </c>
      <c r="H180" s="300" t="s">
        <v>482</v>
      </c>
    </row>
    <row r="181" spans="2:20" x14ac:dyDescent="0.25">
      <c r="B181" s="562" t="s">
        <v>8</v>
      </c>
      <c r="C181" s="563"/>
      <c r="D181" s="301"/>
      <c r="E181" s="302"/>
      <c r="F181" s="303">
        <v>0.1</v>
      </c>
      <c r="G181" s="287">
        <f>+H203</f>
        <v>32118.601320000002</v>
      </c>
      <c r="H181" s="304">
        <f>+F181*G181</f>
        <v>3211.8601320000002</v>
      </c>
    </row>
    <row r="182" spans="2:20" x14ac:dyDescent="0.25">
      <c r="B182" s="600"/>
      <c r="C182" s="601"/>
      <c r="D182" s="301"/>
      <c r="E182" s="302"/>
      <c r="F182" s="289"/>
      <c r="G182" s="287"/>
      <c r="H182" s="304"/>
    </row>
    <row r="183" spans="2:20" x14ac:dyDescent="0.25">
      <c r="B183" s="562"/>
      <c r="C183" s="563"/>
      <c r="D183" s="301"/>
      <c r="E183" s="302"/>
      <c r="F183" s="289"/>
      <c r="G183" s="287"/>
      <c r="H183" s="304"/>
    </row>
    <row r="184" spans="2:20" ht="15.6" x14ac:dyDescent="0.3">
      <c r="B184" s="305"/>
      <c r="C184" s="266"/>
      <c r="D184" s="266"/>
      <c r="E184" s="266"/>
      <c r="F184" s="296"/>
      <c r="G184" s="306" t="s">
        <v>25</v>
      </c>
      <c r="H184" s="307">
        <f>SUM(H181:H183)</f>
        <v>3211.8601320000002</v>
      </c>
      <c r="L184" s="343" t="s">
        <v>531</v>
      </c>
      <c r="M184" s="344"/>
      <c r="N184" s="344"/>
      <c r="O184" s="344"/>
      <c r="P184" s="344"/>
      <c r="Q184" s="344"/>
      <c r="R184" s="344"/>
      <c r="S184" s="345"/>
      <c r="T184" s="346" t="str">
        <f>+VLOOKUP(L184,[9]MATERIALES!$A$10:$C$83,2,FALSE)</f>
        <v>Und</v>
      </c>
    </row>
    <row r="185" spans="2:20" ht="15.75" customHeight="1" x14ac:dyDescent="0.3">
      <c r="B185" s="214" t="s">
        <v>26</v>
      </c>
      <c r="C185" s="266"/>
      <c r="D185" s="266"/>
      <c r="E185" s="266"/>
      <c r="F185" s="308"/>
      <c r="G185" s="308"/>
      <c r="H185" s="309"/>
      <c r="L185" s="348" t="s">
        <v>532</v>
      </c>
      <c r="M185" s="349"/>
      <c r="N185" s="349"/>
      <c r="O185" s="349"/>
      <c r="P185" s="349"/>
      <c r="Q185" s="349"/>
      <c r="R185" s="349"/>
      <c r="S185" s="350"/>
      <c r="T185" s="346" t="str">
        <f>+VLOOKUP(L185,[9]MATERIALES!$A$10:$C$83,2,FALSE)</f>
        <v>Und</v>
      </c>
    </row>
    <row r="186" spans="2:20" ht="15.6" x14ac:dyDescent="0.3">
      <c r="B186" s="560" t="s">
        <v>20</v>
      </c>
      <c r="C186" s="561"/>
      <c r="D186" s="297" t="s">
        <v>27</v>
      </c>
      <c r="E186" s="297" t="s">
        <v>28</v>
      </c>
      <c r="F186" s="298" t="s">
        <v>29</v>
      </c>
      <c r="G186" s="299" t="s">
        <v>24</v>
      </c>
      <c r="H186" s="310" t="s">
        <v>482</v>
      </c>
      <c r="L186" s="343" t="s">
        <v>533</v>
      </c>
      <c r="M186" s="347"/>
      <c r="N186" s="347"/>
      <c r="O186" s="347"/>
      <c r="P186" s="347"/>
      <c r="Q186" s="347"/>
      <c r="R186" s="347"/>
      <c r="S186" s="347"/>
      <c r="T186" s="346" t="str">
        <f>+VLOOKUP(L186,[9]MATERIALES!$A$10:$C$83,2,FALSE)</f>
        <v>m3</v>
      </c>
    </row>
    <row r="187" spans="2:20" ht="23.25" customHeight="1" x14ac:dyDescent="0.3">
      <c r="B187" s="351" t="s">
        <v>531</v>
      </c>
      <c r="C187" s="339"/>
      <c r="D187" s="271" t="s">
        <v>535</v>
      </c>
      <c r="E187" s="274">
        <v>152400</v>
      </c>
      <c r="F187" s="352">
        <v>1</v>
      </c>
      <c r="G187" s="274">
        <f>+E187*F187</f>
        <v>152400</v>
      </c>
      <c r="H187" s="275">
        <f>+G187</f>
        <v>152400</v>
      </c>
    </row>
    <row r="188" spans="2:20" ht="33.75" customHeight="1" x14ac:dyDescent="0.25">
      <c r="B188" s="596" t="s">
        <v>532</v>
      </c>
      <c r="C188" s="597"/>
      <c r="D188" s="271" t="s">
        <v>535</v>
      </c>
      <c r="E188" s="274">
        <v>412000</v>
      </c>
      <c r="F188" s="353">
        <v>1</v>
      </c>
      <c r="G188" s="274">
        <f t="shared" ref="G188:G189" si="6">+E188*F188</f>
        <v>412000</v>
      </c>
      <c r="H188" s="275">
        <f t="shared" ref="H188:H189" si="7">+G188</f>
        <v>412000</v>
      </c>
      <c r="I188" s="257" t="s">
        <v>497</v>
      </c>
      <c r="L188" s="257" t="s">
        <v>504</v>
      </c>
    </row>
    <row r="189" spans="2:20" ht="20.25" customHeight="1" x14ac:dyDescent="0.3">
      <c r="B189" s="351" t="s">
        <v>534</v>
      </c>
      <c r="C189" s="341"/>
      <c r="D189" s="271" t="s">
        <v>536</v>
      </c>
      <c r="E189" s="274">
        <v>720900</v>
      </c>
      <c r="F189" s="353">
        <v>0.03</v>
      </c>
      <c r="G189" s="274">
        <f t="shared" si="6"/>
        <v>21627</v>
      </c>
      <c r="H189" s="275">
        <f t="shared" si="7"/>
        <v>21627</v>
      </c>
    </row>
    <row r="190" spans="2:20" ht="13.95" customHeight="1" x14ac:dyDescent="0.25">
      <c r="B190" s="340"/>
      <c r="C190" s="341"/>
      <c r="D190" s="271"/>
      <c r="E190" s="272"/>
      <c r="F190" s="273"/>
      <c r="G190" s="274"/>
      <c r="H190" s="275"/>
    </row>
    <row r="191" spans="2:20" x14ac:dyDescent="0.25">
      <c r="B191" s="596"/>
      <c r="C191" s="597"/>
      <c r="D191" s="285"/>
      <c r="E191" s="286"/>
      <c r="F191" s="289"/>
      <c r="G191" s="287"/>
      <c r="H191" s="288"/>
    </row>
    <row r="192" spans="2:20" x14ac:dyDescent="0.25">
      <c r="B192" s="305"/>
      <c r="C192" s="266"/>
      <c r="D192" s="266"/>
      <c r="E192" s="266"/>
      <c r="F192" s="308"/>
      <c r="G192" s="306" t="s">
        <v>25</v>
      </c>
      <c r="H192" s="312">
        <f>+SUM(H187:H191)</f>
        <v>586027</v>
      </c>
    </row>
    <row r="193" spans="2:11" x14ac:dyDescent="0.25">
      <c r="B193" s="214" t="s">
        <v>30</v>
      </c>
      <c r="C193" s="266"/>
      <c r="D193" s="266"/>
      <c r="E193" s="266"/>
      <c r="F193" s="308"/>
      <c r="G193" s="308"/>
      <c r="H193" s="304"/>
    </row>
    <row r="194" spans="2:11" x14ac:dyDescent="0.25">
      <c r="B194" s="560" t="s">
        <v>20</v>
      </c>
      <c r="C194" s="561"/>
      <c r="D194" s="297" t="s">
        <v>21</v>
      </c>
      <c r="E194" s="297" t="s">
        <v>127</v>
      </c>
      <c r="F194" s="298" t="s">
        <v>32</v>
      </c>
      <c r="G194" s="297" t="s">
        <v>24</v>
      </c>
      <c r="H194" s="313" t="s">
        <v>481</v>
      </c>
    </row>
    <row r="195" spans="2:11" x14ac:dyDescent="0.25">
      <c r="B195" s="598"/>
      <c r="C195" s="599"/>
      <c r="D195" s="314"/>
      <c r="E195" s="315"/>
      <c r="F195" s="274"/>
      <c r="G195" s="274">
        <f>+E195*F195</f>
        <v>0</v>
      </c>
      <c r="H195" s="304">
        <f>+G195</f>
        <v>0</v>
      </c>
    </row>
    <row r="196" spans="2:11" x14ac:dyDescent="0.25">
      <c r="B196" s="598"/>
      <c r="C196" s="599"/>
      <c r="D196" s="314"/>
      <c r="E196" s="316"/>
      <c r="F196" s="317"/>
      <c r="G196" s="316"/>
      <c r="H196" s="318"/>
    </row>
    <row r="197" spans="2:11" x14ac:dyDescent="0.25">
      <c r="B197" s="305"/>
      <c r="C197" s="266"/>
      <c r="D197" s="266"/>
      <c r="E197" s="266"/>
      <c r="F197" s="296"/>
      <c r="G197" s="306" t="s">
        <v>25</v>
      </c>
      <c r="H197" s="319">
        <f>SUM(H195:H196)</f>
        <v>0</v>
      </c>
    </row>
    <row r="198" spans="2:11" x14ac:dyDescent="0.25">
      <c r="B198" s="214" t="s">
        <v>34</v>
      </c>
      <c r="C198" s="266"/>
      <c r="D198" s="266"/>
      <c r="E198" s="266"/>
      <c r="F198" s="296"/>
      <c r="G198" s="308"/>
      <c r="H198" s="320"/>
    </row>
    <row r="199" spans="2:11" x14ac:dyDescent="0.25">
      <c r="B199" s="321" t="s">
        <v>35</v>
      </c>
      <c r="C199" s="321" t="s">
        <v>29</v>
      </c>
      <c r="D199" s="321" t="s">
        <v>36</v>
      </c>
      <c r="E199" s="321" t="s">
        <v>37</v>
      </c>
      <c r="F199" s="322" t="s">
        <v>38</v>
      </c>
      <c r="G199" s="323" t="s">
        <v>23</v>
      </c>
      <c r="H199" s="324" t="s">
        <v>24</v>
      </c>
    </row>
    <row r="200" spans="2:11" x14ac:dyDescent="0.25">
      <c r="B200" s="288" t="s">
        <v>39</v>
      </c>
      <c r="C200" s="316">
        <v>1</v>
      </c>
      <c r="D200" s="325">
        <v>93381.6</v>
      </c>
      <c r="E200" s="326">
        <v>1.8344</v>
      </c>
      <c r="F200" s="327">
        <f>+D200*C200*E200</f>
        <v>171299.20704000001</v>
      </c>
      <c r="G200" s="342">
        <v>12</v>
      </c>
      <c r="H200" s="274">
        <f>F200/G200</f>
        <v>14274.933920000001</v>
      </c>
    </row>
    <row r="201" spans="2:11" x14ac:dyDescent="0.25">
      <c r="B201" s="288" t="s">
        <v>496</v>
      </c>
      <c r="C201" s="316">
        <v>2</v>
      </c>
      <c r="D201" s="325">
        <f>+D148</f>
        <v>58363.5</v>
      </c>
      <c r="E201" s="326">
        <v>1.8344</v>
      </c>
      <c r="F201" s="327">
        <f>+D201*C201*E201</f>
        <v>214124.00880000001</v>
      </c>
      <c r="G201" s="342">
        <v>12</v>
      </c>
      <c r="H201" s="274">
        <f>+F201/G201</f>
        <v>17843.667400000002</v>
      </c>
    </row>
    <row r="202" spans="2:11" x14ac:dyDescent="0.25">
      <c r="B202" s="288"/>
      <c r="C202" s="288"/>
      <c r="D202" s="317"/>
      <c r="E202" s="288"/>
      <c r="F202" s="317"/>
      <c r="G202" s="288"/>
      <c r="H202" s="327"/>
      <c r="K202" s="257" t="s">
        <v>497</v>
      </c>
    </row>
    <row r="203" spans="2:11" x14ac:dyDescent="0.25">
      <c r="B203" s="305"/>
      <c r="C203" s="266"/>
      <c r="D203" s="266"/>
      <c r="E203" s="266"/>
      <c r="F203" s="296"/>
      <c r="G203" s="306" t="s">
        <v>25</v>
      </c>
      <c r="H203" s="328">
        <f>+SUM(H200:H202)</f>
        <v>32118.601320000002</v>
      </c>
    </row>
    <row r="204" spans="2:11" x14ac:dyDescent="0.25">
      <c r="B204" s="217"/>
      <c r="C204" s="26"/>
      <c r="D204" s="26"/>
      <c r="E204" s="26"/>
      <c r="F204" s="215"/>
      <c r="G204" s="256"/>
      <c r="H204" s="218"/>
    </row>
    <row r="205" spans="2:11" x14ac:dyDescent="0.25">
      <c r="B205" s="258"/>
      <c r="C205" s="26"/>
      <c r="D205" s="648" t="s">
        <v>41</v>
      </c>
      <c r="E205" s="648"/>
      <c r="F205" s="648"/>
      <c r="G205" s="649"/>
      <c r="H205" s="254">
        <f>+H184+H192+H197+H203</f>
        <v>621357.46145199996</v>
      </c>
      <c r="K205" s="257" t="s">
        <v>497</v>
      </c>
    </row>
    <row r="206" spans="2:11" x14ac:dyDescent="0.25">
      <c r="B206" s="258"/>
      <c r="C206" s="26"/>
      <c r="D206" s="255"/>
      <c r="E206" s="255"/>
      <c r="F206" s="255"/>
      <c r="G206" s="255"/>
      <c r="H206" s="219"/>
      <c r="K206" s="257" t="s">
        <v>518</v>
      </c>
    </row>
    <row r="207" spans="2:11" x14ac:dyDescent="0.25">
      <c r="B207" s="258"/>
      <c r="C207" s="26"/>
      <c r="D207" s="255"/>
      <c r="E207" s="255"/>
      <c r="F207" s="255"/>
      <c r="G207" s="255"/>
      <c r="H207" s="219"/>
    </row>
    <row r="208" spans="2:11" x14ac:dyDescent="0.25">
      <c r="B208" s="258"/>
      <c r="C208" s="26"/>
      <c r="D208" s="255"/>
      <c r="E208" s="255"/>
      <c r="F208" s="255"/>
      <c r="G208" s="255"/>
      <c r="H208" s="219"/>
    </row>
    <row r="209" spans="2:8" x14ac:dyDescent="0.25">
      <c r="B209" s="262" t="str">
        <f>+B156</f>
        <v>OMAR ANTONIO ROMAN HERRERA</v>
      </c>
      <c r="C209" s="263"/>
      <c r="D209" s="255"/>
      <c r="E209" s="255"/>
      <c r="F209" s="255"/>
      <c r="G209" s="255"/>
      <c r="H209" s="219"/>
    </row>
    <row r="210" spans="2:8" x14ac:dyDescent="0.25">
      <c r="B210" s="264" t="str">
        <f>B157</f>
        <v>Secretario de Planeación, Obras Públicas y Medio Ambiente</v>
      </c>
      <c r="C210" s="263"/>
      <c r="D210" s="255"/>
      <c r="E210" s="255"/>
      <c r="F210" s="255"/>
      <c r="G210" s="255"/>
      <c r="H210" s="219"/>
    </row>
    <row r="211" spans="2:8" x14ac:dyDescent="0.25">
      <c r="B211" s="265" t="s">
        <v>554</v>
      </c>
      <c r="C211" s="266"/>
      <c r="D211" s="255"/>
      <c r="E211" s="255"/>
      <c r="F211" s="255"/>
      <c r="G211" s="255"/>
      <c r="H211" s="219"/>
    </row>
    <row r="212" spans="2:8" x14ac:dyDescent="0.25">
      <c r="B212" s="267"/>
      <c r="C212" s="268"/>
      <c r="D212" s="259"/>
      <c r="E212" s="259"/>
      <c r="F212" s="259"/>
      <c r="G212" s="259"/>
      <c r="H212" s="260"/>
    </row>
  </sheetData>
  <mergeCells count="75">
    <mergeCell ref="B188:C188"/>
    <mergeCell ref="B18:C18"/>
    <mergeCell ref="B19:C19"/>
    <mergeCell ref="B20:C20"/>
    <mergeCell ref="B23:C23"/>
    <mergeCell ref="B24:C24"/>
    <mergeCell ref="B25:C25"/>
    <mergeCell ref="B64:H64"/>
    <mergeCell ref="B66:C66"/>
    <mergeCell ref="B67:C67"/>
    <mergeCell ref="B86:C86"/>
    <mergeCell ref="B87:C87"/>
    <mergeCell ref="B88:C88"/>
    <mergeCell ref="D97:G97"/>
    <mergeCell ref="B115:H115"/>
    <mergeCell ref="B116:H118"/>
    <mergeCell ref="B68:C68"/>
    <mergeCell ref="B69:C69"/>
    <mergeCell ref="B72:C72"/>
    <mergeCell ref="B81:C81"/>
    <mergeCell ref="B82:C82"/>
    <mergeCell ref="B83:C83"/>
    <mergeCell ref="B73:C73"/>
    <mergeCell ref="B74:C74"/>
    <mergeCell ref="B75:C75"/>
    <mergeCell ref="B76:C76"/>
    <mergeCell ref="B8:H8"/>
    <mergeCell ref="B9:H11"/>
    <mergeCell ref="B12:F14"/>
    <mergeCell ref="G12:H14"/>
    <mergeCell ref="B15:H15"/>
    <mergeCell ref="B17:C17"/>
    <mergeCell ref="B58:H60"/>
    <mergeCell ref="B61:F63"/>
    <mergeCell ref="G61:H63"/>
    <mergeCell ref="B26:C26"/>
    <mergeCell ref="B29:C29"/>
    <mergeCell ref="B30:C30"/>
    <mergeCell ref="B31:C31"/>
    <mergeCell ref="D40:G40"/>
    <mergeCell ref="B57:H57"/>
    <mergeCell ref="B141:C141"/>
    <mergeCell ref="B119:F121"/>
    <mergeCell ref="G119:H121"/>
    <mergeCell ref="B122:H122"/>
    <mergeCell ref="B124:C124"/>
    <mergeCell ref="B125:C125"/>
    <mergeCell ref="B126:C126"/>
    <mergeCell ref="B134:C134"/>
    <mergeCell ref="B135:C135"/>
    <mergeCell ref="B136:C136"/>
    <mergeCell ref="B127:C127"/>
    <mergeCell ref="B130:C130"/>
    <mergeCell ref="B131:C131"/>
    <mergeCell ref="B137:C137"/>
    <mergeCell ref="B138:C138"/>
    <mergeCell ref="B132:C132"/>
    <mergeCell ref="B186:C186"/>
    <mergeCell ref="B142:C142"/>
    <mergeCell ref="B143:C143"/>
    <mergeCell ref="D152:G152"/>
    <mergeCell ref="B171:H171"/>
    <mergeCell ref="B172:H174"/>
    <mergeCell ref="B175:F177"/>
    <mergeCell ref="G175:H177"/>
    <mergeCell ref="B178:H178"/>
    <mergeCell ref="B180:C180"/>
    <mergeCell ref="B181:C181"/>
    <mergeCell ref="B182:C182"/>
    <mergeCell ref="B183:C183"/>
    <mergeCell ref="D205:G205"/>
    <mergeCell ref="B191:C191"/>
    <mergeCell ref="B194:C194"/>
    <mergeCell ref="B195:C195"/>
    <mergeCell ref="B196:C196"/>
  </mergeCells>
  <dataValidations count="1">
    <dataValidation type="list" allowBlank="1" showInputMessage="1" showErrorMessage="1" sqref="B26:C26 B83:C83 B138:C138 B191:C191" xr:uid="{6E116679-F13D-4A66-9789-8FFD354A0E6F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B965BC-BEB2-4D43-BE14-DB6175460596}">
          <x14:formula1>
            <xm:f>EQUIPOS!$B$6:$B$25</xm:f>
          </x14:formula1>
          <xm:sqref>B19:C19 B68:C68 B126:C126 B182:C182</xm:sqref>
        </x14:dataValidation>
        <x14:dataValidation type="list" allowBlank="1" showInputMessage="1" showErrorMessage="1" xr:uid="{F565766F-37B4-437F-A034-D7A2AC4FB8C8}">
          <x14:formula1>
            <xm:f>MATERIALES!$B$5:$B$146</xm:f>
          </x14:formula1>
          <xm:sqref>B24:C25 B81:C82 B137:C137 C188:C190 B188 B190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11E8-B6B6-460F-A045-AF21A2D0D6E5}">
  <dimension ref="B3:D6"/>
  <sheetViews>
    <sheetView workbookViewId="0">
      <selection activeCell="C9" sqref="C9"/>
    </sheetView>
  </sheetViews>
  <sheetFormatPr baseColWidth="10" defaultRowHeight="14.4" x14ac:dyDescent="0.3"/>
  <sheetData>
    <row r="3" spans="2:4" x14ac:dyDescent="0.3">
      <c r="B3" s="751" t="e">
        <f>+SUM('MEMORIAS DE CANTIDADES  '!M19+'MEMORIAS DE CANTIDADES  '!#REF!+'MEMORIAS DE CANTIDADES  '!#REF!+'MEMORIAS DE CANTIDADES  '!#REF!+'MEMORIAS DE CANTIDADES  '!#REF!+'MEMORIAS DE CANTIDADES  '!#REF!+'MEMORIAS DE CANTIDADES  '!#REF!+'MEMORIAS DE CANTIDADES  '!#REF!+'MEMORIAS DE CANTIDADES  '!#REF!+'MEMORIAS DE CANTIDADES  '!#REF!+'MEMORIAS DE CANTIDADES  '!#REF!+'MEMORIAS DE CANTIDADES  '!#REF!+'MEMORIAS DE CANTIDADES  '!#REF!+'MEMORIAS DE CANTIDADES  '!#REF!+'MEMORIAS DE CANTIDADES  '!#REF!)</f>
        <v>#REF!</v>
      </c>
      <c r="C3" s="752"/>
      <c r="D3" s="752"/>
    </row>
    <row r="4" spans="2:4" x14ac:dyDescent="0.3">
      <c r="B4" s="752"/>
      <c r="C4" s="752"/>
      <c r="D4" s="752"/>
    </row>
    <row r="5" spans="2:4" x14ac:dyDescent="0.3">
      <c r="B5" s="752"/>
      <c r="C5" s="752"/>
      <c r="D5" s="752"/>
    </row>
    <row r="6" spans="2:4" x14ac:dyDescent="0.3">
      <c r="B6" s="752"/>
      <c r="C6" s="752"/>
      <c r="D6" s="752"/>
    </row>
  </sheetData>
  <mergeCells count="1">
    <mergeCell ref="B3:D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pageSetUpPr fitToPage="1"/>
  </sheetPr>
  <dimension ref="A1:C15"/>
  <sheetViews>
    <sheetView view="pageBreakPreview" zoomScaleSheetLayoutView="100" workbookViewId="0">
      <selection activeCell="B14" sqref="B14"/>
    </sheetView>
  </sheetViews>
  <sheetFormatPr baseColWidth="10" defaultColWidth="11.44140625" defaultRowHeight="14.4" x14ac:dyDescent="0.3"/>
  <cols>
    <col min="1" max="1" width="67.5546875" customWidth="1"/>
    <col min="2" max="2" width="17.33203125" bestFit="1" customWidth="1"/>
    <col min="3" max="3" width="17.109375" customWidth="1"/>
  </cols>
  <sheetData>
    <row r="1" spans="1:3" ht="30.75" customHeight="1" thickTop="1" thickBot="1" x14ac:dyDescent="0.35">
      <c r="A1" s="753" t="s">
        <v>52</v>
      </c>
      <c r="B1" s="754"/>
    </row>
    <row r="2" spans="1:3" ht="32.25" customHeight="1" thickTop="1" x14ac:dyDescent="0.3">
      <c r="A2" s="223" t="s">
        <v>483</v>
      </c>
      <c r="B2" s="224">
        <v>1423500</v>
      </c>
    </row>
    <row r="3" spans="1:3" ht="32.4" customHeight="1" x14ac:dyDescent="0.3">
      <c r="A3" s="157" t="s">
        <v>42</v>
      </c>
      <c r="B3" s="157" t="s">
        <v>53</v>
      </c>
    </row>
    <row r="4" spans="1:3" ht="9" customHeight="1" x14ac:dyDescent="0.3">
      <c r="A4" s="79"/>
      <c r="B4" s="79"/>
    </row>
    <row r="5" spans="1:3" x14ac:dyDescent="0.3">
      <c r="A5" s="158" t="s">
        <v>54</v>
      </c>
      <c r="B5" s="159">
        <f>+B8*4</f>
        <v>133333.33333333334</v>
      </c>
      <c r="C5" s="222"/>
    </row>
    <row r="6" spans="1:3" x14ac:dyDescent="0.3">
      <c r="A6" s="160" t="s">
        <v>55</v>
      </c>
      <c r="B6" s="161">
        <f>+B8*2.5</f>
        <v>83333.333333333343</v>
      </c>
      <c r="C6" s="222"/>
    </row>
    <row r="7" spans="1:3" x14ac:dyDescent="0.3">
      <c r="A7" s="160" t="s">
        <v>39</v>
      </c>
      <c r="B7" s="161">
        <f>+B8*2</f>
        <v>66666.666666666672</v>
      </c>
      <c r="C7" s="222"/>
    </row>
    <row r="8" spans="1:3" x14ac:dyDescent="0.3">
      <c r="A8" s="160" t="s">
        <v>40</v>
      </c>
      <c r="B8" s="161">
        <f>1000000/30</f>
        <v>33333.333333333336</v>
      </c>
      <c r="C8" s="222"/>
    </row>
    <row r="9" spans="1:3" x14ac:dyDescent="0.3">
      <c r="A9" s="160" t="s">
        <v>56</v>
      </c>
      <c r="B9" s="161">
        <v>136478</v>
      </c>
      <c r="C9" s="222"/>
    </row>
    <row r="10" spans="1:3" x14ac:dyDescent="0.3">
      <c r="A10" s="160" t="s">
        <v>57</v>
      </c>
      <c r="B10" s="161">
        <f>+B8*1.5</f>
        <v>50000</v>
      </c>
      <c r="C10" s="222"/>
    </row>
    <row r="11" spans="1:3" x14ac:dyDescent="0.3">
      <c r="A11" s="160" t="s">
        <v>58</v>
      </c>
      <c r="B11" s="161">
        <f>+B10</f>
        <v>50000</v>
      </c>
      <c r="C11" s="222"/>
    </row>
    <row r="12" spans="1:3" x14ac:dyDescent="0.3">
      <c r="A12" s="160" t="s">
        <v>59</v>
      </c>
      <c r="B12" s="161">
        <f>+B7</f>
        <v>66666.666666666672</v>
      </c>
      <c r="C12" s="222"/>
    </row>
    <row r="13" spans="1:3" x14ac:dyDescent="0.3">
      <c r="A13" s="160" t="s">
        <v>60</v>
      </c>
      <c r="B13" s="161">
        <f>+B5</f>
        <v>133333.33333333334</v>
      </c>
      <c r="C13" s="222"/>
    </row>
    <row r="14" spans="1:3" x14ac:dyDescent="0.3">
      <c r="A14" s="160" t="s">
        <v>61</v>
      </c>
      <c r="B14" s="161">
        <f>+B7*1.5</f>
        <v>100000</v>
      </c>
      <c r="C14" s="222"/>
    </row>
    <row r="15" spans="1:3" x14ac:dyDescent="0.3">
      <c r="A15" s="155"/>
      <c r="B15" s="156"/>
    </row>
  </sheetData>
  <mergeCells count="1">
    <mergeCell ref="A1:B1"/>
  </mergeCells>
  <printOptions horizontalCentered="1"/>
  <pageMargins left="0.98425196850393704" right="0.35433070866141736" top="1.5354330708661419" bottom="0.74803149606299213" header="0.31496062992125984" footer="0.31496062992125984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B1:F154"/>
  <sheetViews>
    <sheetView view="pageBreakPreview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1.109375" customWidth="1"/>
    <col min="2" max="2" width="68.6640625" style="239" customWidth="1"/>
    <col min="3" max="3" width="12.6640625" style="239" bestFit="1" customWidth="1"/>
    <col min="4" max="4" width="10.109375" bestFit="1" customWidth="1"/>
    <col min="5" max="5" width="11.88671875" style="168" bestFit="1" customWidth="1"/>
  </cols>
  <sheetData>
    <row r="1" spans="2:5" ht="18" thickBot="1" x14ac:dyDescent="0.35">
      <c r="B1" s="755" t="s">
        <v>318</v>
      </c>
      <c r="C1" s="756"/>
      <c r="D1" s="757"/>
    </row>
    <row r="2" spans="2:5" x14ac:dyDescent="0.3">
      <c r="B2" s="229"/>
      <c r="C2" s="229"/>
      <c r="D2" s="80"/>
    </row>
    <row r="3" spans="2:5" x14ac:dyDescent="0.3">
      <c r="B3" s="157" t="s">
        <v>42</v>
      </c>
      <c r="C3" s="157" t="s">
        <v>43</v>
      </c>
      <c r="D3" s="157" t="s">
        <v>7</v>
      </c>
    </row>
    <row r="4" spans="2:5" ht="15.6" x14ac:dyDescent="0.3">
      <c r="B4" s="79"/>
      <c r="C4" s="162"/>
      <c r="D4" s="150"/>
    </row>
    <row r="5" spans="2:5" s="171" customFormat="1" x14ac:dyDescent="0.3">
      <c r="B5" s="230" t="s">
        <v>506</v>
      </c>
      <c r="C5" s="240">
        <v>120</v>
      </c>
      <c r="D5" s="169" t="s">
        <v>46</v>
      </c>
      <c r="E5" s="170"/>
    </row>
    <row r="6" spans="2:5" s="171" customFormat="1" x14ac:dyDescent="0.3">
      <c r="B6" s="231" t="s">
        <v>509</v>
      </c>
      <c r="C6" s="241">
        <v>5253.08</v>
      </c>
      <c r="D6" s="173" t="s">
        <v>124</v>
      </c>
      <c r="E6" s="170"/>
    </row>
    <row r="7" spans="2:5" s="171" customFormat="1" x14ac:dyDescent="0.3">
      <c r="B7" s="231" t="s">
        <v>510</v>
      </c>
      <c r="C7" s="241">
        <v>79900</v>
      </c>
      <c r="D7" s="173" t="s">
        <v>72</v>
      </c>
      <c r="E7" s="170"/>
    </row>
    <row r="8" spans="2:5" s="171" customFormat="1" x14ac:dyDescent="0.3">
      <c r="B8" s="231" t="s">
        <v>511</v>
      </c>
      <c r="C8" s="241">
        <v>99900</v>
      </c>
      <c r="D8" s="173" t="s">
        <v>72</v>
      </c>
      <c r="E8" s="170"/>
    </row>
    <row r="9" spans="2:5" s="171" customFormat="1" x14ac:dyDescent="0.3">
      <c r="B9" s="231" t="s">
        <v>502</v>
      </c>
      <c r="C9" s="253">
        <v>33.9</v>
      </c>
      <c r="D9" s="173" t="s">
        <v>72</v>
      </c>
      <c r="E9" s="170"/>
    </row>
    <row r="10" spans="2:5" s="171" customFormat="1" x14ac:dyDescent="0.3">
      <c r="B10" s="231" t="s">
        <v>512</v>
      </c>
      <c r="C10" s="241">
        <v>3500</v>
      </c>
      <c r="D10" s="173" t="s">
        <v>124</v>
      </c>
      <c r="E10" s="170"/>
    </row>
    <row r="11" spans="2:5" s="171" customFormat="1" x14ac:dyDescent="0.3">
      <c r="B11" s="231" t="s">
        <v>513</v>
      </c>
      <c r="C11" s="241">
        <v>9400</v>
      </c>
      <c r="D11" s="173" t="s">
        <v>44</v>
      </c>
      <c r="E11" s="170"/>
    </row>
    <row r="12" spans="2:5" s="171" customFormat="1" x14ac:dyDescent="0.3">
      <c r="B12" s="231" t="s">
        <v>514</v>
      </c>
      <c r="C12" s="241">
        <v>32250</v>
      </c>
      <c r="D12" s="173" t="s">
        <v>468</v>
      </c>
      <c r="E12" s="170"/>
    </row>
    <row r="13" spans="2:5" s="171" customFormat="1" x14ac:dyDescent="0.3">
      <c r="B13" s="231" t="s">
        <v>515</v>
      </c>
      <c r="C13" s="241">
        <v>4500</v>
      </c>
      <c r="D13" s="173" t="s">
        <v>124</v>
      </c>
      <c r="E13" s="170"/>
    </row>
    <row r="14" spans="2:5" s="171" customFormat="1" x14ac:dyDescent="0.3">
      <c r="B14" s="231" t="s">
        <v>516</v>
      </c>
      <c r="C14" s="241">
        <f>3700*1.4</f>
        <v>5180</v>
      </c>
      <c r="D14" s="173" t="s">
        <v>124</v>
      </c>
      <c r="E14" s="170"/>
    </row>
    <row r="15" spans="2:5" s="171" customFormat="1" x14ac:dyDescent="0.3">
      <c r="B15" s="231" t="s">
        <v>517</v>
      </c>
      <c r="C15" s="241">
        <v>5900</v>
      </c>
      <c r="D15" s="173" t="s">
        <v>44</v>
      </c>
      <c r="E15" s="170"/>
    </row>
    <row r="16" spans="2:5" s="171" customFormat="1" x14ac:dyDescent="0.3">
      <c r="B16" s="231" t="s">
        <v>328</v>
      </c>
      <c r="C16" s="241">
        <v>14420</v>
      </c>
      <c r="D16" s="173" t="s">
        <v>343</v>
      </c>
      <c r="E16" s="170"/>
    </row>
    <row r="17" spans="2:6" s="171" customFormat="1" x14ac:dyDescent="0.3">
      <c r="B17" s="231" t="s">
        <v>360</v>
      </c>
      <c r="C17" s="241">
        <v>12384.54</v>
      </c>
      <c r="D17" s="173" t="s">
        <v>121</v>
      </c>
      <c r="E17" s="170"/>
    </row>
    <row r="18" spans="2:6" s="171" customFormat="1" x14ac:dyDescent="0.3">
      <c r="B18" s="231" t="s">
        <v>447</v>
      </c>
      <c r="C18" s="241">
        <v>1300</v>
      </c>
      <c r="D18" s="173" t="s">
        <v>72</v>
      </c>
      <c r="E18" s="170"/>
    </row>
    <row r="19" spans="2:6" s="171" customFormat="1" x14ac:dyDescent="0.3">
      <c r="B19" s="231" t="s">
        <v>382</v>
      </c>
      <c r="C19" s="241">
        <v>50000</v>
      </c>
      <c r="D19" s="173" t="s">
        <v>124</v>
      </c>
      <c r="E19" s="170"/>
    </row>
    <row r="20" spans="2:6" s="171" customFormat="1" x14ac:dyDescent="0.3">
      <c r="B20" s="231" t="s">
        <v>503</v>
      </c>
      <c r="C20" s="241">
        <v>60000</v>
      </c>
      <c r="D20" s="173" t="s">
        <v>4</v>
      </c>
      <c r="E20" s="170"/>
      <c r="F20" s="172"/>
    </row>
    <row r="21" spans="2:6" s="171" customFormat="1" x14ac:dyDescent="0.3">
      <c r="B21" s="232" t="s">
        <v>432</v>
      </c>
      <c r="C21" s="241">
        <v>1020</v>
      </c>
      <c r="D21" s="173" t="s">
        <v>44</v>
      </c>
      <c r="E21" s="170"/>
    </row>
    <row r="22" spans="2:6" s="171" customFormat="1" x14ac:dyDescent="0.3">
      <c r="B22" s="231" t="s">
        <v>436</v>
      </c>
      <c r="C22" s="241">
        <v>838000</v>
      </c>
      <c r="D22" s="173" t="s">
        <v>6</v>
      </c>
      <c r="E22" s="170"/>
    </row>
    <row r="23" spans="2:6" s="171" customFormat="1" x14ac:dyDescent="0.25">
      <c r="B23" s="233" t="s">
        <v>346</v>
      </c>
      <c r="C23" s="242">
        <v>742000</v>
      </c>
      <c r="D23" s="193" t="s">
        <v>72</v>
      </c>
      <c r="E23" s="170"/>
    </row>
    <row r="24" spans="2:6" s="171" customFormat="1" x14ac:dyDescent="0.25">
      <c r="B24" s="232" t="s">
        <v>346</v>
      </c>
      <c r="C24" s="242">
        <v>742000</v>
      </c>
      <c r="D24" s="173" t="s">
        <v>72</v>
      </c>
      <c r="E24" s="170"/>
    </row>
    <row r="25" spans="2:6" s="171" customFormat="1" x14ac:dyDescent="0.3">
      <c r="B25" s="231" t="s">
        <v>391</v>
      </c>
      <c r="C25" s="241">
        <f>1100*1.4</f>
        <v>1540</v>
      </c>
      <c r="D25" s="173" t="s">
        <v>124</v>
      </c>
      <c r="E25" s="170"/>
    </row>
    <row r="26" spans="2:6" s="171" customFormat="1" x14ac:dyDescent="0.3">
      <c r="B26" s="231" t="s">
        <v>389</v>
      </c>
      <c r="C26" s="241">
        <f>1400*1.4</f>
        <v>1959.9999999999998</v>
      </c>
      <c r="D26" s="173" t="s">
        <v>124</v>
      </c>
      <c r="E26" s="170"/>
    </row>
    <row r="27" spans="2:6" s="171" customFormat="1" x14ac:dyDescent="0.3">
      <c r="B27" s="231" t="s">
        <v>426</v>
      </c>
      <c r="C27" s="241">
        <v>56738.000000000007</v>
      </c>
      <c r="D27" s="173" t="s">
        <v>307</v>
      </c>
      <c r="E27" s="170"/>
    </row>
    <row r="28" spans="2:6" s="171" customFormat="1" x14ac:dyDescent="0.25">
      <c r="B28" s="233" t="s">
        <v>345</v>
      </c>
      <c r="C28" s="242">
        <v>754000</v>
      </c>
      <c r="D28" s="193" t="s">
        <v>72</v>
      </c>
      <c r="E28" s="170"/>
    </row>
    <row r="29" spans="2:6" s="171" customFormat="1" x14ac:dyDescent="0.25">
      <c r="B29" s="232" t="s">
        <v>345</v>
      </c>
      <c r="C29" s="242">
        <v>754000</v>
      </c>
      <c r="D29" s="173" t="s">
        <v>72</v>
      </c>
      <c r="E29" s="170"/>
    </row>
    <row r="30" spans="2:6" s="171" customFormat="1" x14ac:dyDescent="0.25">
      <c r="B30" s="233" t="s">
        <v>347</v>
      </c>
      <c r="C30" s="242">
        <v>90498</v>
      </c>
      <c r="D30" s="193" t="s">
        <v>72</v>
      </c>
      <c r="E30" s="170"/>
    </row>
    <row r="31" spans="2:6" s="171" customFormat="1" x14ac:dyDescent="0.25">
      <c r="B31" s="232" t="s">
        <v>347</v>
      </c>
      <c r="C31" s="242">
        <v>90498</v>
      </c>
      <c r="D31" s="173" t="s">
        <v>72</v>
      </c>
      <c r="E31" s="170"/>
    </row>
    <row r="32" spans="2:6" s="171" customFormat="1" x14ac:dyDescent="0.3">
      <c r="B32" s="233" t="s">
        <v>464</v>
      </c>
      <c r="C32" s="241">
        <f>13900*1.5</f>
        <v>20850</v>
      </c>
      <c r="D32" s="173" t="s">
        <v>124</v>
      </c>
      <c r="E32" s="170"/>
    </row>
    <row r="33" spans="2:5" s="171" customFormat="1" x14ac:dyDescent="0.3">
      <c r="B33" s="231" t="s">
        <v>422</v>
      </c>
      <c r="C33" s="241">
        <v>53060</v>
      </c>
      <c r="D33" s="173" t="s">
        <v>124</v>
      </c>
      <c r="E33" s="170"/>
    </row>
    <row r="34" spans="2:5" s="171" customFormat="1" x14ac:dyDescent="0.3">
      <c r="B34" s="231" t="s">
        <v>401</v>
      </c>
      <c r="C34" s="241">
        <f>4900*1.4</f>
        <v>6860</v>
      </c>
      <c r="D34" s="173" t="s">
        <v>121</v>
      </c>
      <c r="E34" s="170"/>
    </row>
    <row r="35" spans="2:5" s="171" customFormat="1" x14ac:dyDescent="0.3">
      <c r="B35" s="232" t="s">
        <v>351</v>
      </c>
      <c r="C35" s="241">
        <v>2300</v>
      </c>
      <c r="D35" s="173" t="s">
        <v>121</v>
      </c>
      <c r="E35" s="170"/>
    </row>
    <row r="36" spans="2:5" s="171" customFormat="1" x14ac:dyDescent="0.3">
      <c r="B36" s="232" t="s">
        <v>352</v>
      </c>
      <c r="C36" s="241">
        <v>1800</v>
      </c>
      <c r="D36" s="173" t="s">
        <v>121</v>
      </c>
      <c r="E36" s="170"/>
    </row>
    <row r="37" spans="2:5" s="171" customFormat="1" x14ac:dyDescent="0.3">
      <c r="B37" s="232" t="s">
        <v>437</v>
      </c>
      <c r="C37" s="241">
        <v>16814.600000000002</v>
      </c>
      <c r="D37" s="173" t="s">
        <v>121</v>
      </c>
      <c r="E37" s="170"/>
    </row>
    <row r="38" spans="2:5" s="171" customFormat="1" x14ac:dyDescent="0.3">
      <c r="B38" s="232" t="s">
        <v>471</v>
      </c>
      <c r="C38" s="241">
        <f>7500*1.5</f>
        <v>11250</v>
      </c>
      <c r="D38" s="173" t="s">
        <v>121</v>
      </c>
      <c r="E38" s="170"/>
    </row>
    <row r="39" spans="2:5" s="171" customFormat="1" x14ac:dyDescent="0.3">
      <c r="B39" s="232" t="s">
        <v>433</v>
      </c>
      <c r="C39" s="241">
        <v>2640</v>
      </c>
      <c r="D39" s="173" t="s">
        <v>44</v>
      </c>
      <c r="E39" s="170"/>
    </row>
    <row r="40" spans="2:5" s="171" customFormat="1" x14ac:dyDescent="0.3">
      <c r="B40" s="231" t="s">
        <v>67</v>
      </c>
      <c r="C40" s="241">
        <v>690</v>
      </c>
      <c r="D40" s="173" t="s">
        <v>44</v>
      </c>
      <c r="E40" s="170"/>
    </row>
    <row r="41" spans="2:5" s="171" customFormat="1" x14ac:dyDescent="0.3">
      <c r="B41" s="231" t="s">
        <v>465</v>
      </c>
      <c r="C41" s="241">
        <v>42000</v>
      </c>
      <c r="D41" s="173" t="s">
        <v>124</v>
      </c>
      <c r="E41" s="170"/>
    </row>
    <row r="42" spans="2:5" s="171" customFormat="1" x14ac:dyDescent="0.3">
      <c r="B42" s="231" t="s">
        <v>398</v>
      </c>
      <c r="C42" s="241">
        <v>22500</v>
      </c>
      <c r="D42" s="173" t="s">
        <v>307</v>
      </c>
      <c r="E42" s="170"/>
    </row>
    <row r="43" spans="2:5" s="171" customFormat="1" x14ac:dyDescent="0.3">
      <c r="B43" s="231" t="s">
        <v>443</v>
      </c>
      <c r="C43" s="241">
        <v>240</v>
      </c>
      <c r="D43" s="173" t="s">
        <v>72</v>
      </c>
      <c r="E43" s="170"/>
    </row>
    <row r="44" spans="2:5" s="171" customFormat="1" x14ac:dyDescent="0.3">
      <c r="B44" s="231" t="s">
        <v>404</v>
      </c>
      <c r="C44" s="241">
        <f>886*2</f>
        <v>1772</v>
      </c>
      <c r="D44" s="173" t="s">
        <v>124</v>
      </c>
      <c r="E44" s="170"/>
    </row>
    <row r="45" spans="2:5" s="171" customFormat="1" x14ac:dyDescent="0.3">
      <c r="B45" s="231" t="s">
        <v>477</v>
      </c>
      <c r="C45" s="241">
        <v>21000</v>
      </c>
      <c r="D45" s="173" t="s">
        <v>72</v>
      </c>
      <c r="E45" s="170"/>
    </row>
    <row r="46" spans="2:5" s="171" customFormat="1" x14ac:dyDescent="0.3">
      <c r="B46" s="231" t="s">
        <v>444</v>
      </c>
      <c r="C46" s="241">
        <v>9700</v>
      </c>
      <c r="D46" s="173" t="s">
        <v>72</v>
      </c>
      <c r="E46" s="170"/>
    </row>
    <row r="47" spans="2:5" s="171" customFormat="1" x14ac:dyDescent="0.3">
      <c r="B47" s="231" t="s">
        <v>399</v>
      </c>
      <c r="C47" s="241">
        <v>1000</v>
      </c>
      <c r="D47" s="173" t="s">
        <v>124</v>
      </c>
      <c r="E47" s="170"/>
    </row>
    <row r="48" spans="2:5" s="171" customFormat="1" x14ac:dyDescent="0.3">
      <c r="B48" s="231" t="s">
        <v>474</v>
      </c>
      <c r="C48" s="241">
        <f>4500*1.5</f>
        <v>6750</v>
      </c>
      <c r="D48" s="173" t="s">
        <v>475</v>
      </c>
      <c r="E48" s="170"/>
    </row>
    <row r="49" spans="2:5" s="171" customFormat="1" x14ac:dyDescent="0.3">
      <c r="B49" s="232" t="s">
        <v>434</v>
      </c>
      <c r="C49" s="241">
        <v>5700</v>
      </c>
      <c r="D49" s="173" t="s">
        <v>121</v>
      </c>
      <c r="E49" s="170"/>
    </row>
    <row r="50" spans="2:5" s="171" customFormat="1" x14ac:dyDescent="0.3">
      <c r="B50" s="231" t="s">
        <v>392</v>
      </c>
      <c r="C50" s="241">
        <v>13667</v>
      </c>
      <c r="D50" s="173" t="s">
        <v>124</v>
      </c>
      <c r="E50" s="170"/>
    </row>
    <row r="51" spans="2:5" s="171" customFormat="1" x14ac:dyDescent="0.3">
      <c r="B51" s="231" t="s">
        <v>366</v>
      </c>
      <c r="C51" s="241"/>
      <c r="D51" s="173" t="s">
        <v>4</v>
      </c>
      <c r="E51" s="170"/>
    </row>
    <row r="52" spans="2:5" s="171" customFormat="1" x14ac:dyDescent="0.3">
      <c r="B52" s="231" t="s">
        <v>356</v>
      </c>
      <c r="C52" s="241"/>
      <c r="D52" s="173" t="s">
        <v>4</v>
      </c>
      <c r="E52" s="170"/>
    </row>
    <row r="53" spans="2:5" s="171" customFormat="1" x14ac:dyDescent="0.3">
      <c r="B53" s="232" t="s">
        <v>376</v>
      </c>
      <c r="C53" s="241">
        <f>9422*1.4</f>
        <v>13190.8</v>
      </c>
      <c r="D53" s="173" t="s">
        <v>121</v>
      </c>
      <c r="E53" s="170"/>
    </row>
    <row r="54" spans="2:5" s="171" customFormat="1" x14ac:dyDescent="0.25">
      <c r="B54" s="232" t="s">
        <v>348</v>
      </c>
      <c r="C54" s="242">
        <v>292320</v>
      </c>
      <c r="D54" s="193" t="s">
        <v>72</v>
      </c>
      <c r="E54" s="170"/>
    </row>
    <row r="55" spans="2:5" s="171" customFormat="1" x14ac:dyDescent="0.25">
      <c r="B55" s="234" t="s">
        <v>348</v>
      </c>
      <c r="C55" s="243">
        <v>243600</v>
      </c>
      <c r="D55" s="174" t="s">
        <v>72</v>
      </c>
      <c r="E55" s="170"/>
    </row>
    <row r="56" spans="2:5" s="171" customFormat="1" x14ac:dyDescent="0.3">
      <c r="B56" s="235" t="s">
        <v>410</v>
      </c>
      <c r="C56" s="244">
        <f>30000*1.4</f>
        <v>42000</v>
      </c>
      <c r="D56" s="211" t="s">
        <v>124</v>
      </c>
      <c r="E56" s="170"/>
    </row>
    <row r="57" spans="2:5" s="171" customFormat="1" x14ac:dyDescent="0.3">
      <c r="B57" s="231" t="s">
        <v>322</v>
      </c>
      <c r="C57" s="241">
        <v>178454.52182379609</v>
      </c>
      <c r="D57" s="173" t="s">
        <v>307</v>
      </c>
      <c r="E57" s="170"/>
    </row>
    <row r="58" spans="2:5" s="171" customFormat="1" x14ac:dyDescent="0.25">
      <c r="B58" s="232" t="s">
        <v>324</v>
      </c>
      <c r="C58" s="242">
        <v>173722.77313907421</v>
      </c>
      <c r="D58" s="193" t="s">
        <v>307</v>
      </c>
      <c r="E58" s="170"/>
    </row>
    <row r="59" spans="2:5" s="171" customFormat="1" x14ac:dyDescent="0.25">
      <c r="B59" s="232" t="s">
        <v>466</v>
      </c>
      <c r="C59" s="242">
        <v>15750</v>
      </c>
      <c r="D59" s="173" t="s">
        <v>47</v>
      </c>
      <c r="E59" s="170"/>
    </row>
    <row r="60" spans="2:5" s="171" customFormat="1" x14ac:dyDescent="0.3">
      <c r="B60" s="235" t="s">
        <v>469</v>
      </c>
      <c r="C60" s="244">
        <f>270000*1.5</f>
        <v>405000</v>
      </c>
      <c r="D60" s="211" t="str">
        <f>+D61</f>
        <v>und</v>
      </c>
      <c r="E60" s="170"/>
    </row>
    <row r="61" spans="2:5" s="171" customFormat="1" x14ac:dyDescent="0.3">
      <c r="B61" s="236" t="str">
        <f>+[10]APUS!$A$4997</f>
        <v>Emulsion Asfaltico 18k</v>
      </c>
      <c r="C61" s="241">
        <v>75600</v>
      </c>
      <c r="D61" s="173" t="s">
        <v>72</v>
      </c>
      <c r="E61" s="170"/>
    </row>
    <row r="62" spans="2:5" s="171" customFormat="1" x14ac:dyDescent="0.3">
      <c r="B62" s="231" t="s">
        <v>369</v>
      </c>
      <c r="C62" s="241">
        <v>94580</v>
      </c>
      <c r="D62" s="173" t="s">
        <v>333</v>
      </c>
      <c r="E62" s="170"/>
    </row>
    <row r="63" spans="2:5" s="171" customFormat="1" x14ac:dyDescent="0.3">
      <c r="B63" s="231" t="s">
        <v>470</v>
      </c>
      <c r="C63" s="241">
        <f>9400*1.5</f>
        <v>14100</v>
      </c>
      <c r="D63" s="173" t="str">
        <f>+D54</f>
        <v>und</v>
      </c>
      <c r="E63" s="170"/>
    </row>
    <row r="64" spans="2:5" s="171" customFormat="1" x14ac:dyDescent="0.3">
      <c r="B64" s="232" t="s">
        <v>429</v>
      </c>
      <c r="C64" s="241">
        <v>4440</v>
      </c>
      <c r="D64" s="173" t="s">
        <v>6</v>
      </c>
      <c r="E64" s="170"/>
    </row>
    <row r="65" spans="2:5" s="171" customFormat="1" x14ac:dyDescent="0.3">
      <c r="B65" s="232" t="s">
        <v>472</v>
      </c>
      <c r="C65" s="241">
        <v>75000</v>
      </c>
      <c r="D65" s="173" t="str">
        <f>+D64</f>
        <v>Und</v>
      </c>
      <c r="E65" s="170"/>
    </row>
    <row r="66" spans="2:5" s="171" customFormat="1" x14ac:dyDescent="0.3">
      <c r="B66" s="232" t="s">
        <v>473</v>
      </c>
      <c r="C66" s="241">
        <f>+C65</f>
        <v>75000</v>
      </c>
      <c r="D66" s="173" t="str">
        <f>+D65</f>
        <v>Und</v>
      </c>
      <c r="E66" s="170"/>
    </row>
    <row r="67" spans="2:5" s="171" customFormat="1" x14ac:dyDescent="0.3">
      <c r="B67" s="232" t="s">
        <v>430</v>
      </c>
      <c r="C67" s="241">
        <v>6240</v>
      </c>
      <c r="D67" s="173" t="s">
        <v>45</v>
      </c>
      <c r="E67" s="170"/>
    </row>
    <row r="68" spans="2:5" s="171" customFormat="1" x14ac:dyDescent="0.3">
      <c r="B68" s="232" t="s">
        <v>435</v>
      </c>
      <c r="C68" s="241">
        <v>90720</v>
      </c>
      <c r="D68" s="173" t="s">
        <v>45</v>
      </c>
      <c r="E68" s="170"/>
    </row>
    <row r="69" spans="2:5" s="171" customFormat="1" x14ac:dyDescent="0.3">
      <c r="B69" s="232" t="s">
        <v>431</v>
      </c>
      <c r="C69" s="241">
        <v>99600</v>
      </c>
      <c r="D69" s="173" t="s">
        <v>304</v>
      </c>
      <c r="E69" s="170"/>
    </row>
    <row r="70" spans="2:5" s="171" customFormat="1" x14ac:dyDescent="0.3">
      <c r="B70" s="231" t="s">
        <v>355</v>
      </c>
      <c r="C70" s="241">
        <v>90000</v>
      </c>
      <c r="D70" s="173" t="s">
        <v>4</v>
      </c>
      <c r="E70" s="170"/>
    </row>
    <row r="71" spans="2:5" s="171" customFormat="1" x14ac:dyDescent="0.3">
      <c r="B71" s="231" t="s">
        <v>411</v>
      </c>
      <c r="C71" s="241">
        <v>28000</v>
      </c>
      <c r="D71" s="173" t="s">
        <v>124</v>
      </c>
      <c r="E71" s="170"/>
    </row>
    <row r="72" spans="2:5" s="171" customFormat="1" x14ac:dyDescent="0.3">
      <c r="B72" s="231" t="s">
        <v>412</v>
      </c>
      <c r="C72" s="241">
        <f>60000*1.4</f>
        <v>84000</v>
      </c>
      <c r="D72" s="173" t="s">
        <v>124</v>
      </c>
      <c r="E72" s="170"/>
    </row>
    <row r="73" spans="2:5" s="171" customFormat="1" ht="26.4" x14ac:dyDescent="0.3">
      <c r="B73" s="233" t="s">
        <v>371</v>
      </c>
      <c r="C73" s="241">
        <v>46000</v>
      </c>
      <c r="D73" s="173" t="s">
        <v>44</v>
      </c>
      <c r="E73" s="170"/>
    </row>
    <row r="74" spans="2:5" s="171" customFormat="1" x14ac:dyDescent="0.3">
      <c r="B74" s="231" t="s">
        <v>419</v>
      </c>
      <c r="C74" s="241">
        <v>20900</v>
      </c>
      <c r="D74" s="173" t="s">
        <v>124</v>
      </c>
      <c r="E74" s="170"/>
    </row>
    <row r="75" spans="2:5" s="171" customFormat="1" x14ac:dyDescent="0.3">
      <c r="B75" s="231" t="s">
        <v>446</v>
      </c>
      <c r="C75" s="241">
        <v>168000</v>
      </c>
      <c r="D75" s="173" t="s">
        <v>333</v>
      </c>
      <c r="E75" s="170"/>
    </row>
    <row r="76" spans="2:5" s="171" customFormat="1" x14ac:dyDescent="0.3">
      <c r="B76" s="231" t="s">
        <v>370</v>
      </c>
      <c r="C76" s="241">
        <f>3800000*1.2</f>
        <v>4560000</v>
      </c>
      <c r="D76" s="173" t="s">
        <v>6</v>
      </c>
      <c r="E76" s="170"/>
    </row>
    <row r="77" spans="2:5" s="171" customFormat="1" x14ac:dyDescent="0.3">
      <c r="B77" s="231" t="s">
        <v>449</v>
      </c>
      <c r="C77" s="241">
        <v>64950</v>
      </c>
      <c r="D77" s="173" t="s">
        <v>72</v>
      </c>
      <c r="E77" s="170"/>
    </row>
    <row r="78" spans="2:5" s="171" customFormat="1" x14ac:dyDescent="0.3">
      <c r="B78" s="231" t="s">
        <v>417</v>
      </c>
      <c r="C78" s="241">
        <f>53000*1.4</f>
        <v>74200</v>
      </c>
      <c r="D78" s="173" t="s">
        <v>124</v>
      </c>
      <c r="E78" s="170"/>
    </row>
    <row r="79" spans="2:5" s="171" customFormat="1" x14ac:dyDescent="0.3">
      <c r="B79" s="231" t="s">
        <v>349</v>
      </c>
      <c r="C79" s="241">
        <v>600000</v>
      </c>
      <c r="D79" s="173" t="s">
        <v>307</v>
      </c>
      <c r="E79" s="170"/>
    </row>
    <row r="80" spans="2:5" s="171" customFormat="1" x14ac:dyDescent="0.3">
      <c r="B80" s="232" t="s">
        <v>350</v>
      </c>
      <c r="C80" s="241">
        <f>431000*1.2</f>
        <v>517200</v>
      </c>
      <c r="D80" s="173" t="s">
        <v>72</v>
      </c>
      <c r="E80" s="170"/>
    </row>
    <row r="81" spans="2:5" s="171" customFormat="1" x14ac:dyDescent="0.3">
      <c r="B81" s="231" t="s">
        <v>350</v>
      </c>
      <c r="C81" s="241">
        <v>958800</v>
      </c>
      <c r="D81" s="173" t="s">
        <v>307</v>
      </c>
      <c r="E81" s="170"/>
    </row>
    <row r="82" spans="2:5" s="171" customFormat="1" x14ac:dyDescent="0.3">
      <c r="B82" s="231" t="s">
        <v>364</v>
      </c>
      <c r="C82" s="241">
        <v>2940</v>
      </c>
      <c r="D82" s="173" t="s">
        <v>307</v>
      </c>
      <c r="E82" s="170"/>
    </row>
    <row r="83" spans="2:5" s="171" customFormat="1" x14ac:dyDescent="0.3">
      <c r="B83" s="231" t="s">
        <v>390</v>
      </c>
      <c r="C83" s="241">
        <v>358000</v>
      </c>
      <c r="D83" s="173" t="s">
        <v>124</v>
      </c>
      <c r="E83" s="170"/>
    </row>
    <row r="84" spans="2:5" s="171" customFormat="1" x14ac:dyDescent="0.3">
      <c r="B84" s="231" t="s">
        <v>368</v>
      </c>
      <c r="C84" s="241">
        <f>330000*1.2</f>
        <v>396000</v>
      </c>
      <c r="D84" s="173" t="s">
        <v>6</v>
      </c>
      <c r="E84" s="170"/>
    </row>
    <row r="85" spans="2:5" s="171" customFormat="1" x14ac:dyDescent="0.3">
      <c r="B85" s="231" t="s">
        <v>367</v>
      </c>
      <c r="C85" s="241">
        <v>8800</v>
      </c>
      <c r="D85" s="173" t="s">
        <v>298</v>
      </c>
      <c r="E85" s="170"/>
    </row>
    <row r="86" spans="2:5" s="171" customFormat="1" x14ac:dyDescent="0.3">
      <c r="B86" s="231" t="s">
        <v>329</v>
      </c>
      <c r="C86" s="241">
        <v>20300</v>
      </c>
      <c r="D86" s="173" t="s">
        <v>298</v>
      </c>
      <c r="E86" s="170"/>
    </row>
    <row r="87" spans="2:5" s="171" customFormat="1" x14ac:dyDescent="0.3">
      <c r="B87" s="231" t="s">
        <v>406</v>
      </c>
      <c r="C87" s="241">
        <f>4000*1.4</f>
        <v>5600</v>
      </c>
      <c r="D87" s="173" t="s">
        <v>387</v>
      </c>
      <c r="E87" s="170"/>
    </row>
    <row r="88" spans="2:5" s="171" customFormat="1" x14ac:dyDescent="0.3">
      <c r="B88" s="236" t="str">
        <f>+[10]APUS!$A$4995</f>
        <v>Manto Edil de 3 mm</v>
      </c>
      <c r="C88" s="241">
        <v>27000</v>
      </c>
      <c r="D88" s="173" t="s">
        <v>45</v>
      </c>
      <c r="E88" s="170"/>
    </row>
    <row r="89" spans="2:5" s="171" customFormat="1" x14ac:dyDescent="0.3">
      <c r="B89" s="231" t="s">
        <v>354</v>
      </c>
      <c r="C89" s="241">
        <v>2640000</v>
      </c>
      <c r="D89" s="173" t="s">
        <v>72</v>
      </c>
      <c r="E89" s="170"/>
    </row>
    <row r="90" spans="2:5" s="171" customFormat="1" x14ac:dyDescent="0.3">
      <c r="B90" s="231" t="s">
        <v>365</v>
      </c>
      <c r="C90" s="241">
        <f>17900*4*1.2</f>
        <v>85920</v>
      </c>
      <c r="D90" s="173" t="s">
        <v>333</v>
      </c>
      <c r="E90" s="170"/>
    </row>
    <row r="91" spans="2:5" s="171" customFormat="1" x14ac:dyDescent="0.3">
      <c r="B91" s="231" t="s">
        <v>442</v>
      </c>
      <c r="C91" s="241">
        <v>14500</v>
      </c>
      <c r="D91" s="173" t="s">
        <v>463</v>
      </c>
      <c r="E91" s="170"/>
    </row>
    <row r="92" spans="2:5" s="171" customFormat="1" x14ac:dyDescent="0.3">
      <c r="B92" s="231" t="s">
        <v>427</v>
      </c>
      <c r="C92" s="241">
        <v>32000</v>
      </c>
      <c r="D92" s="173" t="s">
        <v>304</v>
      </c>
      <c r="E92" s="170"/>
    </row>
    <row r="93" spans="2:5" s="171" customFormat="1" x14ac:dyDescent="0.3">
      <c r="B93" s="231" t="s">
        <v>321</v>
      </c>
      <c r="C93" s="241"/>
      <c r="D93" s="173" t="s">
        <v>4</v>
      </c>
      <c r="E93" s="170"/>
    </row>
    <row r="94" spans="2:5" s="171" customFormat="1" x14ac:dyDescent="0.3">
      <c r="B94" s="231" t="s">
        <v>373</v>
      </c>
      <c r="C94" s="241">
        <v>10186.4</v>
      </c>
      <c r="D94" s="173" t="s">
        <v>374</v>
      </c>
      <c r="E94" s="170"/>
    </row>
    <row r="95" spans="2:5" s="171" customFormat="1" x14ac:dyDescent="0.3">
      <c r="B95" s="231" t="s">
        <v>450</v>
      </c>
      <c r="C95" s="245">
        <v>8550</v>
      </c>
      <c r="D95" s="196" t="s">
        <v>72</v>
      </c>
      <c r="E95" s="170"/>
    </row>
    <row r="96" spans="2:5" s="171" customFormat="1" x14ac:dyDescent="0.3">
      <c r="B96" s="231" t="s">
        <v>381</v>
      </c>
      <c r="C96" s="245">
        <v>120000</v>
      </c>
      <c r="D96" s="196" t="s">
        <v>124</v>
      </c>
      <c r="E96" s="170"/>
    </row>
    <row r="97" spans="2:5" s="171" customFormat="1" x14ac:dyDescent="0.3">
      <c r="B97" s="231" t="s">
        <v>323</v>
      </c>
      <c r="C97" s="245">
        <v>168991.02445435236</v>
      </c>
      <c r="D97" s="196" t="s">
        <v>307</v>
      </c>
      <c r="E97" s="170"/>
    </row>
    <row r="98" spans="2:5" s="171" customFormat="1" x14ac:dyDescent="0.3">
      <c r="B98" s="231" t="s">
        <v>420</v>
      </c>
      <c r="C98" s="245">
        <v>11900</v>
      </c>
      <c r="D98" s="196" t="s">
        <v>44</v>
      </c>
      <c r="E98" s="170"/>
    </row>
    <row r="99" spans="2:5" s="171" customFormat="1" x14ac:dyDescent="0.3">
      <c r="B99" s="231" t="s">
        <v>405</v>
      </c>
      <c r="C99" s="245">
        <f>1975*1.4</f>
        <v>2765</v>
      </c>
      <c r="D99" s="196" t="s">
        <v>121</v>
      </c>
      <c r="E99" s="170"/>
    </row>
    <row r="100" spans="2:5" s="171" customFormat="1" x14ac:dyDescent="0.3">
      <c r="B100" s="231" t="s">
        <v>331</v>
      </c>
      <c r="C100" s="245">
        <v>68280</v>
      </c>
      <c r="D100" s="196" t="s">
        <v>47</v>
      </c>
      <c r="E100" s="170"/>
    </row>
    <row r="101" spans="2:5" s="171" customFormat="1" x14ac:dyDescent="0.3">
      <c r="B101" s="237" t="s">
        <v>372</v>
      </c>
      <c r="C101" s="246">
        <v>47700</v>
      </c>
      <c r="D101" s="174" t="s">
        <v>44</v>
      </c>
      <c r="E101" s="170"/>
    </row>
    <row r="102" spans="2:5" s="171" customFormat="1" ht="26.4" x14ac:dyDescent="0.3">
      <c r="B102" s="238" t="s">
        <v>428</v>
      </c>
      <c r="C102" s="247">
        <f>189000*1.4/5</f>
        <v>52920</v>
      </c>
      <c r="D102" s="212" t="s">
        <v>333</v>
      </c>
      <c r="E102" s="170"/>
    </row>
    <row r="103" spans="2:5" s="171" customFormat="1" x14ac:dyDescent="0.3">
      <c r="B103" s="231" t="s">
        <v>353</v>
      </c>
      <c r="C103" s="245">
        <v>93900</v>
      </c>
      <c r="D103" s="196" t="s">
        <v>47</v>
      </c>
      <c r="E103" s="170"/>
    </row>
    <row r="104" spans="2:5" s="171" customFormat="1" x14ac:dyDescent="0.3">
      <c r="B104" s="231" t="s">
        <v>478</v>
      </c>
      <c r="C104" s="245">
        <v>114000</v>
      </c>
      <c r="D104" s="196" t="s">
        <v>47</v>
      </c>
      <c r="E104" s="170"/>
    </row>
    <row r="105" spans="2:5" s="171" customFormat="1" x14ac:dyDescent="0.3">
      <c r="B105" s="231" t="s">
        <v>379</v>
      </c>
      <c r="C105" s="245">
        <v>12000</v>
      </c>
      <c r="D105" s="196" t="s">
        <v>124</v>
      </c>
      <c r="E105" s="170"/>
    </row>
    <row r="106" spans="2:5" s="171" customFormat="1" x14ac:dyDescent="0.3">
      <c r="B106" s="231" t="s">
        <v>403</v>
      </c>
      <c r="C106" s="245">
        <f>3000*1.4</f>
        <v>4200</v>
      </c>
      <c r="D106" s="196" t="s">
        <v>121</v>
      </c>
      <c r="E106" s="170"/>
    </row>
    <row r="107" spans="2:5" s="171" customFormat="1" x14ac:dyDescent="0.3">
      <c r="B107" s="231" t="s">
        <v>363</v>
      </c>
      <c r="C107" s="245">
        <v>38052</v>
      </c>
      <c r="D107" s="196" t="s">
        <v>124</v>
      </c>
      <c r="E107" s="170"/>
    </row>
    <row r="108" spans="2:5" s="171" customFormat="1" x14ac:dyDescent="0.3">
      <c r="B108" s="231" t="s">
        <v>361</v>
      </c>
      <c r="C108" s="245">
        <v>25283.16</v>
      </c>
      <c r="D108" s="196" t="s">
        <v>121</v>
      </c>
      <c r="E108" s="170"/>
    </row>
    <row r="109" spans="2:5" s="171" customFormat="1" x14ac:dyDescent="0.3">
      <c r="B109" s="231" t="s">
        <v>408</v>
      </c>
      <c r="C109" s="245">
        <v>99500</v>
      </c>
      <c r="D109" s="196" t="s">
        <v>453</v>
      </c>
      <c r="E109" s="170"/>
    </row>
    <row r="110" spans="2:5" s="171" customFormat="1" x14ac:dyDescent="0.3">
      <c r="B110" s="231" t="s">
        <v>362</v>
      </c>
      <c r="C110" s="245">
        <v>8322.2999999999993</v>
      </c>
      <c r="D110" s="196" t="s">
        <v>121</v>
      </c>
      <c r="E110" s="170"/>
    </row>
    <row r="111" spans="2:5" s="171" customFormat="1" x14ac:dyDescent="0.3">
      <c r="B111" s="231" t="s">
        <v>330</v>
      </c>
      <c r="C111" s="245">
        <v>5500</v>
      </c>
      <c r="D111" s="196" t="s">
        <v>307</v>
      </c>
      <c r="E111" s="170"/>
    </row>
    <row r="112" spans="2:5" s="171" customFormat="1" x14ac:dyDescent="0.3">
      <c r="B112" s="231" t="s">
        <v>330</v>
      </c>
      <c r="C112" s="245">
        <v>5500</v>
      </c>
      <c r="D112" s="196" t="s">
        <v>1</v>
      </c>
      <c r="E112" s="170"/>
    </row>
    <row r="113" spans="2:5" s="171" customFormat="1" ht="56.4" customHeight="1" x14ac:dyDescent="0.25">
      <c r="B113" s="233" t="s">
        <v>378</v>
      </c>
      <c r="C113" s="248">
        <v>1400000</v>
      </c>
      <c r="D113" s="209" t="s">
        <v>72</v>
      </c>
      <c r="E113" s="170"/>
    </row>
    <row r="114" spans="2:5" s="171" customFormat="1" x14ac:dyDescent="0.3">
      <c r="B114" s="232" t="s">
        <v>377</v>
      </c>
      <c r="C114" s="245">
        <v>400000</v>
      </c>
      <c r="D114" s="196" t="s">
        <v>72</v>
      </c>
      <c r="E114" s="170"/>
    </row>
    <row r="115" spans="2:5" s="171" customFormat="1" x14ac:dyDescent="0.3">
      <c r="B115" s="231" t="s">
        <v>413</v>
      </c>
      <c r="C115" s="245">
        <f>18500*1.4</f>
        <v>25900</v>
      </c>
      <c r="D115" s="196" t="s">
        <v>374</v>
      </c>
      <c r="E115" s="170"/>
    </row>
    <row r="116" spans="2:5" s="171" customFormat="1" x14ac:dyDescent="0.3">
      <c r="B116" s="231" t="s">
        <v>326</v>
      </c>
      <c r="C116" s="245">
        <v>1780000</v>
      </c>
      <c r="D116" s="196" t="s">
        <v>307</v>
      </c>
      <c r="E116" s="170"/>
    </row>
    <row r="117" spans="2:5" s="171" customFormat="1" x14ac:dyDescent="0.3">
      <c r="B117" s="231" t="s">
        <v>492</v>
      </c>
      <c r="C117" s="245">
        <v>6000</v>
      </c>
      <c r="D117" s="196" t="s">
        <v>307</v>
      </c>
      <c r="E117" s="170"/>
    </row>
    <row r="118" spans="2:5" s="171" customFormat="1" x14ac:dyDescent="0.3">
      <c r="B118" s="231" t="s">
        <v>493</v>
      </c>
      <c r="C118" s="245">
        <v>3000</v>
      </c>
      <c r="D118" s="196" t="s">
        <v>307</v>
      </c>
      <c r="E118" s="170"/>
    </row>
    <row r="119" spans="2:5" s="171" customFormat="1" x14ac:dyDescent="0.3">
      <c r="B119" s="231" t="s">
        <v>500</v>
      </c>
      <c r="C119" s="245">
        <v>238000</v>
      </c>
      <c r="D119" s="196" t="s">
        <v>124</v>
      </c>
      <c r="E119" s="170"/>
    </row>
    <row r="120" spans="2:5" s="171" customFormat="1" x14ac:dyDescent="0.3">
      <c r="B120" s="231" t="s">
        <v>400</v>
      </c>
      <c r="C120" s="245">
        <v>5460</v>
      </c>
      <c r="D120" s="196" t="s">
        <v>121</v>
      </c>
      <c r="E120" s="170"/>
    </row>
    <row r="121" spans="2:5" s="171" customFormat="1" x14ac:dyDescent="0.3">
      <c r="B121" s="231" t="s">
        <v>467</v>
      </c>
      <c r="C121" s="245">
        <v>26800</v>
      </c>
      <c r="D121" s="196" t="s">
        <v>388</v>
      </c>
      <c r="E121" s="170"/>
    </row>
    <row r="122" spans="2:5" s="171" customFormat="1" x14ac:dyDescent="0.3">
      <c r="B122" s="231" t="s">
        <v>334</v>
      </c>
      <c r="C122" s="245">
        <v>18995</v>
      </c>
      <c r="D122" s="196" t="s">
        <v>332</v>
      </c>
      <c r="E122" s="170"/>
    </row>
    <row r="123" spans="2:5" s="171" customFormat="1" x14ac:dyDescent="0.3">
      <c r="B123" s="231" t="s">
        <v>476</v>
      </c>
      <c r="C123" s="245">
        <v>3000</v>
      </c>
      <c r="D123" s="196" t="s">
        <v>6</v>
      </c>
      <c r="E123" s="170"/>
    </row>
    <row r="124" spans="2:5" s="171" customFormat="1" x14ac:dyDescent="0.3">
      <c r="B124" s="232" t="s">
        <v>424</v>
      </c>
      <c r="C124" s="245">
        <v>600</v>
      </c>
      <c r="D124" s="196" t="s">
        <v>425</v>
      </c>
      <c r="E124" s="170"/>
    </row>
    <row r="125" spans="2:5" s="171" customFormat="1" x14ac:dyDescent="0.3">
      <c r="B125" s="231" t="s">
        <v>394</v>
      </c>
      <c r="C125" s="245">
        <v>105524</v>
      </c>
      <c r="D125" s="196" t="s">
        <v>395</v>
      </c>
      <c r="E125" s="170"/>
    </row>
    <row r="126" spans="2:5" s="171" customFormat="1" x14ac:dyDescent="0.3">
      <c r="B126" s="231" t="s">
        <v>479</v>
      </c>
      <c r="C126" s="245">
        <v>70000</v>
      </c>
      <c r="D126" s="196" t="s">
        <v>480</v>
      </c>
      <c r="E126" s="170"/>
    </row>
    <row r="127" spans="2:5" s="171" customFormat="1" ht="52.8" x14ac:dyDescent="0.25">
      <c r="B127" s="233" t="s">
        <v>344</v>
      </c>
      <c r="C127" s="248">
        <v>618280</v>
      </c>
      <c r="D127" s="209" t="s">
        <v>72</v>
      </c>
      <c r="E127" s="170"/>
    </row>
    <row r="128" spans="2:5" s="171" customFormat="1" ht="52.8" x14ac:dyDescent="0.25">
      <c r="B128" s="233" t="s">
        <v>344</v>
      </c>
      <c r="C128" s="248">
        <v>618280</v>
      </c>
      <c r="D128" s="209" t="s">
        <v>72</v>
      </c>
      <c r="E128" s="170"/>
    </row>
    <row r="129" spans="2:5" s="171" customFormat="1" x14ac:dyDescent="0.3">
      <c r="B129" s="231" t="s">
        <v>416</v>
      </c>
      <c r="C129" s="245">
        <f>270000*1.4</f>
        <v>378000</v>
      </c>
      <c r="D129" s="196" t="s">
        <v>121</v>
      </c>
      <c r="E129" s="170"/>
    </row>
    <row r="130" spans="2:5" s="171" customFormat="1" x14ac:dyDescent="0.3">
      <c r="B130" s="231" t="s">
        <v>421</v>
      </c>
      <c r="C130" s="245">
        <v>48500</v>
      </c>
      <c r="D130" s="196" t="s">
        <v>453</v>
      </c>
      <c r="E130" s="170"/>
    </row>
    <row r="131" spans="2:5" s="171" customFormat="1" x14ac:dyDescent="0.3">
      <c r="B131" s="231" t="s">
        <v>402</v>
      </c>
      <c r="C131" s="245">
        <f>5900*1.4</f>
        <v>8260</v>
      </c>
      <c r="D131" s="196" t="s">
        <v>124</v>
      </c>
      <c r="E131" s="170"/>
    </row>
    <row r="132" spans="2:5" s="171" customFormat="1" x14ac:dyDescent="0.3">
      <c r="B132" s="231" t="s">
        <v>418</v>
      </c>
      <c r="C132" s="245">
        <v>25900</v>
      </c>
      <c r="D132" s="196" t="s">
        <v>124</v>
      </c>
      <c r="E132" s="170"/>
    </row>
    <row r="133" spans="2:5" s="171" customFormat="1" x14ac:dyDescent="0.3">
      <c r="B133" s="231" t="s">
        <v>438</v>
      </c>
      <c r="C133" s="245">
        <v>1650</v>
      </c>
      <c r="D133" s="196" t="s">
        <v>124</v>
      </c>
      <c r="E133" s="170"/>
    </row>
    <row r="134" spans="2:5" s="171" customFormat="1" x14ac:dyDescent="0.3">
      <c r="B134" s="231" t="s">
        <v>448</v>
      </c>
      <c r="C134" s="245">
        <v>60</v>
      </c>
      <c r="D134" s="196" t="s">
        <v>72</v>
      </c>
      <c r="E134" s="170"/>
    </row>
    <row r="135" spans="2:5" s="171" customFormat="1" x14ac:dyDescent="0.3">
      <c r="B135" s="231" t="s">
        <v>445</v>
      </c>
      <c r="C135" s="245">
        <v>60</v>
      </c>
      <c r="D135" s="196" t="s">
        <v>72</v>
      </c>
      <c r="E135" s="170"/>
    </row>
    <row r="136" spans="2:5" s="171" customFormat="1" x14ac:dyDescent="0.3">
      <c r="B136" s="231" t="s">
        <v>380</v>
      </c>
      <c r="C136" s="245">
        <f>129800*1.4</f>
        <v>181720</v>
      </c>
      <c r="D136" s="196" t="s">
        <v>124</v>
      </c>
      <c r="E136" s="170"/>
    </row>
    <row r="137" spans="2:5" s="171" customFormat="1" x14ac:dyDescent="0.3">
      <c r="B137" s="231" t="s">
        <v>494</v>
      </c>
      <c r="C137" s="245">
        <f>18500*1.5</f>
        <v>27750</v>
      </c>
      <c r="D137" s="196" t="s">
        <v>121</v>
      </c>
      <c r="E137" s="170"/>
    </row>
    <row r="138" spans="2:5" s="171" customFormat="1" x14ac:dyDescent="0.3">
      <c r="B138" s="231" t="s">
        <v>495</v>
      </c>
      <c r="C138" s="245">
        <f>11000*1.5</f>
        <v>16500</v>
      </c>
      <c r="D138" s="196" t="s">
        <v>121</v>
      </c>
      <c r="E138" s="170"/>
    </row>
    <row r="139" spans="2:5" s="171" customFormat="1" x14ac:dyDescent="0.3">
      <c r="B139" s="231" t="s">
        <v>396</v>
      </c>
      <c r="C139" s="245">
        <f>156092/6</f>
        <v>26015.333333333332</v>
      </c>
      <c r="D139" s="196" t="s">
        <v>121</v>
      </c>
      <c r="E139" s="170"/>
    </row>
    <row r="140" spans="2:5" s="171" customFormat="1" x14ac:dyDescent="0.3">
      <c r="B140" s="231" t="s">
        <v>393</v>
      </c>
      <c r="C140" s="251">
        <f>113077/6</f>
        <v>18846.166666666668</v>
      </c>
      <c r="D140" s="252" t="s">
        <v>121</v>
      </c>
      <c r="E140" s="170"/>
    </row>
    <row r="141" spans="2:5" s="171" customFormat="1" x14ac:dyDescent="0.3">
      <c r="B141" s="231" t="s">
        <v>409</v>
      </c>
      <c r="C141" s="251">
        <f>85000*1.4</f>
        <v>118999.99999999999</v>
      </c>
      <c r="D141" s="252" t="s">
        <v>124</v>
      </c>
      <c r="E141" s="170"/>
    </row>
    <row r="142" spans="2:5" s="171" customFormat="1" x14ac:dyDescent="0.3">
      <c r="B142" s="231" t="s">
        <v>357</v>
      </c>
      <c r="C142" s="251">
        <v>176919.35492362967</v>
      </c>
      <c r="D142" s="252" t="s">
        <v>307</v>
      </c>
      <c r="E142" s="170"/>
    </row>
    <row r="143" spans="2:5" s="171" customFormat="1" x14ac:dyDescent="0.3">
      <c r="B143" s="231" t="s">
        <v>397</v>
      </c>
      <c r="C143" s="251">
        <v>7962</v>
      </c>
      <c r="D143" s="252" t="s">
        <v>121</v>
      </c>
      <c r="E143" s="170"/>
    </row>
    <row r="144" spans="2:5" s="171" customFormat="1" x14ac:dyDescent="0.3">
      <c r="B144" s="231" t="s">
        <v>375</v>
      </c>
      <c r="C144" s="251">
        <f>141950*1.4</f>
        <v>198730</v>
      </c>
      <c r="D144" s="252" t="s">
        <v>72</v>
      </c>
      <c r="E144" s="170"/>
    </row>
    <row r="145" spans="2:5" s="171" customFormat="1" x14ac:dyDescent="0.3">
      <c r="B145" s="231" t="s">
        <v>358</v>
      </c>
      <c r="C145" s="251">
        <v>6107.6400000000012</v>
      </c>
      <c r="D145" s="252" t="s">
        <v>343</v>
      </c>
      <c r="E145" s="170"/>
    </row>
    <row r="146" spans="2:5" s="171" customFormat="1" x14ac:dyDescent="0.3">
      <c r="B146" s="231" t="s">
        <v>451</v>
      </c>
      <c r="C146" s="251">
        <v>9150</v>
      </c>
      <c r="D146" s="252" t="s">
        <v>72</v>
      </c>
      <c r="E146" s="170"/>
    </row>
    <row r="147" spans="2:5" x14ac:dyDescent="0.3">
      <c r="B147" s="231" t="s">
        <v>491</v>
      </c>
      <c r="C147" s="251">
        <v>79900</v>
      </c>
      <c r="D147" s="231"/>
    </row>
    <row r="148" spans="2:5" x14ac:dyDescent="0.3">
      <c r="B148" s="231" t="s">
        <v>359</v>
      </c>
      <c r="C148" s="231"/>
      <c r="D148" s="231"/>
    </row>
    <row r="149" spans="2:5" x14ac:dyDescent="0.3">
      <c r="B149" s="231"/>
      <c r="C149" s="231"/>
      <c r="D149" s="231"/>
      <c r="E149" s="250"/>
    </row>
    <row r="150" spans="2:5" x14ac:dyDescent="0.3">
      <c r="B150" s="231"/>
      <c r="C150" s="231"/>
      <c r="D150" s="231"/>
      <c r="E150" s="250"/>
    </row>
    <row r="151" spans="2:5" x14ac:dyDescent="0.3">
      <c r="C151" s="249"/>
      <c r="D151" s="249"/>
      <c r="E151" s="250"/>
    </row>
    <row r="152" spans="2:5" x14ac:dyDescent="0.3">
      <c r="C152" s="249"/>
      <c r="D152" s="249"/>
      <c r="E152" s="250"/>
    </row>
    <row r="153" spans="2:5" x14ac:dyDescent="0.3">
      <c r="C153" s="249"/>
      <c r="D153" s="249"/>
      <c r="E153" s="250"/>
    </row>
    <row r="154" spans="2:5" x14ac:dyDescent="0.3">
      <c r="E154" s="250"/>
    </row>
  </sheetData>
  <sortState xmlns:xlrd2="http://schemas.microsoft.com/office/spreadsheetml/2017/richdata2" ref="B6:D137">
    <sortCondition ref="B5"/>
  </sortState>
  <mergeCells count="1">
    <mergeCell ref="B1:D1"/>
  </mergeCells>
  <hyperlinks>
    <hyperlink ref="B34" r:id="rId1" display="https://www.homecenter.com.co/homecenter-co/product/78531/Cable-de-Acero-Galvanizado-de-1-4-Pulgada/78531" xr:uid="{00000000-0004-0000-0600-000000000000}"/>
  </hyperlinks>
  <printOptions horizontalCentered="1"/>
  <pageMargins left="0.70866141732283472" right="0.47244094488188981" top="0.74803149606299213" bottom="0.74803149606299213" header="0.31496062992125984" footer="0.31496062992125984"/>
  <pageSetup scale="91" orientation="portrait" horizontalDpi="300" verticalDpi="300" r:id="rId2"/>
  <colBreaks count="1" manualBreakCount="1">
    <brk id="1" max="1048575" man="1"/>
  </colBreaks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B1:T26"/>
  <sheetViews>
    <sheetView view="pageBreakPreview" zoomScale="95" zoomScaleNormal="100" zoomScaleSheetLayoutView="9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17" sqref="D17"/>
    </sheetView>
  </sheetViews>
  <sheetFormatPr baseColWidth="10" defaultColWidth="14.88671875" defaultRowHeight="12" x14ac:dyDescent="0.2"/>
  <cols>
    <col min="1" max="1" width="1.109375" style="178" customWidth="1"/>
    <col min="2" max="2" width="6.109375" style="178" customWidth="1"/>
    <col min="3" max="3" width="40.6640625" style="178" customWidth="1"/>
    <col min="4" max="4" width="8.88671875" style="178" customWidth="1"/>
    <col min="5" max="5" width="13.109375" style="202" customWidth="1"/>
    <col min="6" max="6" width="13.44140625" style="179" customWidth="1"/>
    <col min="7" max="11" width="13.6640625" style="179" customWidth="1"/>
    <col min="12" max="12" width="27.44140625" style="180" customWidth="1"/>
    <col min="13" max="13" width="14.88671875" style="178"/>
    <col min="14" max="14" width="22.5546875" style="178" bestFit="1" customWidth="1"/>
    <col min="15" max="16384" width="14.88671875" style="178"/>
  </cols>
  <sheetData>
    <row r="1" spans="2:12" ht="12.6" thickBot="1" x14ac:dyDescent="0.25"/>
    <row r="2" spans="2:12" ht="15" customHeight="1" x14ac:dyDescent="0.2">
      <c r="B2" s="762" t="str">
        <f>+objeto</f>
        <v>MANTENIMIENTO Y ADECUACIÓN DE INSTITUCIONES EDUCATIVAS OFICIALES, DEL MUNICIPIO DE LA APARTADA CORDOBA.</v>
      </c>
      <c r="C2" s="763"/>
      <c r="D2" s="764"/>
      <c r="E2" s="771"/>
      <c r="F2" s="772"/>
      <c r="G2" s="772"/>
      <c r="H2" s="772"/>
      <c r="I2" s="772"/>
      <c r="J2" s="772"/>
      <c r="K2" s="772"/>
      <c r="L2" s="773"/>
    </row>
    <row r="3" spans="2:12" ht="15" customHeight="1" x14ac:dyDescent="0.2">
      <c r="B3" s="765"/>
      <c r="C3" s="766"/>
      <c r="D3" s="767"/>
      <c r="E3" s="774"/>
      <c r="F3" s="775"/>
      <c r="G3" s="775"/>
      <c r="H3" s="775"/>
      <c r="I3" s="775"/>
      <c r="J3" s="775"/>
      <c r="K3" s="775"/>
      <c r="L3" s="776"/>
    </row>
    <row r="4" spans="2:12" ht="15" customHeight="1" x14ac:dyDescent="0.2">
      <c r="B4" s="765"/>
      <c r="C4" s="766"/>
      <c r="D4" s="767"/>
      <c r="E4" s="774"/>
      <c r="F4" s="775"/>
      <c r="G4" s="775"/>
      <c r="H4" s="775"/>
      <c r="I4" s="775"/>
      <c r="J4" s="775"/>
      <c r="K4" s="775"/>
      <c r="L4" s="776"/>
    </row>
    <row r="5" spans="2:12" ht="15" customHeight="1" x14ac:dyDescent="0.2">
      <c r="B5" s="765"/>
      <c r="C5" s="766"/>
      <c r="D5" s="767"/>
      <c r="E5" s="774"/>
      <c r="F5" s="775"/>
      <c r="G5" s="775"/>
      <c r="H5" s="775"/>
      <c r="I5" s="775"/>
      <c r="J5" s="775"/>
      <c r="K5" s="775"/>
      <c r="L5" s="776"/>
    </row>
    <row r="6" spans="2:12" ht="15" customHeight="1" thickBot="1" x14ac:dyDescent="0.25">
      <c r="B6" s="768"/>
      <c r="C6" s="769"/>
      <c r="D6" s="770"/>
      <c r="E6" s="777"/>
      <c r="F6" s="778"/>
      <c r="G6" s="778"/>
      <c r="H6" s="778"/>
      <c r="I6" s="778"/>
      <c r="J6" s="778"/>
      <c r="K6" s="778"/>
      <c r="L6" s="779"/>
    </row>
    <row r="7" spans="2:12" ht="13.2" x14ac:dyDescent="0.2">
      <c r="B7" s="758" t="s">
        <v>335</v>
      </c>
      <c r="C7" s="759"/>
      <c r="D7" s="760"/>
      <c r="E7" s="761"/>
      <c r="F7" s="761"/>
      <c r="G7" s="761"/>
      <c r="H7" s="761"/>
      <c r="I7" s="761"/>
      <c r="J7" s="761"/>
      <c r="K7" s="761"/>
      <c r="L7" s="760"/>
    </row>
    <row r="8" spans="2:12" s="185" customFormat="1" ht="39.6" x14ac:dyDescent="0.25">
      <c r="B8" s="195" t="s">
        <v>336</v>
      </c>
      <c r="C8" s="181" t="s">
        <v>337</v>
      </c>
      <c r="D8" s="182" t="s">
        <v>1</v>
      </c>
      <c r="E8" s="203" t="s">
        <v>484</v>
      </c>
      <c r="F8" s="228" t="s">
        <v>485</v>
      </c>
      <c r="G8" s="183" t="s">
        <v>486</v>
      </c>
      <c r="H8" s="228" t="s">
        <v>487</v>
      </c>
      <c r="I8" s="183" t="s">
        <v>488</v>
      </c>
      <c r="J8" s="227" t="s">
        <v>489</v>
      </c>
      <c r="K8" s="183" t="s">
        <v>490</v>
      </c>
      <c r="L8" s="184" t="s">
        <v>423</v>
      </c>
    </row>
    <row r="9" spans="2:12" s="185" customFormat="1" ht="39.6" x14ac:dyDescent="0.25">
      <c r="B9" s="187" t="s">
        <v>9</v>
      </c>
      <c r="C9" s="206" t="s">
        <v>440</v>
      </c>
      <c r="D9" s="188" t="e">
        <f>+PRESUPUESTO!#REF!</f>
        <v>#REF!</v>
      </c>
      <c r="E9" s="204">
        <f>+E15</f>
        <v>316.72000000000003</v>
      </c>
      <c r="F9" s="194">
        <f>+F15</f>
        <v>209.81</v>
      </c>
      <c r="G9" s="194"/>
      <c r="H9" s="194"/>
      <c r="I9" s="194"/>
      <c r="J9" s="194"/>
      <c r="K9" s="194"/>
      <c r="L9" s="190">
        <f t="shared" ref="L9:L15" si="0">SUM(E9:F9)</f>
        <v>526.53</v>
      </c>
    </row>
    <row r="10" spans="2:12" s="185" customFormat="1" ht="13.2" x14ac:dyDescent="0.25">
      <c r="B10" s="187" t="s">
        <v>110</v>
      </c>
      <c r="C10" s="210" t="s">
        <v>439</v>
      </c>
      <c r="D10" s="188" t="e">
        <f>+PRESUPUESTO!#REF!</f>
        <v>#REF!</v>
      </c>
      <c r="E10" s="204">
        <f>+(7*6*2)+12+2.4</f>
        <v>98.4</v>
      </c>
      <c r="F10" s="186">
        <f>5.9+(6.35*2*3)+(6.9*2)+0.8+3</f>
        <v>61.599999999999994</v>
      </c>
      <c r="G10" s="186"/>
      <c r="H10" s="186"/>
      <c r="I10" s="186"/>
      <c r="J10" s="186"/>
      <c r="K10" s="186"/>
      <c r="L10" s="190">
        <f t="shared" si="0"/>
        <v>160</v>
      </c>
    </row>
    <row r="11" spans="2:12" s="185" customFormat="1" ht="39.6" x14ac:dyDescent="0.25">
      <c r="B11" s="187" t="s">
        <v>338</v>
      </c>
      <c r="C11" s="210" t="s">
        <v>441</v>
      </c>
      <c r="D11" s="188" t="e">
        <f>+PRESUPUESTO!#REF!</f>
        <v>#REF!</v>
      </c>
      <c r="E11" s="204">
        <f>+(7*6*2)+12+2.4</f>
        <v>98.4</v>
      </c>
      <c r="F11" s="188">
        <f>5.9+(6.35*2*3)+(6.9*2)+0.8+3</f>
        <v>61.599999999999994</v>
      </c>
      <c r="G11" s="188"/>
      <c r="H11" s="188"/>
      <c r="I11" s="188"/>
      <c r="J11" s="188"/>
      <c r="K11" s="188"/>
      <c r="L11" s="190">
        <f t="shared" si="0"/>
        <v>160</v>
      </c>
    </row>
    <row r="12" spans="2:12" s="185" customFormat="1" ht="13.2" x14ac:dyDescent="0.25">
      <c r="B12" s="187" t="s">
        <v>339</v>
      </c>
      <c r="C12" s="210" t="s">
        <v>452</v>
      </c>
      <c r="D12" s="188" t="e">
        <f>+PRESUPUESTO!#REF!</f>
        <v>#REF!</v>
      </c>
      <c r="E12" s="204">
        <f>47.8+113.8+14+17.9+23.4+18+17+17.3+22.7+17.2</f>
        <v>309.09999999999997</v>
      </c>
      <c r="F12" s="189">
        <f>23.7+117.8+15.2+15.5+16.4+19.8</f>
        <v>208.4</v>
      </c>
      <c r="G12" s="189"/>
      <c r="H12" s="189"/>
      <c r="I12" s="189"/>
      <c r="J12" s="189"/>
      <c r="K12" s="189"/>
      <c r="L12" s="190">
        <f t="shared" si="0"/>
        <v>517.5</v>
      </c>
    </row>
    <row r="13" spans="2:12" s="185" customFormat="1" ht="13.2" x14ac:dyDescent="0.25">
      <c r="B13" s="187" t="s">
        <v>340</v>
      </c>
      <c r="C13" s="210" t="e">
        <f>+PRESUPUESTO!#REF!</f>
        <v>#REF!</v>
      </c>
      <c r="D13" s="188" t="e">
        <f>+PRESUPUESTO!#REF!</f>
        <v>#REF!</v>
      </c>
      <c r="E13" s="204" t="e">
        <f>+#REF!*1.1</f>
        <v>#REF!</v>
      </c>
      <c r="F13" s="189" t="e">
        <f>+#REF!*1.1</f>
        <v>#REF!</v>
      </c>
      <c r="G13" s="189"/>
      <c r="H13" s="189"/>
      <c r="I13" s="189"/>
      <c r="J13" s="189"/>
      <c r="K13" s="189"/>
      <c r="L13" s="190" t="e">
        <f t="shared" si="0"/>
        <v>#REF!</v>
      </c>
    </row>
    <row r="14" spans="2:12" s="185" customFormat="1" ht="13.2" x14ac:dyDescent="0.25">
      <c r="B14" s="187" t="s">
        <v>113</v>
      </c>
      <c r="C14" s="210" t="e">
        <f>+PRESUPUESTO!#REF!</f>
        <v>#REF!</v>
      </c>
      <c r="D14" s="188" t="e">
        <f>+PRESUPUESTO!#REF!</f>
        <v>#REF!</v>
      </c>
      <c r="E14" s="204" t="e">
        <f>+#REF!</f>
        <v>#REF!</v>
      </c>
      <c r="F14" s="189" t="e">
        <f>+#REF!</f>
        <v>#REF!</v>
      </c>
      <c r="G14" s="189"/>
      <c r="H14" s="189"/>
      <c r="I14" s="189"/>
      <c r="J14" s="189"/>
      <c r="K14" s="189"/>
      <c r="L14" s="190" t="e">
        <f t="shared" si="0"/>
        <v>#REF!</v>
      </c>
    </row>
    <row r="15" spans="2:12" s="185" customFormat="1" ht="13.2" x14ac:dyDescent="0.25">
      <c r="B15" s="187" t="s">
        <v>341</v>
      </c>
      <c r="C15" s="210" t="e">
        <f>+PRESUPUESTO!#REF!</f>
        <v>#REF!</v>
      </c>
      <c r="D15" s="188" t="e">
        <f>+PRESUPUESTO!#REF!</f>
        <v>#REF!</v>
      </c>
      <c r="E15" s="204">
        <v>316.72000000000003</v>
      </c>
      <c r="F15" s="189">
        <v>209.81</v>
      </c>
      <c r="G15" s="189"/>
      <c r="H15" s="189"/>
      <c r="I15" s="189"/>
      <c r="J15" s="189"/>
      <c r="K15" s="189"/>
      <c r="L15" s="190">
        <f t="shared" si="0"/>
        <v>526.53</v>
      </c>
    </row>
    <row r="16" spans="2:12" s="185" customFormat="1" ht="13.2" x14ac:dyDescent="0.25">
      <c r="B16" s="187" t="s">
        <v>342</v>
      </c>
      <c r="C16" s="210" t="e">
        <f>+PRESUPUESTO!#REF!</f>
        <v>#REF!</v>
      </c>
      <c r="D16" s="188" t="e">
        <f>+PRESUPUESTO!#REF!</f>
        <v>#REF!</v>
      </c>
      <c r="E16" s="204">
        <f>1.2*27.9*2</f>
        <v>66.959999999999994</v>
      </c>
      <c r="F16" s="189">
        <f>1.2*(19.4+15.6)</f>
        <v>42</v>
      </c>
      <c r="G16" s="189"/>
      <c r="H16" s="189"/>
      <c r="I16" s="189"/>
      <c r="J16" s="189"/>
      <c r="K16" s="189"/>
      <c r="L16" s="190">
        <f>SUM(E16:F16)</f>
        <v>108.96</v>
      </c>
    </row>
    <row r="17" spans="2:20" s="185" customFormat="1" ht="13.2" x14ac:dyDescent="0.25">
      <c r="B17" s="187" t="s">
        <v>87</v>
      </c>
      <c r="C17" s="210" t="e">
        <f>+PRESUPUESTO!#REF!</f>
        <v>#REF!</v>
      </c>
      <c r="D17" s="188" t="e">
        <f>+PRESUPUESTO!#REF!</f>
        <v>#REF!</v>
      </c>
      <c r="E17" s="204"/>
      <c r="F17" s="189"/>
      <c r="G17" s="189"/>
      <c r="H17" s="189"/>
      <c r="I17" s="189"/>
      <c r="J17" s="189"/>
      <c r="K17" s="189"/>
      <c r="L17" s="190">
        <v>1</v>
      </c>
    </row>
    <row r="18" spans="2:20" s="185" customFormat="1" ht="29.4" customHeight="1" x14ac:dyDescent="0.25">
      <c r="B18" s="221" t="s">
        <v>9</v>
      </c>
      <c r="C18" s="210" t="e">
        <f>+PRESUPUESTO!#REF!</f>
        <v>#REF!</v>
      </c>
      <c r="D18" s="188" t="e">
        <f>+PRESUPUESTO!#REF!</f>
        <v>#REF!</v>
      </c>
      <c r="E18" s="226">
        <v>2</v>
      </c>
      <c r="F18" s="225">
        <v>1</v>
      </c>
      <c r="G18" s="225">
        <v>1</v>
      </c>
      <c r="H18" s="225">
        <v>1</v>
      </c>
      <c r="I18" s="225"/>
      <c r="J18" s="225">
        <v>3</v>
      </c>
      <c r="K18" s="225">
        <f>1+1+1+1+1+1+1+3+1+1+3+1+3+1+1</f>
        <v>21</v>
      </c>
      <c r="L18" s="225">
        <f>SUM(E18+F18+G18+H18+I18+J18+K18)</f>
        <v>29</v>
      </c>
    </row>
    <row r="19" spans="2:20" s="185" customFormat="1" ht="13.2" x14ac:dyDescent="0.25">
      <c r="B19" s="187" t="s">
        <v>110</v>
      </c>
      <c r="C19" s="210" t="e">
        <f>PRESUPUESTO!#REF!</f>
        <v>#REF!</v>
      </c>
      <c r="D19" s="188" t="s">
        <v>1</v>
      </c>
      <c r="E19" s="204"/>
      <c r="F19" s="189"/>
      <c r="G19" s="189"/>
      <c r="H19" s="189"/>
      <c r="I19" s="189"/>
      <c r="J19" s="189"/>
      <c r="K19" s="189">
        <f>2+2</f>
        <v>4</v>
      </c>
      <c r="L19" s="225">
        <f>SUM(E19+F19+G19+H19+I19+J19+K19)</f>
        <v>4</v>
      </c>
    </row>
    <row r="20" spans="2:20" s="185" customFormat="1" ht="27" customHeight="1" x14ac:dyDescent="0.25">
      <c r="B20" s="187"/>
      <c r="C20" s="210" t="e">
        <f>PRESUPUESTO!#REF!</f>
        <v>#REF!</v>
      </c>
      <c r="D20" s="188" t="s">
        <v>1</v>
      </c>
      <c r="E20" s="204">
        <v>8</v>
      </c>
      <c r="F20" s="189">
        <v>2</v>
      </c>
      <c r="G20" s="189"/>
      <c r="H20" s="189">
        <v>4</v>
      </c>
      <c r="I20" s="189"/>
      <c r="J20" s="189"/>
      <c r="K20" s="189">
        <f>2+1+1+1+2+2+2+2</f>
        <v>13</v>
      </c>
      <c r="L20" s="225">
        <f>SUM(E20+F20+G20+H20+I20+J20+K20)</f>
        <v>27</v>
      </c>
    </row>
    <row r="21" spans="2:20" s="185" customFormat="1" ht="24.75" customHeight="1" x14ac:dyDescent="0.25">
      <c r="B21" s="187"/>
      <c r="C21" s="210" t="e">
        <f>PRESUPUESTO!#REF!</f>
        <v>#REF!</v>
      </c>
      <c r="D21" s="188" t="s">
        <v>1</v>
      </c>
      <c r="E21" s="204"/>
      <c r="F21" s="189"/>
      <c r="G21" s="189"/>
      <c r="H21" s="189">
        <v>4</v>
      </c>
      <c r="I21" s="189">
        <v>8</v>
      </c>
      <c r="J21" s="189">
        <v>2</v>
      </c>
      <c r="K21" s="189">
        <f>2+2+2+1+6</f>
        <v>13</v>
      </c>
      <c r="L21" s="225">
        <f>SUM(E21+F21+G21+H21+I21+J21+K21)</f>
        <v>27</v>
      </c>
    </row>
    <row r="22" spans="2:20" s="185" customFormat="1" x14ac:dyDescent="0.3"/>
    <row r="23" spans="2:20" x14ac:dyDescent="0.2">
      <c r="E23" s="205"/>
      <c r="F23" s="191"/>
      <c r="G23" s="191"/>
      <c r="H23" s="191"/>
      <c r="I23" s="191"/>
      <c r="J23" s="191"/>
      <c r="K23" s="191"/>
      <c r="Q23" s="192"/>
      <c r="R23" s="192"/>
      <c r="S23" s="192"/>
      <c r="T23" s="192"/>
    </row>
    <row r="24" spans="2:20" x14ac:dyDescent="0.2">
      <c r="E24" s="205"/>
      <c r="F24" s="191"/>
      <c r="G24" s="191"/>
      <c r="H24" s="191"/>
      <c r="I24" s="191"/>
      <c r="J24" s="191"/>
      <c r="K24" s="191"/>
      <c r="Q24" s="192"/>
      <c r="R24" s="192"/>
      <c r="S24" s="192"/>
      <c r="T24" s="192"/>
    </row>
    <row r="25" spans="2:20" x14ac:dyDescent="0.2">
      <c r="E25" s="205"/>
      <c r="F25" s="191"/>
      <c r="G25" s="191"/>
      <c r="H25" s="191"/>
      <c r="I25" s="191"/>
      <c r="J25" s="191"/>
      <c r="K25" s="191"/>
      <c r="Q25" s="192"/>
      <c r="R25" s="192"/>
      <c r="S25" s="192"/>
      <c r="T25" s="192"/>
    </row>
    <row r="26" spans="2:20" x14ac:dyDescent="0.2">
      <c r="E26" s="205"/>
      <c r="F26" s="191"/>
      <c r="G26" s="191"/>
      <c r="H26" s="191"/>
      <c r="I26" s="191"/>
      <c r="J26" s="191"/>
      <c r="K26" s="191"/>
      <c r="Q26" s="192"/>
      <c r="R26" s="192"/>
      <c r="S26" s="192"/>
      <c r="T26" s="192"/>
    </row>
  </sheetData>
  <protectedRanges>
    <protectedRange password="F692" sqref="C8:L8" name="Rango1_1"/>
    <protectedRange password="F692" sqref="L9:L21" name="Rango1_1_2"/>
  </protectedRanges>
  <autoFilter ref="L1:L27" xr:uid="{00000000-0009-0000-0000-000003000000}"/>
  <mergeCells count="3">
    <mergeCell ref="B7:L7"/>
    <mergeCell ref="B2:D6"/>
    <mergeCell ref="E2:L6"/>
  </mergeCells>
  <phoneticPr fontId="66" type="noConversion"/>
  <printOptions horizontalCentered="1"/>
  <pageMargins left="0.70866141732283472" right="0.70866141732283472" top="0.74803149606299213" bottom="0.74803149606299213" header="0.31496062992125984" footer="0.31496062992125984"/>
  <pageSetup scale="92" orientation="landscape" horizontalDpi="4294967292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B1:C26"/>
  <sheetViews>
    <sheetView view="pageBreakPreview" zoomScaleSheetLayoutView="100" workbookViewId="0">
      <selection activeCell="B10" sqref="B10"/>
    </sheetView>
  </sheetViews>
  <sheetFormatPr baseColWidth="10" defaultColWidth="11.44140625" defaultRowHeight="14.4" x14ac:dyDescent="0.3"/>
  <cols>
    <col min="1" max="1" width="0.6640625" customWidth="1"/>
    <col min="2" max="2" width="68.33203125" customWidth="1"/>
    <col min="3" max="3" width="17.33203125" bestFit="1" customWidth="1"/>
  </cols>
  <sheetData>
    <row r="1" spans="2:3" ht="7.5" customHeight="1" thickBot="1" x14ac:dyDescent="0.35"/>
    <row r="2" spans="2:3" ht="24.75" customHeight="1" thickTop="1" thickBot="1" x14ac:dyDescent="0.35">
      <c r="B2" s="753" t="s">
        <v>50</v>
      </c>
      <c r="C2" s="780"/>
    </row>
    <row r="3" spans="2:3" ht="8.25" customHeight="1" thickTop="1" thickBot="1" x14ac:dyDescent="0.35">
      <c r="B3" s="77"/>
      <c r="C3" s="77"/>
    </row>
    <row r="4" spans="2:3" ht="15.6" thickTop="1" thickBot="1" x14ac:dyDescent="0.35">
      <c r="B4" s="78" t="s">
        <v>42</v>
      </c>
      <c r="C4" s="78" t="s">
        <v>51</v>
      </c>
    </row>
    <row r="5" spans="2:3" ht="8.25" customHeight="1" thickTop="1" x14ac:dyDescent="0.3">
      <c r="B5" s="79"/>
      <c r="C5" s="79"/>
    </row>
    <row r="6" spans="2:3" ht="16.5" customHeight="1" x14ac:dyDescent="0.3">
      <c r="B6" s="153" t="s">
        <v>8</v>
      </c>
      <c r="C6" s="175">
        <v>5000</v>
      </c>
    </row>
    <row r="7" spans="2:3" ht="16.5" customHeight="1" x14ac:dyDescent="0.3">
      <c r="B7" s="208" t="s">
        <v>507</v>
      </c>
      <c r="C7" s="207">
        <v>600</v>
      </c>
    </row>
    <row r="8" spans="2:3" ht="16.5" customHeight="1" x14ac:dyDescent="0.3">
      <c r="B8" s="197" t="s">
        <v>454</v>
      </c>
      <c r="C8" s="176">
        <v>56000</v>
      </c>
    </row>
    <row r="9" spans="2:3" ht="16.5" customHeight="1" x14ac:dyDescent="0.3">
      <c r="B9" s="197" t="s">
        <v>455</v>
      </c>
      <c r="C9" s="176">
        <v>24000</v>
      </c>
    </row>
    <row r="10" spans="2:3" ht="16.5" customHeight="1" x14ac:dyDescent="0.3">
      <c r="B10" s="197" t="s">
        <v>456</v>
      </c>
      <c r="C10" s="176">
        <v>68000</v>
      </c>
    </row>
    <row r="11" spans="2:3" ht="16.5" customHeight="1" x14ac:dyDescent="0.3">
      <c r="B11" s="197" t="s">
        <v>383</v>
      </c>
      <c r="C11" s="176">
        <v>33019.410000000003</v>
      </c>
    </row>
    <row r="12" spans="2:3" ht="16.5" customHeight="1" x14ac:dyDescent="0.3">
      <c r="B12" s="197" t="s">
        <v>384</v>
      </c>
      <c r="C12" s="176">
        <v>4720</v>
      </c>
    </row>
    <row r="13" spans="2:3" ht="16.5" customHeight="1" x14ac:dyDescent="0.3">
      <c r="B13" s="197" t="s">
        <v>385</v>
      </c>
      <c r="C13" s="176">
        <v>14108.29</v>
      </c>
    </row>
    <row r="14" spans="2:3" ht="16.5" customHeight="1" x14ac:dyDescent="0.3">
      <c r="B14" s="197" t="s">
        <v>386</v>
      </c>
      <c r="C14" s="176">
        <v>67539.710000000006</v>
      </c>
    </row>
    <row r="15" spans="2:3" ht="16.5" customHeight="1" x14ac:dyDescent="0.3">
      <c r="B15" s="197" t="s">
        <v>415</v>
      </c>
      <c r="C15" s="176">
        <v>1000</v>
      </c>
    </row>
    <row r="16" spans="2:3" ht="16.5" customHeight="1" x14ac:dyDescent="0.3">
      <c r="B16" s="197" t="s">
        <v>414</v>
      </c>
      <c r="C16" s="176">
        <v>1325</v>
      </c>
    </row>
    <row r="17" spans="2:3" ht="16.5" customHeight="1" x14ac:dyDescent="0.3">
      <c r="B17" s="154" t="s">
        <v>327</v>
      </c>
      <c r="C17" s="176">
        <v>3862</v>
      </c>
    </row>
    <row r="18" spans="2:3" ht="16.5" customHeight="1" x14ac:dyDescent="0.3">
      <c r="B18" s="154" t="s">
        <v>457</v>
      </c>
      <c r="C18" s="176">
        <v>212000</v>
      </c>
    </row>
    <row r="19" spans="2:3" ht="16.5" customHeight="1" x14ac:dyDescent="0.3">
      <c r="B19" s="154" t="s">
        <v>458</v>
      </c>
      <c r="C19" s="176">
        <v>900000</v>
      </c>
    </row>
    <row r="20" spans="2:3" ht="16.5" customHeight="1" x14ac:dyDescent="0.3">
      <c r="B20" s="154" t="s">
        <v>459</v>
      </c>
      <c r="C20" s="176">
        <v>2500</v>
      </c>
    </row>
    <row r="21" spans="2:3" ht="16.5" customHeight="1" x14ac:dyDescent="0.3">
      <c r="B21" s="154" t="s">
        <v>460</v>
      </c>
      <c r="C21" s="176">
        <v>1200</v>
      </c>
    </row>
    <row r="22" spans="2:3" ht="16.5" customHeight="1" x14ac:dyDescent="0.3">
      <c r="B22" s="154" t="s">
        <v>461</v>
      </c>
      <c r="C22" s="176">
        <v>76560</v>
      </c>
    </row>
    <row r="23" spans="2:3" ht="16.5" customHeight="1" x14ac:dyDescent="0.3">
      <c r="B23" s="154" t="s">
        <v>462</v>
      </c>
      <c r="C23" s="176">
        <v>45000</v>
      </c>
    </row>
    <row r="24" spans="2:3" ht="16.5" customHeight="1" x14ac:dyDescent="0.3">
      <c r="B24" s="154" t="s">
        <v>325</v>
      </c>
      <c r="C24" s="176">
        <v>9590</v>
      </c>
    </row>
    <row r="25" spans="2:3" ht="16.5" customHeight="1" x14ac:dyDescent="0.3">
      <c r="B25" s="155" t="s">
        <v>407</v>
      </c>
      <c r="C25" s="177">
        <v>7500</v>
      </c>
    </row>
    <row r="26" spans="2:3" ht="16.5" customHeight="1" x14ac:dyDescent="0.3"/>
  </sheetData>
  <mergeCells count="1">
    <mergeCell ref="B2:C2"/>
  </mergeCells>
  <printOptions horizontalCentered="1"/>
  <pageMargins left="0.70866141732283472" right="0.70866141732283472" top="0.74803149606299213" bottom="0.74803149606299213" header="0.31496062992125984" footer="0.31496062992125984"/>
  <pageSetup paperSize="12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21"/>
  <dimension ref="A1:H48"/>
  <sheetViews>
    <sheetView view="pageBreakPreview" topLeftCell="A4" zoomScaleSheetLayoutView="100" workbookViewId="0">
      <selection activeCell="D21" sqref="D21"/>
    </sheetView>
  </sheetViews>
  <sheetFormatPr baseColWidth="10" defaultColWidth="11.44140625" defaultRowHeight="14.4" x14ac:dyDescent="0.3"/>
  <cols>
    <col min="1" max="1" width="26.6640625" customWidth="1"/>
    <col min="2" max="6" width="12.6640625" customWidth="1"/>
    <col min="7" max="7" width="15.5546875" bestFit="1" customWidth="1"/>
  </cols>
  <sheetData>
    <row r="1" spans="1:7" ht="15" thickTop="1" x14ac:dyDescent="0.3">
      <c r="A1" s="781" t="s">
        <v>100</v>
      </c>
      <c r="B1" s="782"/>
      <c r="C1" s="782"/>
      <c r="D1" s="782"/>
      <c r="E1" s="782"/>
      <c r="F1" s="782"/>
      <c r="G1" s="783"/>
    </row>
    <row r="2" spans="1:7" ht="15" thickBot="1" x14ac:dyDescent="0.35">
      <c r="A2" s="784"/>
      <c r="B2" s="785"/>
      <c r="C2" s="785"/>
      <c r="D2" s="785"/>
      <c r="E2" s="785"/>
      <c r="F2" s="785"/>
      <c r="G2" s="786"/>
    </row>
    <row r="3" spans="1:7" ht="16.8" thickTop="1" thickBot="1" x14ac:dyDescent="0.35">
      <c r="A3" s="24"/>
      <c r="B3" s="24"/>
      <c r="C3" s="24"/>
      <c r="D3" s="24"/>
      <c r="E3" s="24"/>
      <c r="F3" s="24"/>
      <c r="G3" s="24"/>
    </row>
    <row r="4" spans="1:7" ht="33" customHeight="1" thickTop="1" thickBot="1" x14ac:dyDescent="0.35">
      <c r="A4" s="24"/>
      <c r="B4" s="25" t="s">
        <v>14</v>
      </c>
      <c r="C4" s="787" t="s">
        <v>84</v>
      </c>
      <c r="D4" s="788"/>
      <c r="E4" s="788"/>
      <c r="F4" s="788"/>
      <c r="G4" s="789"/>
    </row>
    <row r="5" spans="1:7" ht="15.6" thickTop="1" thickBot="1" x14ac:dyDescent="0.35">
      <c r="A5" s="26"/>
      <c r="B5" s="27"/>
      <c r="C5" s="28"/>
      <c r="D5" s="29"/>
      <c r="E5" s="30"/>
      <c r="F5" s="30"/>
      <c r="G5" s="30"/>
    </row>
    <row r="6" spans="1:7" ht="16.5" customHeight="1" thickTop="1" thickBot="1" x14ac:dyDescent="0.35">
      <c r="A6" s="790" t="e">
        <f>+#REF!</f>
        <v>#REF!</v>
      </c>
      <c r="B6" s="791"/>
      <c r="C6" s="791"/>
      <c r="D6" s="792"/>
      <c r="E6" s="31"/>
      <c r="F6" s="32" t="s">
        <v>15</v>
      </c>
      <c r="G6" s="32" t="s">
        <v>102</v>
      </c>
    </row>
    <row r="7" spans="1:7" ht="15.6" thickTop="1" thickBot="1" x14ac:dyDescent="0.35">
      <c r="A7" s="793"/>
      <c r="B7" s="794"/>
      <c r="C7" s="794"/>
      <c r="D7" s="795"/>
      <c r="E7" s="30"/>
      <c r="F7" s="32" t="s">
        <v>16</v>
      </c>
      <c r="G7" s="32" t="s">
        <v>101</v>
      </c>
    </row>
    <row r="8" spans="1:7" ht="15.6" thickTop="1" thickBot="1" x14ac:dyDescent="0.35">
      <c r="A8" s="793"/>
      <c r="B8" s="794"/>
      <c r="C8" s="794"/>
      <c r="D8" s="795"/>
      <c r="E8" s="30"/>
      <c r="F8" s="32" t="s">
        <v>17</v>
      </c>
      <c r="G8" s="32"/>
    </row>
    <row r="9" spans="1:7" ht="15.6" thickTop="1" thickBot="1" x14ac:dyDescent="0.35">
      <c r="A9" s="796"/>
      <c r="B9" s="797"/>
      <c r="C9" s="797"/>
      <c r="D9" s="798"/>
      <c r="E9" s="30"/>
      <c r="F9" s="32" t="s">
        <v>18</v>
      </c>
      <c r="G9" s="32" t="s">
        <v>83</v>
      </c>
    </row>
    <row r="10" spans="1:7" ht="15.6" thickTop="1" thickBot="1" x14ac:dyDescent="0.35">
      <c r="A10" s="33" t="s">
        <v>19</v>
      </c>
      <c r="B10" s="30"/>
      <c r="C10" s="30"/>
      <c r="D10" s="30"/>
      <c r="E10" s="30"/>
      <c r="F10" s="26"/>
      <c r="G10" s="34"/>
    </row>
    <row r="11" spans="1:7" ht="15.6" thickTop="1" thickBot="1" x14ac:dyDescent="0.35">
      <c r="A11" s="799" t="s">
        <v>20</v>
      </c>
      <c r="B11" s="799"/>
      <c r="C11" s="35" t="s">
        <v>21</v>
      </c>
      <c r="D11" s="35" t="s">
        <v>22</v>
      </c>
      <c r="E11" s="35" t="s">
        <v>23</v>
      </c>
      <c r="F11" s="36" t="s">
        <v>24</v>
      </c>
      <c r="G11" s="800"/>
    </row>
    <row r="12" spans="1:7" ht="15.6" thickTop="1" thickBot="1" x14ac:dyDescent="0.35">
      <c r="A12" s="801" t="s">
        <v>8</v>
      </c>
      <c r="B12" s="802"/>
      <c r="C12" s="37"/>
      <c r="D12" s="38">
        <f>+VLOOKUP(A12,EQUIPOS!$B$6:$C$25,2,)</f>
        <v>5000</v>
      </c>
      <c r="E12" s="39">
        <v>25</v>
      </c>
      <c r="F12" s="43">
        <f>+D12/E12</f>
        <v>200</v>
      </c>
      <c r="G12" s="800"/>
    </row>
    <row r="13" spans="1:7" ht="15.6" thickTop="1" thickBot="1" x14ac:dyDescent="0.35">
      <c r="A13" s="803"/>
      <c r="B13" s="804"/>
      <c r="C13" s="41"/>
      <c r="D13" s="38"/>
      <c r="E13" s="42"/>
      <c r="F13" s="43"/>
      <c r="G13" s="800"/>
    </row>
    <row r="14" spans="1:7" ht="15.6" thickTop="1" thickBot="1" x14ac:dyDescent="0.35">
      <c r="A14" s="803"/>
      <c r="B14" s="804"/>
      <c r="C14" s="41"/>
      <c r="D14" s="44"/>
      <c r="E14" s="45"/>
      <c r="F14" s="43"/>
      <c r="G14" s="800"/>
    </row>
    <row r="15" spans="1:7" ht="15.6" thickTop="1" thickBot="1" x14ac:dyDescent="0.35">
      <c r="A15" s="803"/>
      <c r="B15" s="804"/>
      <c r="C15" s="41"/>
      <c r="D15" s="44"/>
      <c r="E15" s="45"/>
      <c r="F15" s="43"/>
      <c r="G15" s="800"/>
    </row>
    <row r="16" spans="1:7" ht="15.6" thickTop="1" thickBot="1" x14ac:dyDescent="0.35">
      <c r="A16" s="803"/>
      <c r="B16" s="804"/>
      <c r="C16" s="41"/>
      <c r="D16" s="44"/>
      <c r="E16" s="45"/>
      <c r="F16" s="43"/>
      <c r="G16" s="800"/>
    </row>
    <row r="17" spans="1:7" ht="15.6" thickTop="1" thickBot="1" x14ac:dyDescent="0.35">
      <c r="A17" s="805"/>
      <c r="B17" s="806"/>
      <c r="C17" s="46"/>
      <c r="D17" s="47"/>
      <c r="E17" s="48"/>
      <c r="F17" s="49"/>
      <c r="G17" s="800"/>
    </row>
    <row r="18" spans="1:7" ht="15.6" thickTop="1" thickBot="1" x14ac:dyDescent="0.35">
      <c r="A18" s="30"/>
      <c r="B18" s="30"/>
      <c r="C18" s="30"/>
      <c r="D18" s="30"/>
      <c r="E18" s="50"/>
      <c r="F18" s="51" t="s">
        <v>25</v>
      </c>
      <c r="G18" s="52">
        <f>+SUM(F12:F17)</f>
        <v>200</v>
      </c>
    </row>
    <row r="19" spans="1:7" ht="15.6" thickTop="1" thickBot="1" x14ac:dyDescent="0.35">
      <c r="A19" s="33" t="s">
        <v>26</v>
      </c>
      <c r="B19" s="30"/>
      <c r="C19" s="30"/>
      <c r="D19" s="30"/>
      <c r="E19" s="50"/>
      <c r="F19" s="50"/>
      <c r="G19" s="30"/>
    </row>
    <row r="20" spans="1:7" ht="15.6" thickTop="1" thickBot="1" x14ac:dyDescent="0.35">
      <c r="A20" s="799" t="s">
        <v>20</v>
      </c>
      <c r="B20" s="799"/>
      <c r="C20" s="35" t="s">
        <v>27</v>
      </c>
      <c r="D20" s="35" t="s">
        <v>28</v>
      </c>
      <c r="E20" s="53" t="s">
        <v>29</v>
      </c>
      <c r="F20" s="54" t="s">
        <v>24</v>
      </c>
      <c r="G20" s="800"/>
    </row>
    <row r="21" spans="1:7" ht="15.6" thickTop="1" thickBot="1" x14ac:dyDescent="0.35">
      <c r="A21" s="807" t="s">
        <v>48</v>
      </c>
      <c r="B21" s="808"/>
      <c r="C21" s="55" t="e">
        <f>+VLOOKUP(A21,MATERIALES!$B$5:$D$729,2,)</f>
        <v>#N/A</v>
      </c>
      <c r="D21" s="56" t="e">
        <f>+VLOOKUP(A21,MATERIALES!$B$5:$D$729,3,)</f>
        <v>#N/A</v>
      </c>
      <c r="E21" s="57">
        <v>0.03</v>
      </c>
      <c r="F21" s="43" t="e">
        <f>+D21*E21</f>
        <v>#N/A</v>
      </c>
      <c r="G21" s="800"/>
    </row>
    <row r="22" spans="1:7" ht="15.6" thickTop="1" thickBot="1" x14ac:dyDescent="0.35">
      <c r="A22" s="807" t="s">
        <v>49</v>
      </c>
      <c r="B22" s="808"/>
      <c r="C22" s="55" t="e">
        <f>+VLOOKUP(A22,MATERIALES!$B$5:$D$729,2,)</f>
        <v>#N/A</v>
      </c>
      <c r="D22" s="56" t="e">
        <f>+VLOOKUP(A22,MATERIALES!$B$5:$D$729,3,)</f>
        <v>#N/A</v>
      </c>
      <c r="E22" s="57">
        <v>0.03</v>
      </c>
      <c r="F22" s="43" t="e">
        <f>+D22*E22</f>
        <v>#N/A</v>
      </c>
      <c r="G22" s="800"/>
    </row>
    <row r="23" spans="1:7" ht="15.6" thickTop="1" thickBot="1" x14ac:dyDescent="0.35">
      <c r="A23" s="803"/>
      <c r="B23" s="804"/>
      <c r="C23" s="55"/>
      <c r="D23" s="56"/>
      <c r="E23" s="57"/>
      <c r="F23" s="43"/>
      <c r="G23" s="800"/>
    </row>
    <row r="24" spans="1:7" ht="15.6" thickTop="1" thickBot="1" x14ac:dyDescent="0.35">
      <c r="A24" s="803"/>
      <c r="B24" s="804"/>
      <c r="C24" s="55"/>
      <c r="D24" s="56"/>
      <c r="E24" s="57"/>
      <c r="F24" s="43"/>
      <c r="G24" s="800"/>
    </row>
    <row r="25" spans="1:7" ht="15.6" thickTop="1" thickBot="1" x14ac:dyDescent="0.35">
      <c r="A25" s="803"/>
      <c r="B25" s="804"/>
      <c r="C25" s="55"/>
      <c r="D25" s="56"/>
      <c r="E25" s="57"/>
      <c r="F25" s="43"/>
      <c r="G25" s="800"/>
    </row>
    <row r="26" spans="1:7" ht="15.6" thickTop="1" thickBot="1" x14ac:dyDescent="0.35">
      <c r="A26" s="803"/>
      <c r="B26" s="804"/>
      <c r="C26" s="55"/>
      <c r="D26" s="56"/>
      <c r="E26" s="57"/>
      <c r="F26" s="43"/>
      <c r="G26" s="800"/>
    </row>
    <row r="27" spans="1:7" ht="15.6" thickTop="1" thickBot="1" x14ac:dyDescent="0.35">
      <c r="A27" s="805"/>
      <c r="B27" s="806"/>
      <c r="C27" s="46"/>
      <c r="D27" s="58"/>
      <c r="E27" s="59"/>
      <c r="F27" s="60"/>
      <c r="G27" s="800"/>
    </row>
    <row r="28" spans="1:7" ht="15.6" thickTop="1" thickBot="1" x14ac:dyDescent="0.35">
      <c r="A28" s="30"/>
      <c r="B28" s="30"/>
      <c r="C28" s="30"/>
      <c r="D28" s="30"/>
      <c r="E28" s="50"/>
      <c r="F28" s="51" t="s">
        <v>25</v>
      </c>
      <c r="G28" s="52" t="e">
        <f>+SUM(F21:F27)</f>
        <v>#N/A</v>
      </c>
    </row>
    <row r="29" spans="1:7" ht="15.6" thickTop="1" thickBot="1" x14ac:dyDescent="0.35">
      <c r="A29" s="33" t="s">
        <v>30</v>
      </c>
      <c r="B29" s="30"/>
      <c r="C29" s="30"/>
      <c r="D29" s="30"/>
      <c r="E29" s="50"/>
      <c r="F29" s="50"/>
      <c r="G29" s="30"/>
    </row>
    <row r="30" spans="1:7" ht="15.6" thickTop="1" thickBot="1" x14ac:dyDescent="0.35">
      <c r="A30" s="810" t="s">
        <v>20</v>
      </c>
      <c r="B30" s="811"/>
      <c r="C30" s="35" t="s">
        <v>21</v>
      </c>
      <c r="D30" s="35" t="s">
        <v>31</v>
      </c>
      <c r="E30" s="53" t="s">
        <v>32</v>
      </c>
      <c r="F30" s="54" t="s">
        <v>24</v>
      </c>
      <c r="G30" s="800"/>
    </row>
    <row r="31" spans="1:7" ht="15.6" thickTop="1" thickBot="1" x14ac:dyDescent="0.35">
      <c r="A31" s="812" t="s">
        <v>33</v>
      </c>
      <c r="B31" s="813"/>
      <c r="C31" s="61"/>
      <c r="D31" s="62">
        <v>0.03</v>
      </c>
      <c r="E31" s="61" t="e">
        <f>+G28</f>
        <v>#N/A</v>
      </c>
      <c r="F31" s="40" t="e">
        <f>+D31*E31</f>
        <v>#N/A</v>
      </c>
      <c r="G31" s="800"/>
    </row>
    <row r="32" spans="1:7" ht="15.6" thickTop="1" thickBot="1" x14ac:dyDescent="0.35">
      <c r="A32" s="814"/>
      <c r="B32" s="815"/>
      <c r="C32" s="44"/>
      <c r="D32" s="44"/>
      <c r="E32" s="44"/>
      <c r="F32" s="43"/>
      <c r="G32" s="800"/>
    </row>
    <row r="33" spans="1:8" ht="15.6" thickTop="1" thickBot="1" x14ac:dyDescent="0.35">
      <c r="A33" s="814"/>
      <c r="B33" s="815"/>
      <c r="C33" s="44"/>
      <c r="D33" s="44"/>
      <c r="E33" s="44"/>
      <c r="F33" s="43"/>
      <c r="G33" s="800"/>
    </row>
    <row r="34" spans="1:8" ht="15.6" thickTop="1" thickBot="1" x14ac:dyDescent="0.35">
      <c r="A34" s="816"/>
      <c r="B34" s="817"/>
      <c r="C34" s="47"/>
      <c r="D34" s="47"/>
      <c r="E34" s="47"/>
      <c r="F34" s="49"/>
      <c r="G34" s="800"/>
    </row>
    <row r="35" spans="1:8" ht="15.6" thickTop="1" thickBot="1" x14ac:dyDescent="0.35">
      <c r="A35" s="30"/>
      <c r="B35" s="30"/>
      <c r="C35" s="30"/>
      <c r="D35" s="30"/>
      <c r="E35" s="50"/>
      <c r="F35" s="51" t="s">
        <v>25</v>
      </c>
      <c r="G35" s="52" t="e">
        <f>+SUM(F31:F34)</f>
        <v>#N/A</v>
      </c>
    </row>
    <row r="36" spans="1:8" ht="15.6" thickTop="1" thickBot="1" x14ac:dyDescent="0.35">
      <c r="A36" s="33" t="s">
        <v>34</v>
      </c>
      <c r="B36" s="30"/>
      <c r="C36" s="30"/>
      <c r="D36" s="30"/>
      <c r="E36" s="50"/>
      <c r="F36" s="50"/>
      <c r="G36" s="30"/>
    </row>
    <row r="37" spans="1:8" ht="15.6" thickTop="1" thickBot="1" x14ac:dyDescent="0.35">
      <c r="A37" s="35" t="s">
        <v>35</v>
      </c>
      <c r="B37" s="35" t="s">
        <v>29</v>
      </c>
      <c r="C37" s="35" t="s">
        <v>36</v>
      </c>
      <c r="D37" s="35" t="s">
        <v>37</v>
      </c>
      <c r="E37" s="63" t="s">
        <v>38</v>
      </c>
      <c r="F37" s="53" t="s">
        <v>23</v>
      </c>
      <c r="G37" s="63" t="s">
        <v>24</v>
      </c>
    </row>
    <row r="38" spans="1:8" ht="15" thickTop="1" x14ac:dyDescent="0.3">
      <c r="A38" s="64" t="s">
        <v>39</v>
      </c>
      <c r="B38" s="61">
        <v>1</v>
      </c>
      <c r="C38" s="65">
        <f>+VLOOKUP(A38,MO!$1:$1048576,2,FALSE)</f>
        <v>66666.666666666672</v>
      </c>
      <c r="D38" s="62">
        <v>0.75</v>
      </c>
      <c r="E38" s="66">
        <f>+C38*(1+D38)</f>
        <v>116666.66666666667</v>
      </c>
      <c r="F38" s="61">
        <v>58</v>
      </c>
      <c r="G38" s="40">
        <f>+B38*(E38/F38)</f>
        <v>2011.4942528735633</v>
      </c>
    </row>
    <row r="39" spans="1:8" x14ac:dyDescent="0.3">
      <c r="A39" s="67" t="s">
        <v>40</v>
      </c>
      <c r="B39" s="44">
        <v>1</v>
      </c>
      <c r="C39" s="68">
        <f>+VLOOKUP(A39,MO!$1:$1048576,2,FALSE)</f>
        <v>33333.333333333336</v>
      </c>
      <c r="D39" s="69">
        <v>0.75</v>
      </c>
      <c r="E39" s="70">
        <f>+C39*(1+D39)</f>
        <v>58333.333333333336</v>
      </c>
      <c r="F39" s="44">
        <v>58</v>
      </c>
      <c r="G39" s="43">
        <f>+B39*(E39/F39)</f>
        <v>1005.7471264367816</v>
      </c>
    </row>
    <row r="40" spans="1:8" x14ac:dyDescent="0.3">
      <c r="A40" s="67"/>
      <c r="B40" s="44"/>
      <c r="C40" s="68"/>
      <c r="D40" s="69"/>
      <c r="E40" s="70"/>
      <c r="F40" s="44"/>
      <c r="G40" s="43"/>
    </row>
    <row r="41" spans="1:8" x14ac:dyDescent="0.3">
      <c r="A41" s="67"/>
      <c r="B41" s="44"/>
      <c r="C41" s="71"/>
      <c r="D41" s="44"/>
      <c r="E41" s="70"/>
      <c r="F41" s="44"/>
      <c r="G41" s="43"/>
    </row>
    <row r="42" spans="1:8" x14ac:dyDescent="0.3">
      <c r="A42" s="67"/>
      <c r="B42" s="44"/>
      <c r="C42" s="71"/>
      <c r="D42" s="44"/>
      <c r="E42" s="70"/>
      <c r="F42" s="44"/>
      <c r="G42" s="43"/>
    </row>
    <row r="43" spans="1:8" x14ac:dyDescent="0.3">
      <c r="A43" s="67"/>
      <c r="B43" s="44"/>
      <c r="C43" s="71"/>
      <c r="D43" s="44"/>
      <c r="E43" s="70"/>
      <c r="F43" s="44"/>
      <c r="G43" s="43"/>
    </row>
    <row r="44" spans="1:8" ht="15" thickBot="1" x14ac:dyDescent="0.35">
      <c r="A44" s="72"/>
      <c r="B44" s="73"/>
      <c r="C44" s="73"/>
      <c r="D44" s="73"/>
      <c r="E44" s="48"/>
      <c r="F44" s="73"/>
      <c r="G44" s="74"/>
    </row>
    <row r="45" spans="1:8" ht="15.6" thickTop="1" thickBot="1" x14ac:dyDescent="0.35">
      <c r="A45" s="30"/>
      <c r="B45" s="30"/>
      <c r="C45" s="30"/>
      <c r="D45" s="30"/>
      <c r="E45" s="30"/>
      <c r="F45" s="51" t="s">
        <v>25</v>
      </c>
      <c r="G45" s="52">
        <f>+SUM(G38:G44)</f>
        <v>3017.2413793103451</v>
      </c>
    </row>
    <row r="46" spans="1:8" ht="15.6" thickTop="1" thickBot="1" x14ac:dyDescent="0.35">
      <c r="A46" s="30"/>
      <c r="B46" s="30"/>
      <c r="C46" s="30"/>
      <c r="D46" s="30"/>
      <c r="E46" s="30"/>
      <c r="F46" s="75"/>
      <c r="G46" s="30"/>
    </row>
    <row r="47" spans="1:8" ht="15.6" thickTop="1" thickBot="1" x14ac:dyDescent="0.35">
      <c r="A47" s="30"/>
      <c r="B47" s="30"/>
      <c r="C47" s="809" t="s">
        <v>41</v>
      </c>
      <c r="D47" s="809"/>
      <c r="E47" s="809"/>
      <c r="F47" s="809"/>
      <c r="G47" s="76" t="e">
        <f>+G18+G28+G35+G45</f>
        <v>#N/A</v>
      </c>
      <c r="H47" s="81"/>
    </row>
    <row r="48" spans="1:8" ht="15" thickTop="1" x14ac:dyDescent="0.3">
      <c r="A48" s="30"/>
      <c r="B48" s="30"/>
      <c r="C48" s="30"/>
      <c r="D48" s="30"/>
      <c r="E48" s="30"/>
      <c r="F48" s="30"/>
      <c r="G48" s="30"/>
    </row>
  </sheetData>
  <mergeCells count="27">
    <mergeCell ref="C47:F47"/>
    <mergeCell ref="A27:B27"/>
    <mergeCell ref="A30:B30"/>
    <mergeCell ref="G30:G34"/>
    <mergeCell ref="A31:B31"/>
    <mergeCell ref="A32:B32"/>
    <mergeCell ref="A33:B33"/>
    <mergeCell ref="A34:B34"/>
    <mergeCell ref="A20:B20"/>
    <mergeCell ref="G20:G27"/>
    <mergeCell ref="A21:B21"/>
    <mergeCell ref="A22:B22"/>
    <mergeCell ref="A23:B23"/>
    <mergeCell ref="A24:B24"/>
    <mergeCell ref="A25:B25"/>
    <mergeCell ref="A26:B26"/>
    <mergeCell ref="A1:G2"/>
    <mergeCell ref="C4:G4"/>
    <mergeCell ref="A6:D9"/>
    <mergeCell ref="A11:B11"/>
    <mergeCell ref="G11:G17"/>
    <mergeCell ref="A12:B12"/>
    <mergeCell ref="A13:B13"/>
    <mergeCell ref="A14:B14"/>
    <mergeCell ref="A15:B15"/>
    <mergeCell ref="A16:B16"/>
    <mergeCell ref="A17:B17"/>
  </mergeCells>
  <pageMargins left="0.7" right="0.7" top="0.75" bottom="0.75" header="0.3" footer="0.3"/>
  <pageSetup paperSize="123" scale="75" orientation="portrait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22"/>
  <dimension ref="A1:H48"/>
  <sheetViews>
    <sheetView view="pageBreakPreview" topLeftCell="A7" zoomScaleSheetLayoutView="100" workbookViewId="0">
      <selection activeCell="F40" sqref="F40"/>
    </sheetView>
  </sheetViews>
  <sheetFormatPr baseColWidth="10" defaultColWidth="11.44140625" defaultRowHeight="14.4" x14ac:dyDescent="0.3"/>
  <cols>
    <col min="1" max="1" width="26.6640625" customWidth="1"/>
    <col min="2" max="6" width="12.6640625" customWidth="1"/>
    <col min="7" max="7" width="15.5546875" bestFit="1" customWidth="1"/>
  </cols>
  <sheetData>
    <row r="1" spans="1:7" ht="15" thickTop="1" x14ac:dyDescent="0.3">
      <c r="A1" s="781" t="s">
        <v>13</v>
      </c>
      <c r="B1" s="782"/>
      <c r="C1" s="782"/>
      <c r="D1" s="782"/>
      <c r="E1" s="782"/>
      <c r="F1" s="782"/>
      <c r="G1" s="783"/>
    </row>
    <row r="2" spans="1:7" ht="15" thickBot="1" x14ac:dyDescent="0.35">
      <c r="A2" s="784"/>
      <c r="B2" s="785"/>
      <c r="C2" s="785"/>
      <c r="D2" s="785"/>
      <c r="E2" s="785"/>
      <c r="F2" s="785"/>
      <c r="G2" s="786"/>
    </row>
    <row r="3" spans="1:7" ht="16.8" thickTop="1" thickBot="1" x14ac:dyDescent="0.35">
      <c r="A3" s="24"/>
      <c r="B3" s="24"/>
      <c r="C3" s="24"/>
      <c r="D3" s="24"/>
      <c r="E3" s="24"/>
      <c r="F3" s="24"/>
      <c r="G3" s="24"/>
    </row>
    <row r="4" spans="1:7" ht="33" customHeight="1" thickTop="1" thickBot="1" x14ac:dyDescent="0.35">
      <c r="A4" s="24"/>
      <c r="B4" s="25" t="s">
        <v>14</v>
      </c>
      <c r="C4" s="787" t="s">
        <v>104</v>
      </c>
      <c r="D4" s="788"/>
      <c r="E4" s="788"/>
      <c r="F4" s="788"/>
      <c r="G4" s="789"/>
    </row>
    <row r="5" spans="1:7" ht="15.6" thickTop="1" thickBot="1" x14ac:dyDescent="0.35">
      <c r="A5" s="26"/>
      <c r="B5" s="27"/>
      <c r="C5" s="28"/>
      <c r="D5" s="29"/>
      <c r="E5" s="30"/>
      <c r="F5" s="30"/>
      <c r="G5" s="30"/>
    </row>
    <row r="6" spans="1:7" ht="16.5" customHeight="1" thickTop="1" thickBot="1" x14ac:dyDescent="0.35">
      <c r="A6" s="790" t="e">
        <f>+#REF!</f>
        <v>#REF!</v>
      </c>
      <c r="B6" s="791"/>
      <c r="C6" s="791"/>
      <c r="D6" s="792"/>
      <c r="E6" s="31"/>
      <c r="F6" s="32" t="s">
        <v>15</v>
      </c>
      <c r="G6" s="32" t="s">
        <v>102</v>
      </c>
    </row>
    <row r="7" spans="1:7" ht="15.6" thickTop="1" thickBot="1" x14ac:dyDescent="0.35">
      <c r="A7" s="793"/>
      <c r="B7" s="794"/>
      <c r="C7" s="794"/>
      <c r="D7" s="795"/>
      <c r="E7" s="30"/>
      <c r="F7" s="32" t="s">
        <v>16</v>
      </c>
      <c r="G7" s="32" t="s">
        <v>101</v>
      </c>
    </row>
    <row r="8" spans="1:7" ht="15.6" thickTop="1" thickBot="1" x14ac:dyDescent="0.35">
      <c r="A8" s="793"/>
      <c r="B8" s="794"/>
      <c r="C8" s="794"/>
      <c r="D8" s="795"/>
      <c r="E8" s="30"/>
      <c r="F8" s="32" t="s">
        <v>17</v>
      </c>
      <c r="G8" s="32"/>
    </row>
    <row r="9" spans="1:7" ht="15.6" thickTop="1" thickBot="1" x14ac:dyDescent="0.35">
      <c r="A9" s="796"/>
      <c r="B9" s="797"/>
      <c r="C9" s="797"/>
      <c r="D9" s="798"/>
      <c r="E9" s="30"/>
      <c r="F9" s="32" t="s">
        <v>18</v>
      </c>
      <c r="G9" s="32" t="s">
        <v>5</v>
      </c>
    </row>
    <row r="10" spans="1:7" ht="15.6" thickTop="1" thickBot="1" x14ac:dyDescent="0.35">
      <c r="A10" s="33" t="s">
        <v>19</v>
      </c>
      <c r="B10" s="30"/>
      <c r="C10" s="30"/>
      <c r="D10" s="30"/>
      <c r="E10" s="30"/>
      <c r="F10" s="26"/>
      <c r="G10" s="34"/>
    </row>
    <row r="11" spans="1:7" ht="15.6" thickTop="1" thickBot="1" x14ac:dyDescent="0.35">
      <c r="A11" s="799" t="s">
        <v>20</v>
      </c>
      <c r="B11" s="799"/>
      <c r="C11" s="35" t="s">
        <v>21</v>
      </c>
      <c r="D11" s="35" t="s">
        <v>22</v>
      </c>
      <c r="E11" s="35" t="s">
        <v>23</v>
      </c>
      <c r="F11" s="36" t="s">
        <v>24</v>
      </c>
      <c r="G11" s="800"/>
    </row>
    <row r="12" spans="1:7" ht="15.6" thickTop="1" thickBot="1" x14ac:dyDescent="0.35">
      <c r="A12" s="801" t="s">
        <v>8</v>
      </c>
      <c r="B12" s="802"/>
      <c r="C12" s="37"/>
      <c r="D12" s="38">
        <f>+VLOOKUP(A12,EQUIPOS!$B$6:$C$25,2,)</f>
        <v>5000</v>
      </c>
      <c r="E12" s="39">
        <v>25</v>
      </c>
      <c r="F12" s="43">
        <f>+D12/E12</f>
        <v>200</v>
      </c>
      <c r="G12" s="800"/>
    </row>
    <row r="13" spans="1:7" ht="15.6" thickTop="1" thickBot="1" x14ac:dyDescent="0.35">
      <c r="A13" s="803"/>
      <c r="B13" s="804"/>
      <c r="C13" s="41"/>
      <c r="D13" s="38"/>
      <c r="E13" s="42"/>
      <c r="F13" s="43"/>
      <c r="G13" s="800"/>
    </row>
    <row r="14" spans="1:7" ht="15.6" thickTop="1" thickBot="1" x14ac:dyDescent="0.35">
      <c r="A14" s="803"/>
      <c r="B14" s="804"/>
      <c r="C14" s="41"/>
      <c r="D14" s="44"/>
      <c r="E14" s="45"/>
      <c r="F14" s="43"/>
      <c r="G14" s="800"/>
    </row>
    <row r="15" spans="1:7" ht="15.6" thickTop="1" thickBot="1" x14ac:dyDescent="0.35">
      <c r="A15" s="803"/>
      <c r="B15" s="804"/>
      <c r="C15" s="41"/>
      <c r="D15" s="44"/>
      <c r="E15" s="45"/>
      <c r="F15" s="43"/>
      <c r="G15" s="800"/>
    </row>
    <row r="16" spans="1:7" ht="15.6" thickTop="1" thickBot="1" x14ac:dyDescent="0.35">
      <c r="A16" s="803"/>
      <c r="B16" s="804"/>
      <c r="C16" s="41"/>
      <c r="D16" s="44"/>
      <c r="E16" s="45"/>
      <c r="F16" s="43"/>
      <c r="G16" s="800"/>
    </row>
    <row r="17" spans="1:7" ht="15.6" thickTop="1" thickBot="1" x14ac:dyDescent="0.35">
      <c r="A17" s="805"/>
      <c r="B17" s="806"/>
      <c r="C17" s="46"/>
      <c r="D17" s="47"/>
      <c r="E17" s="48"/>
      <c r="F17" s="49"/>
      <c r="G17" s="800"/>
    </row>
    <row r="18" spans="1:7" ht="15.6" thickTop="1" thickBot="1" x14ac:dyDescent="0.35">
      <c r="A18" s="30"/>
      <c r="B18" s="30"/>
      <c r="C18" s="30"/>
      <c r="D18" s="30"/>
      <c r="E18" s="50"/>
      <c r="F18" s="51" t="s">
        <v>25</v>
      </c>
      <c r="G18" s="52">
        <f>+SUM(F12:F17)</f>
        <v>200</v>
      </c>
    </row>
    <row r="19" spans="1:7" ht="15.6" thickTop="1" thickBot="1" x14ac:dyDescent="0.35">
      <c r="A19" s="33" t="s">
        <v>26</v>
      </c>
      <c r="B19" s="30"/>
      <c r="C19" s="30"/>
      <c r="D19" s="30"/>
      <c r="E19" s="50"/>
      <c r="F19" s="50"/>
      <c r="G19" s="30"/>
    </row>
    <row r="20" spans="1:7" ht="15.6" thickTop="1" thickBot="1" x14ac:dyDescent="0.35">
      <c r="A20" s="799" t="s">
        <v>20</v>
      </c>
      <c r="B20" s="799"/>
      <c r="C20" s="35" t="s">
        <v>27</v>
      </c>
      <c r="D20" s="35" t="s">
        <v>28</v>
      </c>
      <c r="E20" s="53" t="s">
        <v>29</v>
      </c>
      <c r="F20" s="54" t="s">
        <v>24</v>
      </c>
      <c r="G20" s="800"/>
    </row>
    <row r="21" spans="1:7" ht="15.6" thickTop="1" thickBot="1" x14ac:dyDescent="0.35">
      <c r="A21" s="807" t="s">
        <v>48</v>
      </c>
      <c r="B21" s="808"/>
      <c r="C21" s="55" t="e">
        <f>+VLOOKUP(A21,MATERIALES!$B$5:$D$729,2,)</f>
        <v>#N/A</v>
      </c>
      <c r="D21" s="56" t="e">
        <f>+VLOOKUP(A21,MATERIALES!$B$5:$D$729,3,)</f>
        <v>#N/A</v>
      </c>
      <c r="E21" s="57">
        <v>0.03</v>
      </c>
      <c r="F21" s="43" t="e">
        <f>+D21*E21</f>
        <v>#N/A</v>
      </c>
      <c r="G21" s="800"/>
    </row>
    <row r="22" spans="1:7" ht="15.6" thickTop="1" thickBot="1" x14ac:dyDescent="0.35">
      <c r="A22" s="807" t="s">
        <v>49</v>
      </c>
      <c r="B22" s="808"/>
      <c r="C22" s="55" t="e">
        <f>+VLOOKUP(A22,MATERIALES!$B$5:$D$729,2,)</f>
        <v>#N/A</v>
      </c>
      <c r="D22" s="56" t="e">
        <f>+VLOOKUP(A22,MATERIALES!$B$5:$D$729,3,)</f>
        <v>#N/A</v>
      </c>
      <c r="E22" s="57">
        <v>0.03</v>
      </c>
      <c r="F22" s="43" t="e">
        <f>+D22*E22</f>
        <v>#N/A</v>
      </c>
      <c r="G22" s="800"/>
    </row>
    <row r="23" spans="1:7" ht="15.6" thickTop="1" thickBot="1" x14ac:dyDescent="0.35">
      <c r="A23" s="803"/>
      <c r="B23" s="804"/>
      <c r="C23" s="55"/>
      <c r="D23" s="56"/>
      <c r="E23" s="57"/>
      <c r="F23" s="43"/>
      <c r="G23" s="800"/>
    </row>
    <row r="24" spans="1:7" ht="15.6" thickTop="1" thickBot="1" x14ac:dyDescent="0.35">
      <c r="A24" s="803"/>
      <c r="B24" s="804"/>
      <c r="C24" s="55"/>
      <c r="D24" s="56"/>
      <c r="E24" s="57"/>
      <c r="F24" s="43"/>
      <c r="G24" s="800"/>
    </row>
    <row r="25" spans="1:7" ht="15.6" thickTop="1" thickBot="1" x14ac:dyDescent="0.35">
      <c r="A25" s="803"/>
      <c r="B25" s="804"/>
      <c r="C25" s="55"/>
      <c r="D25" s="56"/>
      <c r="E25" s="57"/>
      <c r="F25" s="43"/>
      <c r="G25" s="800"/>
    </row>
    <row r="26" spans="1:7" ht="15.6" thickTop="1" thickBot="1" x14ac:dyDescent="0.35">
      <c r="A26" s="803"/>
      <c r="B26" s="804"/>
      <c r="C26" s="55"/>
      <c r="D26" s="56"/>
      <c r="E26" s="57"/>
      <c r="F26" s="43"/>
      <c r="G26" s="800"/>
    </row>
    <row r="27" spans="1:7" ht="15.6" thickTop="1" thickBot="1" x14ac:dyDescent="0.35">
      <c r="A27" s="805"/>
      <c r="B27" s="806"/>
      <c r="C27" s="46"/>
      <c r="D27" s="58"/>
      <c r="E27" s="59"/>
      <c r="F27" s="60"/>
      <c r="G27" s="800"/>
    </row>
    <row r="28" spans="1:7" ht="15.6" thickTop="1" thickBot="1" x14ac:dyDescent="0.35">
      <c r="A28" s="30"/>
      <c r="B28" s="30"/>
      <c r="C28" s="30"/>
      <c r="D28" s="30"/>
      <c r="E28" s="50"/>
      <c r="F28" s="51" t="s">
        <v>25</v>
      </c>
      <c r="G28" s="52" t="e">
        <f>+SUM(F21:F27)</f>
        <v>#N/A</v>
      </c>
    </row>
    <row r="29" spans="1:7" ht="15.6" thickTop="1" thickBot="1" x14ac:dyDescent="0.35">
      <c r="A29" s="33" t="s">
        <v>30</v>
      </c>
      <c r="B29" s="30"/>
      <c r="C29" s="30"/>
      <c r="D29" s="30"/>
      <c r="E29" s="50"/>
      <c r="F29" s="50"/>
      <c r="G29" s="30"/>
    </row>
    <row r="30" spans="1:7" ht="15.6" thickTop="1" thickBot="1" x14ac:dyDescent="0.35">
      <c r="A30" s="810" t="s">
        <v>20</v>
      </c>
      <c r="B30" s="811"/>
      <c r="C30" s="35" t="s">
        <v>21</v>
      </c>
      <c r="D30" s="35" t="s">
        <v>31</v>
      </c>
      <c r="E30" s="53" t="s">
        <v>32</v>
      </c>
      <c r="F30" s="54" t="s">
        <v>24</v>
      </c>
      <c r="G30" s="800"/>
    </row>
    <row r="31" spans="1:7" ht="15.6" thickTop="1" thickBot="1" x14ac:dyDescent="0.35">
      <c r="A31" s="812" t="s">
        <v>33</v>
      </c>
      <c r="B31" s="813"/>
      <c r="C31" s="61"/>
      <c r="D31" s="62">
        <v>0.03</v>
      </c>
      <c r="E31" s="61" t="e">
        <f>+G28</f>
        <v>#N/A</v>
      </c>
      <c r="F31" s="40" t="e">
        <f>+D31*E31</f>
        <v>#N/A</v>
      </c>
      <c r="G31" s="800"/>
    </row>
    <row r="32" spans="1:7" ht="15.6" thickTop="1" thickBot="1" x14ac:dyDescent="0.35">
      <c r="A32" s="814"/>
      <c r="B32" s="815"/>
      <c r="C32" s="44"/>
      <c r="D32" s="44"/>
      <c r="E32" s="44"/>
      <c r="F32" s="43"/>
      <c r="G32" s="800"/>
    </row>
    <row r="33" spans="1:8" ht="15.6" thickTop="1" thickBot="1" x14ac:dyDescent="0.35">
      <c r="A33" s="814"/>
      <c r="B33" s="815"/>
      <c r="C33" s="44"/>
      <c r="D33" s="44"/>
      <c r="E33" s="44"/>
      <c r="F33" s="43"/>
      <c r="G33" s="800"/>
    </row>
    <row r="34" spans="1:8" ht="15.6" thickTop="1" thickBot="1" x14ac:dyDescent="0.35">
      <c r="A34" s="816"/>
      <c r="B34" s="817"/>
      <c r="C34" s="47"/>
      <c r="D34" s="47"/>
      <c r="E34" s="47"/>
      <c r="F34" s="49"/>
      <c r="G34" s="800"/>
    </row>
    <row r="35" spans="1:8" ht="15.6" thickTop="1" thickBot="1" x14ac:dyDescent="0.35">
      <c r="A35" s="30"/>
      <c r="B35" s="30"/>
      <c r="C35" s="30"/>
      <c r="D35" s="30"/>
      <c r="E35" s="50"/>
      <c r="F35" s="51" t="s">
        <v>25</v>
      </c>
      <c r="G35" s="52" t="e">
        <f>+SUM(F31:F34)</f>
        <v>#N/A</v>
      </c>
    </row>
    <row r="36" spans="1:8" ht="15.6" thickTop="1" thickBot="1" x14ac:dyDescent="0.35">
      <c r="A36" s="33" t="s">
        <v>34</v>
      </c>
      <c r="B36" s="30"/>
      <c r="C36" s="30"/>
      <c r="D36" s="30"/>
      <c r="E36" s="50"/>
      <c r="F36" s="50"/>
      <c r="G36" s="30"/>
    </row>
    <row r="37" spans="1:8" ht="15.6" thickTop="1" thickBot="1" x14ac:dyDescent="0.35">
      <c r="A37" s="35" t="s">
        <v>35</v>
      </c>
      <c r="B37" s="35" t="s">
        <v>29</v>
      </c>
      <c r="C37" s="35" t="s">
        <v>36</v>
      </c>
      <c r="D37" s="35" t="s">
        <v>37</v>
      </c>
      <c r="E37" s="63" t="s">
        <v>38</v>
      </c>
      <c r="F37" s="53" t="s">
        <v>23</v>
      </c>
      <c r="G37" s="63" t="s">
        <v>24</v>
      </c>
    </row>
    <row r="38" spans="1:8" ht="15" thickTop="1" x14ac:dyDescent="0.3">
      <c r="A38" s="64" t="s">
        <v>39</v>
      </c>
      <c r="B38" s="61">
        <v>1</v>
      </c>
      <c r="C38" s="65">
        <f>+VLOOKUP(A38,MO!$1:$1048576,2,FALSE)</f>
        <v>66666.666666666672</v>
      </c>
      <c r="D38" s="62">
        <v>0.75</v>
      </c>
      <c r="E38" s="66">
        <f>+C38*(1+D38)</f>
        <v>116666.66666666667</v>
      </c>
      <c r="F38" s="61">
        <v>40</v>
      </c>
      <c r="G38" s="40">
        <f>+B38*(E38/F38)</f>
        <v>2916.666666666667</v>
      </c>
    </row>
    <row r="39" spans="1:8" x14ac:dyDescent="0.3">
      <c r="A39" s="67" t="s">
        <v>40</v>
      </c>
      <c r="B39" s="44">
        <v>1</v>
      </c>
      <c r="C39" s="68">
        <f>+VLOOKUP(A39,MO!$1:$1048576,2,FALSE)</f>
        <v>33333.333333333336</v>
      </c>
      <c r="D39" s="69">
        <v>0.75</v>
      </c>
      <c r="E39" s="70">
        <f>+C39*(1+D39)</f>
        <v>58333.333333333336</v>
      </c>
      <c r="F39" s="44">
        <v>40</v>
      </c>
      <c r="G39" s="43">
        <f>+B39*(E39/F39)</f>
        <v>1458.3333333333335</v>
      </c>
    </row>
    <row r="40" spans="1:8" x14ac:dyDescent="0.3">
      <c r="A40" s="67"/>
      <c r="B40" s="44"/>
      <c r="C40" s="68"/>
      <c r="D40" s="69"/>
      <c r="E40" s="70"/>
      <c r="F40" s="44"/>
      <c r="G40" s="43"/>
    </row>
    <row r="41" spans="1:8" x14ac:dyDescent="0.3">
      <c r="A41" s="67"/>
      <c r="B41" s="44"/>
      <c r="C41" s="71"/>
      <c r="D41" s="44"/>
      <c r="E41" s="70"/>
      <c r="F41" s="44"/>
      <c r="G41" s="43"/>
    </row>
    <row r="42" spans="1:8" x14ac:dyDescent="0.3">
      <c r="A42" s="67"/>
      <c r="B42" s="44"/>
      <c r="C42" s="71"/>
      <c r="D42" s="44"/>
      <c r="E42" s="70"/>
      <c r="F42" s="44"/>
      <c r="G42" s="43"/>
    </row>
    <row r="43" spans="1:8" x14ac:dyDescent="0.3">
      <c r="A43" s="67"/>
      <c r="B43" s="44"/>
      <c r="C43" s="71"/>
      <c r="D43" s="44"/>
      <c r="E43" s="70"/>
      <c r="F43" s="44"/>
      <c r="G43" s="43"/>
    </row>
    <row r="44" spans="1:8" ht="15" thickBot="1" x14ac:dyDescent="0.35">
      <c r="A44" s="72"/>
      <c r="B44" s="73"/>
      <c r="C44" s="73"/>
      <c r="D44" s="73"/>
      <c r="E44" s="48"/>
      <c r="F44" s="73"/>
      <c r="G44" s="74"/>
    </row>
    <row r="45" spans="1:8" ht="15.6" thickTop="1" thickBot="1" x14ac:dyDescent="0.35">
      <c r="A45" s="30"/>
      <c r="B45" s="30"/>
      <c r="C45" s="30"/>
      <c r="D45" s="30"/>
      <c r="E45" s="30"/>
      <c r="F45" s="51" t="s">
        <v>25</v>
      </c>
      <c r="G45" s="52">
        <f>+SUM(G38:G44)</f>
        <v>4375</v>
      </c>
    </row>
    <row r="46" spans="1:8" ht="15.6" thickTop="1" thickBot="1" x14ac:dyDescent="0.35">
      <c r="A46" s="30"/>
      <c r="B46" s="30"/>
      <c r="C46" s="30"/>
      <c r="D46" s="30"/>
      <c r="E46" s="30"/>
      <c r="F46" s="75"/>
      <c r="G46" s="30"/>
    </row>
    <row r="47" spans="1:8" ht="15.6" thickTop="1" thickBot="1" x14ac:dyDescent="0.35">
      <c r="A47" s="30"/>
      <c r="B47" s="30"/>
      <c r="C47" s="809" t="s">
        <v>41</v>
      </c>
      <c r="D47" s="809"/>
      <c r="E47" s="809"/>
      <c r="F47" s="809"/>
      <c r="G47" s="76" t="e">
        <f>+G18+G28+G35+G45</f>
        <v>#N/A</v>
      </c>
      <c r="H47" s="81"/>
    </row>
    <row r="48" spans="1:8" ht="15" thickTop="1" x14ac:dyDescent="0.3">
      <c r="A48" s="30"/>
      <c r="B48" s="30"/>
      <c r="C48" s="30"/>
      <c r="D48" s="30"/>
      <c r="E48" s="30"/>
      <c r="F48" s="30"/>
      <c r="G48" s="30"/>
    </row>
  </sheetData>
  <mergeCells count="27">
    <mergeCell ref="C47:F47"/>
    <mergeCell ref="A27:B27"/>
    <mergeCell ref="A30:B30"/>
    <mergeCell ref="G30:G34"/>
    <mergeCell ref="A31:B31"/>
    <mergeCell ref="A32:B32"/>
    <mergeCell ref="A33:B33"/>
    <mergeCell ref="A34:B34"/>
    <mergeCell ref="A20:B20"/>
    <mergeCell ref="G20:G27"/>
    <mergeCell ref="A21:B21"/>
    <mergeCell ref="A22:B22"/>
    <mergeCell ref="A23:B23"/>
    <mergeCell ref="A24:B24"/>
    <mergeCell ref="A25:B25"/>
    <mergeCell ref="A26:B26"/>
    <mergeCell ref="A1:G2"/>
    <mergeCell ref="C4:G4"/>
    <mergeCell ref="A6:D9"/>
    <mergeCell ref="A11:B11"/>
    <mergeCell ref="G11:G17"/>
    <mergeCell ref="A12:B12"/>
    <mergeCell ref="A13:B13"/>
    <mergeCell ref="A14:B14"/>
    <mergeCell ref="A15:B15"/>
    <mergeCell ref="A16:B16"/>
    <mergeCell ref="A17:B17"/>
  </mergeCells>
  <pageMargins left="0.7" right="0.7" top="0.75" bottom="0.75" header="0.3" footer="0.3"/>
  <pageSetup paperSize="123" scale="75" orientation="portrait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23"/>
  <dimension ref="A1:H50"/>
  <sheetViews>
    <sheetView view="pageBreakPreview" zoomScaleSheetLayoutView="100" workbookViewId="0">
      <selection activeCell="D21" sqref="D21"/>
    </sheetView>
  </sheetViews>
  <sheetFormatPr baseColWidth="10" defaultColWidth="11.44140625" defaultRowHeight="14.4" x14ac:dyDescent="0.3"/>
  <cols>
    <col min="1" max="1" width="26.6640625" customWidth="1"/>
    <col min="2" max="6" width="12.6640625" customWidth="1"/>
    <col min="7" max="7" width="15.5546875" bestFit="1" customWidth="1"/>
  </cols>
  <sheetData>
    <row r="1" spans="1:7" ht="15" thickTop="1" x14ac:dyDescent="0.3">
      <c r="A1" s="781" t="s">
        <v>13</v>
      </c>
      <c r="B1" s="782"/>
      <c r="C1" s="782"/>
      <c r="D1" s="782"/>
      <c r="E1" s="782"/>
      <c r="F1" s="782"/>
      <c r="G1" s="783"/>
    </row>
    <row r="2" spans="1:7" ht="15" thickBot="1" x14ac:dyDescent="0.35">
      <c r="A2" s="784"/>
      <c r="B2" s="785"/>
      <c r="C2" s="785"/>
      <c r="D2" s="785"/>
      <c r="E2" s="785"/>
      <c r="F2" s="785"/>
      <c r="G2" s="786"/>
    </row>
    <row r="3" spans="1:7" ht="16.8" thickTop="1" thickBot="1" x14ac:dyDescent="0.35">
      <c r="A3" s="24"/>
      <c r="B3" s="24"/>
      <c r="C3" s="24"/>
      <c r="D3" s="24"/>
      <c r="E3" s="24"/>
      <c r="F3" s="24"/>
      <c r="G3" s="24"/>
    </row>
    <row r="4" spans="1:7" ht="30.75" customHeight="1" thickTop="1" thickBot="1" x14ac:dyDescent="0.35">
      <c r="A4" s="24"/>
      <c r="B4" s="25" t="s">
        <v>14</v>
      </c>
      <c r="C4" s="787" t="s">
        <v>85</v>
      </c>
      <c r="D4" s="788"/>
      <c r="E4" s="788"/>
      <c r="F4" s="788"/>
      <c r="G4" s="789"/>
    </row>
    <row r="5" spans="1:7" ht="15.6" thickTop="1" thickBot="1" x14ac:dyDescent="0.35">
      <c r="A5" s="26"/>
      <c r="B5" s="27"/>
      <c r="C5" s="28"/>
      <c r="D5" s="29"/>
      <c r="E5" s="30"/>
      <c r="F5" s="30"/>
      <c r="G5" s="30"/>
    </row>
    <row r="6" spans="1:7" ht="16.5" customHeight="1" thickTop="1" thickBot="1" x14ac:dyDescent="0.35">
      <c r="A6" s="790" t="e">
        <f>+#REF!</f>
        <v>#REF!</v>
      </c>
      <c r="B6" s="791"/>
      <c r="C6" s="791"/>
      <c r="D6" s="792"/>
      <c r="E6" s="31"/>
      <c r="F6" s="32" t="s">
        <v>15</v>
      </c>
      <c r="G6" s="32" t="s">
        <v>105</v>
      </c>
    </row>
    <row r="7" spans="1:7" ht="15.6" thickTop="1" thickBot="1" x14ac:dyDescent="0.35">
      <c r="A7" s="793"/>
      <c r="B7" s="794"/>
      <c r="C7" s="794"/>
      <c r="D7" s="795"/>
      <c r="E7" s="30"/>
      <c r="F7" s="32" t="s">
        <v>16</v>
      </c>
      <c r="G7" s="32" t="s">
        <v>101</v>
      </c>
    </row>
    <row r="8" spans="1:7" ht="15.6" thickTop="1" thickBot="1" x14ac:dyDescent="0.35">
      <c r="A8" s="793"/>
      <c r="B8" s="794"/>
      <c r="C8" s="794"/>
      <c r="D8" s="795"/>
      <c r="E8" s="30"/>
      <c r="F8" s="32" t="s">
        <v>17</v>
      </c>
      <c r="G8" s="32"/>
    </row>
    <row r="9" spans="1:7" ht="15.6" thickTop="1" thickBot="1" x14ac:dyDescent="0.35">
      <c r="A9" s="796"/>
      <c r="B9" s="797"/>
      <c r="C9" s="797"/>
      <c r="D9" s="798"/>
      <c r="E9" s="30"/>
      <c r="F9" s="32" t="s">
        <v>18</v>
      </c>
      <c r="G9" s="32" t="s">
        <v>6</v>
      </c>
    </row>
    <row r="10" spans="1:7" ht="15.6" thickTop="1" thickBot="1" x14ac:dyDescent="0.35">
      <c r="A10" s="33" t="s">
        <v>19</v>
      </c>
      <c r="B10" s="30"/>
      <c r="C10" s="30"/>
      <c r="D10" s="30"/>
      <c r="E10" s="30"/>
      <c r="F10" s="26"/>
      <c r="G10" s="34"/>
    </row>
    <row r="11" spans="1:7" ht="15.6" thickTop="1" thickBot="1" x14ac:dyDescent="0.35">
      <c r="A11" s="799" t="s">
        <v>20</v>
      </c>
      <c r="B11" s="799"/>
      <c r="C11" s="35" t="s">
        <v>21</v>
      </c>
      <c r="D11" s="35" t="s">
        <v>22</v>
      </c>
      <c r="E11" s="35" t="s">
        <v>23</v>
      </c>
      <c r="F11" s="36" t="s">
        <v>24</v>
      </c>
      <c r="G11" s="800"/>
    </row>
    <row r="12" spans="1:7" ht="15.6" thickTop="1" thickBot="1" x14ac:dyDescent="0.35">
      <c r="A12" s="801" t="s">
        <v>8</v>
      </c>
      <c r="B12" s="802"/>
      <c r="C12" s="37"/>
      <c r="D12" s="38">
        <f>+VLOOKUP(A12,EQUIPOS!$B$6:$C$25,2,)</f>
        <v>5000</v>
      </c>
      <c r="E12" s="39">
        <v>1</v>
      </c>
      <c r="F12" s="43">
        <f>+D12/E12</f>
        <v>5000</v>
      </c>
      <c r="G12" s="800"/>
    </row>
    <row r="13" spans="1:7" ht="15.6" thickTop="1" thickBot="1" x14ac:dyDescent="0.35">
      <c r="A13" s="803"/>
      <c r="B13" s="804"/>
      <c r="C13" s="41"/>
      <c r="D13" s="38"/>
      <c r="E13" s="42"/>
      <c r="F13" s="43"/>
      <c r="G13" s="800"/>
    </row>
    <row r="14" spans="1:7" ht="15.6" thickTop="1" thickBot="1" x14ac:dyDescent="0.35">
      <c r="A14" s="803"/>
      <c r="B14" s="804"/>
      <c r="C14" s="41"/>
      <c r="D14" s="44"/>
      <c r="E14" s="45"/>
      <c r="F14" s="43"/>
      <c r="G14" s="800"/>
    </row>
    <row r="15" spans="1:7" ht="15.6" thickTop="1" thickBot="1" x14ac:dyDescent="0.35">
      <c r="A15" s="803"/>
      <c r="B15" s="804"/>
      <c r="C15" s="41"/>
      <c r="D15" s="44"/>
      <c r="E15" s="45"/>
      <c r="F15" s="43"/>
      <c r="G15" s="800"/>
    </row>
    <row r="16" spans="1:7" ht="15.6" thickTop="1" thickBot="1" x14ac:dyDescent="0.35">
      <c r="A16" s="803"/>
      <c r="B16" s="804"/>
      <c r="C16" s="41"/>
      <c r="D16" s="44"/>
      <c r="E16" s="45"/>
      <c r="F16" s="43"/>
      <c r="G16" s="800"/>
    </row>
    <row r="17" spans="1:7" ht="15.6" thickTop="1" thickBot="1" x14ac:dyDescent="0.35">
      <c r="A17" s="805"/>
      <c r="B17" s="806"/>
      <c r="C17" s="46"/>
      <c r="D17" s="47"/>
      <c r="E17" s="48"/>
      <c r="F17" s="49"/>
      <c r="G17" s="800"/>
    </row>
    <row r="18" spans="1:7" ht="15.6" thickTop="1" thickBot="1" x14ac:dyDescent="0.35">
      <c r="A18" s="30"/>
      <c r="B18" s="30"/>
      <c r="C18" s="30"/>
      <c r="D18" s="30"/>
      <c r="E18" s="50"/>
      <c r="F18" s="51" t="s">
        <v>25</v>
      </c>
      <c r="G18" s="52">
        <f>+SUM(F12:F17)</f>
        <v>5000</v>
      </c>
    </row>
    <row r="19" spans="1:7" ht="15.6" thickTop="1" thickBot="1" x14ac:dyDescent="0.35">
      <c r="A19" s="33" t="s">
        <v>26</v>
      </c>
      <c r="B19" s="30"/>
      <c r="C19" s="30"/>
      <c r="D19" s="30"/>
      <c r="E19" s="50"/>
      <c r="F19" s="50"/>
      <c r="G19" s="30"/>
    </row>
    <row r="20" spans="1:7" ht="15.6" thickTop="1" thickBot="1" x14ac:dyDescent="0.35">
      <c r="A20" s="799" t="s">
        <v>20</v>
      </c>
      <c r="B20" s="799"/>
      <c r="C20" s="35" t="s">
        <v>27</v>
      </c>
      <c r="D20" s="35" t="s">
        <v>28</v>
      </c>
      <c r="E20" s="53" t="s">
        <v>29</v>
      </c>
      <c r="F20" s="54" t="s">
        <v>24</v>
      </c>
      <c r="G20" s="800"/>
    </row>
    <row r="21" spans="1:7" ht="28.5" customHeight="1" thickTop="1" thickBot="1" x14ac:dyDescent="0.35">
      <c r="A21" s="818" t="s">
        <v>75</v>
      </c>
      <c r="B21" s="819"/>
      <c r="C21" s="55" t="s">
        <v>72</v>
      </c>
      <c r="D21" s="56">
        <v>85000</v>
      </c>
      <c r="E21" s="57">
        <v>1</v>
      </c>
      <c r="F21" s="43">
        <f>+E21*D21</f>
        <v>85000</v>
      </c>
      <c r="G21" s="800"/>
    </row>
    <row r="22" spans="1:7" ht="15.6" thickTop="1" thickBot="1" x14ac:dyDescent="0.35">
      <c r="A22" s="803" t="s">
        <v>73</v>
      </c>
      <c r="B22" s="804"/>
      <c r="C22" s="55" t="s">
        <v>5</v>
      </c>
      <c r="D22" s="56">
        <v>35000</v>
      </c>
      <c r="E22" s="57">
        <v>5</v>
      </c>
      <c r="F22" s="43">
        <f>+E22*D22</f>
        <v>175000</v>
      </c>
      <c r="G22" s="800"/>
    </row>
    <row r="23" spans="1:7" ht="15.6" thickTop="1" thickBot="1" x14ac:dyDescent="0.35">
      <c r="A23" s="803" t="s">
        <v>74</v>
      </c>
      <c r="B23" s="804"/>
      <c r="C23" s="55" t="s">
        <v>72</v>
      </c>
      <c r="D23" s="56">
        <v>120000</v>
      </c>
      <c r="E23" s="57">
        <v>1</v>
      </c>
      <c r="F23" s="43">
        <f>+E23*D23</f>
        <v>120000</v>
      </c>
      <c r="G23" s="800"/>
    </row>
    <row r="24" spans="1:7" ht="15.6" thickTop="1" thickBot="1" x14ac:dyDescent="0.35">
      <c r="A24" s="803"/>
      <c r="B24" s="804"/>
      <c r="C24" s="55"/>
      <c r="D24" s="56"/>
      <c r="E24" s="57"/>
      <c r="F24" s="43"/>
      <c r="G24" s="800"/>
    </row>
    <row r="25" spans="1:7" ht="15.6" thickTop="1" thickBot="1" x14ac:dyDescent="0.35">
      <c r="A25" s="803"/>
      <c r="B25" s="804"/>
      <c r="C25" s="55"/>
      <c r="D25" s="56"/>
      <c r="E25" s="57"/>
      <c r="F25" s="43"/>
      <c r="G25" s="800"/>
    </row>
    <row r="26" spans="1:7" ht="15.6" thickTop="1" thickBot="1" x14ac:dyDescent="0.35">
      <c r="A26" s="803"/>
      <c r="B26" s="804"/>
      <c r="C26" s="55"/>
      <c r="D26" s="56"/>
      <c r="E26" s="57"/>
      <c r="F26" s="43"/>
      <c r="G26" s="800"/>
    </row>
    <row r="27" spans="1:7" ht="15.6" thickTop="1" thickBot="1" x14ac:dyDescent="0.35">
      <c r="A27" s="803"/>
      <c r="B27" s="804"/>
      <c r="C27" s="55"/>
      <c r="D27" s="56"/>
      <c r="E27" s="57"/>
      <c r="F27" s="43"/>
      <c r="G27" s="800"/>
    </row>
    <row r="28" spans="1:7" ht="15.6" thickTop="1" thickBot="1" x14ac:dyDescent="0.35">
      <c r="A28" s="803"/>
      <c r="B28" s="804"/>
      <c r="C28" s="55"/>
      <c r="D28" s="56"/>
      <c r="E28" s="57"/>
      <c r="F28" s="43"/>
      <c r="G28" s="800"/>
    </row>
    <row r="29" spans="1:7" ht="15.6" thickTop="1" thickBot="1" x14ac:dyDescent="0.35">
      <c r="A29" s="805"/>
      <c r="B29" s="806"/>
      <c r="C29" s="46"/>
      <c r="D29" s="58"/>
      <c r="E29" s="59"/>
      <c r="F29" s="60"/>
      <c r="G29" s="800"/>
    </row>
    <row r="30" spans="1:7" ht="15.6" thickTop="1" thickBot="1" x14ac:dyDescent="0.35">
      <c r="A30" s="30"/>
      <c r="B30" s="30"/>
      <c r="C30" s="30"/>
      <c r="D30" s="30"/>
      <c r="E30" s="50"/>
      <c r="F30" s="51" t="s">
        <v>25</v>
      </c>
      <c r="G30" s="52">
        <f>+SUM(F21:F29)</f>
        <v>380000</v>
      </c>
    </row>
    <row r="31" spans="1:7" ht="15.6" thickTop="1" thickBot="1" x14ac:dyDescent="0.35">
      <c r="A31" s="33" t="s">
        <v>30</v>
      </c>
      <c r="B31" s="30"/>
      <c r="C31" s="30"/>
      <c r="D31" s="30"/>
      <c r="E31" s="50"/>
      <c r="F31" s="50"/>
      <c r="G31" s="30"/>
    </row>
    <row r="32" spans="1:7" ht="15.6" thickTop="1" thickBot="1" x14ac:dyDescent="0.35">
      <c r="A32" s="810" t="s">
        <v>20</v>
      </c>
      <c r="B32" s="811"/>
      <c r="C32" s="35" t="s">
        <v>21</v>
      </c>
      <c r="D32" s="35" t="s">
        <v>31</v>
      </c>
      <c r="E32" s="53" t="s">
        <v>32</v>
      </c>
      <c r="F32" s="54" t="s">
        <v>24</v>
      </c>
      <c r="G32" s="800"/>
    </row>
    <row r="33" spans="1:7" ht="15.6" thickTop="1" thickBot="1" x14ac:dyDescent="0.35">
      <c r="A33" s="812" t="s">
        <v>33</v>
      </c>
      <c r="B33" s="813"/>
      <c r="C33" s="61"/>
      <c r="D33" s="62">
        <v>0.03</v>
      </c>
      <c r="E33" s="61">
        <f>+G30</f>
        <v>380000</v>
      </c>
      <c r="F33" s="40">
        <f>+D33*E33</f>
        <v>11400</v>
      </c>
      <c r="G33" s="800"/>
    </row>
    <row r="34" spans="1:7" ht="15.6" thickTop="1" thickBot="1" x14ac:dyDescent="0.35">
      <c r="A34" s="814"/>
      <c r="B34" s="815"/>
      <c r="C34" s="44"/>
      <c r="D34" s="44"/>
      <c r="E34" s="44"/>
      <c r="F34" s="43"/>
      <c r="G34" s="800"/>
    </row>
    <row r="35" spans="1:7" ht="15.6" thickTop="1" thickBot="1" x14ac:dyDescent="0.35">
      <c r="A35" s="814"/>
      <c r="B35" s="815"/>
      <c r="C35" s="44"/>
      <c r="D35" s="44"/>
      <c r="E35" s="44"/>
      <c r="F35" s="43"/>
      <c r="G35" s="800"/>
    </row>
    <row r="36" spans="1:7" ht="15.6" thickTop="1" thickBot="1" x14ac:dyDescent="0.35">
      <c r="A36" s="816"/>
      <c r="B36" s="817"/>
      <c r="C36" s="47"/>
      <c r="D36" s="47"/>
      <c r="E36" s="47"/>
      <c r="F36" s="49"/>
      <c r="G36" s="800"/>
    </row>
    <row r="37" spans="1:7" ht="15.6" thickTop="1" thickBot="1" x14ac:dyDescent="0.35">
      <c r="A37" s="30"/>
      <c r="B37" s="30"/>
      <c r="C37" s="30"/>
      <c r="D37" s="30"/>
      <c r="E37" s="50"/>
      <c r="F37" s="51" t="s">
        <v>25</v>
      </c>
      <c r="G37" s="52">
        <f>+SUM(F33:F36)</f>
        <v>11400</v>
      </c>
    </row>
    <row r="38" spans="1:7" ht="15.6" thickTop="1" thickBot="1" x14ac:dyDescent="0.35">
      <c r="A38" s="33" t="s">
        <v>34</v>
      </c>
      <c r="B38" s="30"/>
      <c r="C38" s="30"/>
      <c r="D38" s="30"/>
      <c r="E38" s="50"/>
      <c r="F38" s="50"/>
      <c r="G38" s="30"/>
    </row>
    <row r="39" spans="1:7" ht="15.6" thickTop="1" thickBot="1" x14ac:dyDescent="0.35">
      <c r="A39" s="35" t="s">
        <v>35</v>
      </c>
      <c r="B39" s="35" t="s">
        <v>29</v>
      </c>
      <c r="C39" s="35" t="s">
        <v>36</v>
      </c>
      <c r="D39" s="35" t="s">
        <v>37</v>
      </c>
      <c r="E39" s="63" t="s">
        <v>38</v>
      </c>
      <c r="F39" s="53" t="s">
        <v>23</v>
      </c>
      <c r="G39" s="63" t="s">
        <v>24</v>
      </c>
    </row>
    <row r="40" spans="1:7" ht="15" thickTop="1" x14ac:dyDescent="0.3">
      <c r="A40" s="64" t="s">
        <v>39</v>
      </c>
      <c r="B40" s="61">
        <v>1</v>
      </c>
      <c r="C40" s="65">
        <f>+VLOOKUP(A40,MO!$1:$1048576,2,FALSE)</f>
        <v>66666.666666666672</v>
      </c>
      <c r="D40" s="62">
        <v>0.75</v>
      </c>
      <c r="E40" s="66">
        <f>+C40*(1+D40)</f>
        <v>116666.66666666667</v>
      </c>
      <c r="F40" s="61">
        <v>6</v>
      </c>
      <c r="G40" s="40">
        <f>+B40*(E40/F40)</f>
        <v>19444.444444444445</v>
      </c>
    </row>
    <row r="41" spans="1:7" x14ac:dyDescent="0.3">
      <c r="A41" s="67" t="s">
        <v>40</v>
      </c>
      <c r="B41" s="44">
        <v>2</v>
      </c>
      <c r="C41" s="68">
        <f>+VLOOKUP(A41,MO!$1:$1048576,2,FALSE)</f>
        <v>33333.333333333336</v>
      </c>
      <c r="D41" s="69">
        <v>0.75</v>
      </c>
      <c r="E41" s="70">
        <f>+C41*(1+D41)</f>
        <v>58333.333333333336</v>
      </c>
      <c r="F41" s="44">
        <v>16</v>
      </c>
      <c r="G41" s="43">
        <f>+B41*(E41/F41)</f>
        <v>7291.666666666667</v>
      </c>
    </row>
    <row r="42" spans="1:7" x14ac:dyDescent="0.3">
      <c r="A42" s="67"/>
      <c r="B42" s="44"/>
      <c r="C42" s="68"/>
      <c r="D42" s="69"/>
      <c r="E42" s="70"/>
      <c r="F42" s="44"/>
      <c r="G42" s="43"/>
    </row>
    <row r="43" spans="1:7" x14ac:dyDescent="0.3">
      <c r="A43" s="67"/>
      <c r="B43" s="44"/>
      <c r="C43" s="71"/>
      <c r="D43" s="44"/>
      <c r="E43" s="70"/>
      <c r="F43" s="44"/>
      <c r="G43" s="43"/>
    </row>
    <row r="44" spans="1:7" x14ac:dyDescent="0.3">
      <c r="A44" s="67"/>
      <c r="B44" s="44"/>
      <c r="C44" s="71"/>
      <c r="D44" s="44"/>
      <c r="E44" s="70"/>
      <c r="F44" s="44"/>
      <c r="G44" s="43"/>
    </row>
    <row r="45" spans="1:7" x14ac:dyDescent="0.3">
      <c r="A45" s="67"/>
      <c r="B45" s="44"/>
      <c r="C45" s="71"/>
      <c r="D45" s="44"/>
      <c r="E45" s="70"/>
      <c r="F45" s="44"/>
      <c r="G45" s="43"/>
    </row>
    <row r="46" spans="1:7" ht="15" thickBot="1" x14ac:dyDescent="0.35">
      <c r="A46" s="72"/>
      <c r="B46" s="73"/>
      <c r="C46" s="73"/>
      <c r="D46" s="73"/>
      <c r="E46" s="48"/>
      <c r="F46" s="73"/>
      <c r="G46" s="74"/>
    </row>
    <row r="47" spans="1:7" ht="15.6" thickTop="1" thickBot="1" x14ac:dyDescent="0.35">
      <c r="A47" s="30"/>
      <c r="B47" s="30"/>
      <c r="C47" s="30"/>
      <c r="D47" s="30"/>
      <c r="E47" s="30"/>
      <c r="F47" s="51" t="s">
        <v>25</v>
      </c>
      <c r="G47" s="52">
        <f>+SUM(G40:G46)</f>
        <v>26736.111111111113</v>
      </c>
    </row>
    <row r="48" spans="1:7" ht="15.6" thickTop="1" thickBot="1" x14ac:dyDescent="0.35">
      <c r="A48" s="30"/>
      <c r="B48" s="30"/>
      <c r="C48" s="30"/>
      <c r="D48" s="30"/>
      <c r="E48" s="30"/>
      <c r="F48" s="75"/>
      <c r="G48" s="30"/>
    </row>
    <row r="49" spans="1:8" ht="15.6" thickTop="1" thickBot="1" x14ac:dyDescent="0.35">
      <c r="A49" s="30"/>
      <c r="B49" s="30"/>
      <c r="C49" s="809" t="s">
        <v>41</v>
      </c>
      <c r="D49" s="809"/>
      <c r="E49" s="809"/>
      <c r="F49" s="809"/>
      <c r="G49" s="76">
        <f>+G18+G30+G37+G47</f>
        <v>423136.11111111112</v>
      </c>
      <c r="H49" s="81"/>
    </row>
    <row r="50" spans="1:8" ht="15" thickTop="1" x14ac:dyDescent="0.3"/>
  </sheetData>
  <mergeCells count="29">
    <mergeCell ref="A1:G2"/>
    <mergeCell ref="C4:G4"/>
    <mergeCell ref="A6:D9"/>
    <mergeCell ref="A11:B11"/>
    <mergeCell ref="G11:G17"/>
    <mergeCell ref="A12:B12"/>
    <mergeCell ref="A13:B13"/>
    <mergeCell ref="A14:B14"/>
    <mergeCell ref="A15:B15"/>
    <mergeCell ref="A16:B16"/>
    <mergeCell ref="A17:B17"/>
    <mergeCell ref="A20:B20"/>
    <mergeCell ref="G20:G29"/>
    <mergeCell ref="A21:B21"/>
    <mergeCell ref="A22:B22"/>
    <mergeCell ref="A23:B23"/>
    <mergeCell ref="A24:B24"/>
    <mergeCell ref="A25:B25"/>
    <mergeCell ref="A26:B26"/>
    <mergeCell ref="A27:B27"/>
    <mergeCell ref="C49:F49"/>
    <mergeCell ref="A28:B28"/>
    <mergeCell ref="A29:B29"/>
    <mergeCell ref="A32:B32"/>
    <mergeCell ref="G32:G36"/>
    <mergeCell ref="A33:B33"/>
    <mergeCell ref="A34:B34"/>
    <mergeCell ref="A35:B35"/>
    <mergeCell ref="A36:B36"/>
  </mergeCells>
  <pageMargins left="0.7" right="0.7" top="0.75" bottom="0.75" header="0.3" footer="0.3"/>
  <pageSetup paperSize="123" scale="75" orientation="portrait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4"/>
  <dimension ref="A1:H50"/>
  <sheetViews>
    <sheetView view="pageBreakPreview" zoomScaleSheetLayoutView="100" workbookViewId="0">
      <selection activeCell="G6" sqref="G6:G7"/>
    </sheetView>
  </sheetViews>
  <sheetFormatPr baseColWidth="10" defaultColWidth="11.44140625" defaultRowHeight="14.4" x14ac:dyDescent="0.3"/>
  <cols>
    <col min="1" max="1" width="26.6640625" customWidth="1"/>
    <col min="2" max="6" width="12.6640625" customWidth="1"/>
    <col min="7" max="7" width="15.5546875" bestFit="1" customWidth="1"/>
  </cols>
  <sheetData>
    <row r="1" spans="1:7" ht="15" thickTop="1" x14ac:dyDescent="0.3">
      <c r="A1" s="781" t="s">
        <v>13</v>
      </c>
      <c r="B1" s="782"/>
      <c r="C1" s="782"/>
      <c r="D1" s="782"/>
      <c r="E1" s="782"/>
      <c r="F1" s="782"/>
      <c r="G1" s="783"/>
    </row>
    <row r="2" spans="1:7" ht="15" thickBot="1" x14ac:dyDescent="0.35">
      <c r="A2" s="784"/>
      <c r="B2" s="785"/>
      <c r="C2" s="785"/>
      <c r="D2" s="785"/>
      <c r="E2" s="785"/>
      <c r="F2" s="785"/>
      <c r="G2" s="786"/>
    </row>
    <row r="3" spans="1:7" ht="16.8" thickTop="1" thickBot="1" x14ac:dyDescent="0.35">
      <c r="A3" s="24"/>
      <c r="B3" s="24"/>
      <c r="C3" s="24"/>
      <c r="D3" s="24"/>
      <c r="E3" s="24"/>
      <c r="F3" s="24"/>
      <c r="G3" s="24"/>
    </row>
    <row r="4" spans="1:7" ht="30.75" customHeight="1" thickTop="1" thickBot="1" x14ac:dyDescent="0.35">
      <c r="A4" s="24"/>
      <c r="B4" s="25" t="s">
        <v>14</v>
      </c>
      <c r="C4" s="787" t="s">
        <v>86</v>
      </c>
      <c r="D4" s="788"/>
      <c r="E4" s="788"/>
      <c r="F4" s="788"/>
      <c r="G4" s="789"/>
    </row>
    <row r="5" spans="1:7" ht="15.6" thickTop="1" thickBot="1" x14ac:dyDescent="0.35">
      <c r="A5" s="26"/>
      <c r="B5" s="27"/>
      <c r="C5" s="28"/>
      <c r="D5" s="29"/>
      <c r="E5" s="30"/>
      <c r="F5" s="30"/>
      <c r="G5" s="30"/>
    </row>
    <row r="6" spans="1:7" ht="16.5" customHeight="1" thickTop="1" thickBot="1" x14ac:dyDescent="0.35">
      <c r="A6" s="790" t="e">
        <f>+'8.2'!A6:D9</f>
        <v>#REF!</v>
      </c>
      <c r="B6" s="791"/>
      <c r="C6" s="791"/>
      <c r="D6" s="792"/>
      <c r="E6" s="31"/>
      <c r="F6" s="32" t="s">
        <v>15</v>
      </c>
      <c r="G6" s="32" t="s">
        <v>102</v>
      </c>
    </row>
    <row r="7" spans="1:7" ht="15.6" thickTop="1" thickBot="1" x14ac:dyDescent="0.35">
      <c r="A7" s="793"/>
      <c r="B7" s="794"/>
      <c r="C7" s="794"/>
      <c r="D7" s="795"/>
      <c r="E7" s="30"/>
      <c r="F7" s="32" t="s">
        <v>16</v>
      </c>
      <c r="G7" s="32" t="s">
        <v>101</v>
      </c>
    </row>
    <row r="8" spans="1:7" ht="15.6" thickTop="1" thickBot="1" x14ac:dyDescent="0.35">
      <c r="A8" s="793"/>
      <c r="B8" s="794"/>
      <c r="C8" s="794"/>
      <c r="D8" s="795"/>
      <c r="E8" s="30"/>
      <c r="F8" s="32" t="s">
        <v>17</v>
      </c>
      <c r="G8" s="32"/>
    </row>
    <row r="9" spans="1:7" ht="15.6" thickTop="1" thickBot="1" x14ac:dyDescent="0.35">
      <c r="A9" s="796"/>
      <c r="B9" s="797"/>
      <c r="C9" s="797"/>
      <c r="D9" s="798"/>
      <c r="E9" s="30"/>
      <c r="F9" s="32" t="s">
        <v>18</v>
      </c>
      <c r="G9" s="32" t="s">
        <v>6</v>
      </c>
    </row>
    <row r="10" spans="1:7" ht="15.6" thickTop="1" thickBot="1" x14ac:dyDescent="0.35">
      <c r="A10" s="33" t="s">
        <v>19</v>
      </c>
      <c r="B10" s="30"/>
      <c r="C10" s="30"/>
      <c r="D10" s="30"/>
      <c r="E10" s="30"/>
      <c r="F10" s="26"/>
      <c r="G10" s="34"/>
    </row>
    <row r="11" spans="1:7" ht="15.6" thickTop="1" thickBot="1" x14ac:dyDescent="0.35">
      <c r="A11" s="799" t="s">
        <v>20</v>
      </c>
      <c r="B11" s="799"/>
      <c r="C11" s="35" t="s">
        <v>21</v>
      </c>
      <c r="D11" s="35" t="s">
        <v>22</v>
      </c>
      <c r="E11" s="35" t="s">
        <v>23</v>
      </c>
      <c r="F11" s="36" t="s">
        <v>24</v>
      </c>
      <c r="G11" s="800"/>
    </row>
    <row r="12" spans="1:7" ht="15.6" thickTop="1" thickBot="1" x14ac:dyDescent="0.35">
      <c r="A12" s="801" t="s">
        <v>8</v>
      </c>
      <c r="B12" s="802"/>
      <c r="C12" s="37"/>
      <c r="D12" s="38">
        <f>+VLOOKUP(A12,EQUIPOS!$B$6:$C$25,2,)</f>
        <v>5000</v>
      </c>
      <c r="E12" s="39">
        <v>1</v>
      </c>
      <c r="F12" s="43">
        <f>+D12/E12</f>
        <v>5000</v>
      </c>
      <c r="G12" s="800"/>
    </row>
    <row r="13" spans="1:7" ht="15.6" thickTop="1" thickBot="1" x14ac:dyDescent="0.35">
      <c r="A13" s="803"/>
      <c r="B13" s="804"/>
      <c r="C13" s="41"/>
      <c r="D13" s="38"/>
      <c r="E13" s="42"/>
      <c r="F13" s="43"/>
      <c r="G13" s="800"/>
    </row>
    <row r="14" spans="1:7" ht="15.6" thickTop="1" thickBot="1" x14ac:dyDescent="0.35">
      <c r="A14" s="803"/>
      <c r="B14" s="804"/>
      <c r="C14" s="41"/>
      <c r="D14" s="44"/>
      <c r="E14" s="45"/>
      <c r="F14" s="43"/>
      <c r="G14" s="800"/>
    </row>
    <row r="15" spans="1:7" ht="15.6" thickTop="1" thickBot="1" x14ac:dyDescent="0.35">
      <c r="A15" s="803"/>
      <c r="B15" s="804"/>
      <c r="C15" s="41"/>
      <c r="D15" s="44"/>
      <c r="E15" s="45"/>
      <c r="F15" s="43"/>
      <c r="G15" s="800"/>
    </row>
    <row r="16" spans="1:7" ht="15.6" thickTop="1" thickBot="1" x14ac:dyDescent="0.35">
      <c r="A16" s="803"/>
      <c r="B16" s="804"/>
      <c r="C16" s="41"/>
      <c r="D16" s="44"/>
      <c r="E16" s="45"/>
      <c r="F16" s="43"/>
      <c r="G16" s="800"/>
    </row>
    <row r="17" spans="1:7" ht="15.6" thickTop="1" thickBot="1" x14ac:dyDescent="0.35">
      <c r="A17" s="805"/>
      <c r="B17" s="806"/>
      <c r="C17" s="46"/>
      <c r="D17" s="47"/>
      <c r="E17" s="48"/>
      <c r="F17" s="49"/>
      <c r="G17" s="800"/>
    </row>
    <row r="18" spans="1:7" ht="15.6" thickTop="1" thickBot="1" x14ac:dyDescent="0.35">
      <c r="A18" s="30"/>
      <c r="B18" s="30"/>
      <c r="C18" s="30"/>
      <c r="D18" s="30"/>
      <c r="E18" s="50"/>
      <c r="F18" s="51" t="s">
        <v>25</v>
      </c>
      <c r="G18" s="52">
        <f>+SUM(F12:F17)</f>
        <v>5000</v>
      </c>
    </row>
    <row r="19" spans="1:7" ht="15.6" thickTop="1" thickBot="1" x14ac:dyDescent="0.35">
      <c r="A19" s="33" t="s">
        <v>26</v>
      </c>
      <c r="B19" s="30"/>
      <c r="C19" s="30"/>
      <c r="D19" s="30"/>
      <c r="E19" s="50"/>
      <c r="F19" s="50"/>
      <c r="G19" s="30"/>
    </row>
    <row r="20" spans="1:7" ht="15.6" thickTop="1" thickBot="1" x14ac:dyDescent="0.35">
      <c r="A20" s="799" t="s">
        <v>20</v>
      </c>
      <c r="B20" s="799"/>
      <c r="C20" s="35" t="s">
        <v>27</v>
      </c>
      <c r="D20" s="35" t="s">
        <v>28</v>
      </c>
      <c r="E20" s="53" t="s">
        <v>29</v>
      </c>
      <c r="F20" s="54" t="s">
        <v>24</v>
      </c>
      <c r="G20" s="800"/>
    </row>
    <row r="21" spans="1:7" ht="28.5" customHeight="1" thickTop="1" thickBot="1" x14ac:dyDescent="0.35">
      <c r="A21" s="818" t="s">
        <v>76</v>
      </c>
      <c r="B21" s="819"/>
      <c r="C21" s="55" t="s">
        <v>72</v>
      </c>
      <c r="D21" s="56">
        <v>139000</v>
      </c>
      <c r="E21" s="57">
        <v>1</v>
      </c>
      <c r="F21" s="43">
        <f>+E21*D21</f>
        <v>139000</v>
      </c>
      <c r="G21" s="800"/>
    </row>
    <row r="22" spans="1:7" ht="15.6" thickTop="1" thickBot="1" x14ac:dyDescent="0.35">
      <c r="A22" s="803" t="s">
        <v>73</v>
      </c>
      <c r="B22" s="804"/>
      <c r="C22" s="55" t="s">
        <v>5</v>
      </c>
      <c r="D22" s="56">
        <v>35000</v>
      </c>
      <c r="E22" s="57">
        <v>5</v>
      </c>
      <c r="F22" s="43">
        <f>+E22*D22</f>
        <v>175000</v>
      </c>
      <c r="G22" s="800"/>
    </row>
    <row r="23" spans="1:7" ht="15.6" thickTop="1" thickBot="1" x14ac:dyDescent="0.35">
      <c r="A23" s="803" t="s">
        <v>74</v>
      </c>
      <c r="B23" s="804"/>
      <c r="C23" s="55" t="s">
        <v>72</v>
      </c>
      <c r="D23" s="56">
        <v>120000</v>
      </c>
      <c r="E23" s="57">
        <v>1</v>
      </c>
      <c r="F23" s="43">
        <f>+E23*D23</f>
        <v>120000</v>
      </c>
      <c r="G23" s="800"/>
    </row>
    <row r="24" spans="1:7" ht="15.6" thickTop="1" thickBot="1" x14ac:dyDescent="0.35">
      <c r="A24" s="803"/>
      <c r="B24" s="804"/>
      <c r="C24" s="55"/>
      <c r="D24" s="56"/>
      <c r="E24" s="57"/>
      <c r="F24" s="43"/>
      <c r="G24" s="800"/>
    </row>
    <row r="25" spans="1:7" ht="15.6" thickTop="1" thickBot="1" x14ac:dyDescent="0.35">
      <c r="A25" s="803"/>
      <c r="B25" s="804"/>
      <c r="C25" s="55"/>
      <c r="D25" s="56"/>
      <c r="E25" s="57"/>
      <c r="F25" s="43"/>
      <c r="G25" s="800"/>
    </row>
    <row r="26" spans="1:7" ht="15.6" thickTop="1" thickBot="1" x14ac:dyDescent="0.35">
      <c r="A26" s="803"/>
      <c r="B26" s="804"/>
      <c r="C26" s="55"/>
      <c r="D26" s="56"/>
      <c r="E26" s="57"/>
      <c r="F26" s="43"/>
      <c r="G26" s="800"/>
    </row>
    <row r="27" spans="1:7" ht="15.6" thickTop="1" thickBot="1" x14ac:dyDescent="0.35">
      <c r="A27" s="803"/>
      <c r="B27" s="804"/>
      <c r="C27" s="55"/>
      <c r="D27" s="56"/>
      <c r="E27" s="57"/>
      <c r="F27" s="43"/>
      <c r="G27" s="800"/>
    </row>
    <row r="28" spans="1:7" ht="15.6" thickTop="1" thickBot="1" x14ac:dyDescent="0.35">
      <c r="A28" s="803"/>
      <c r="B28" s="804"/>
      <c r="C28" s="55"/>
      <c r="D28" s="56"/>
      <c r="E28" s="57"/>
      <c r="F28" s="43"/>
      <c r="G28" s="800"/>
    </row>
    <row r="29" spans="1:7" ht="15.6" thickTop="1" thickBot="1" x14ac:dyDescent="0.35">
      <c r="A29" s="805"/>
      <c r="B29" s="806"/>
      <c r="C29" s="46"/>
      <c r="D29" s="58"/>
      <c r="E29" s="59"/>
      <c r="F29" s="60"/>
      <c r="G29" s="800"/>
    </row>
    <row r="30" spans="1:7" ht="15.6" thickTop="1" thickBot="1" x14ac:dyDescent="0.35">
      <c r="A30" s="30"/>
      <c r="B30" s="30"/>
      <c r="C30" s="30"/>
      <c r="D30" s="30"/>
      <c r="E30" s="50"/>
      <c r="F30" s="51" t="s">
        <v>25</v>
      </c>
      <c r="G30" s="52">
        <f>+SUM(F21:F29)</f>
        <v>434000</v>
      </c>
    </row>
    <row r="31" spans="1:7" ht="15.6" thickTop="1" thickBot="1" x14ac:dyDescent="0.35">
      <c r="A31" s="33" t="s">
        <v>30</v>
      </c>
      <c r="B31" s="30"/>
      <c r="C31" s="30"/>
      <c r="D31" s="30"/>
      <c r="E31" s="50"/>
      <c r="F31" s="50"/>
      <c r="G31" s="30"/>
    </row>
    <row r="32" spans="1:7" ht="15.6" thickTop="1" thickBot="1" x14ac:dyDescent="0.35">
      <c r="A32" s="810" t="s">
        <v>20</v>
      </c>
      <c r="B32" s="811"/>
      <c r="C32" s="35" t="s">
        <v>21</v>
      </c>
      <c r="D32" s="35" t="s">
        <v>31</v>
      </c>
      <c r="E32" s="53" t="s">
        <v>32</v>
      </c>
      <c r="F32" s="54" t="s">
        <v>24</v>
      </c>
      <c r="G32" s="800"/>
    </row>
    <row r="33" spans="1:7" ht="15.6" thickTop="1" thickBot="1" x14ac:dyDescent="0.35">
      <c r="A33" s="812" t="s">
        <v>33</v>
      </c>
      <c r="B33" s="813"/>
      <c r="C33" s="61"/>
      <c r="D33" s="62">
        <v>0.03</v>
      </c>
      <c r="E33" s="61">
        <f>+G30</f>
        <v>434000</v>
      </c>
      <c r="F33" s="40">
        <f>+D33*E33</f>
        <v>13020</v>
      </c>
      <c r="G33" s="800"/>
    </row>
    <row r="34" spans="1:7" ht="15.6" thickTop="1" thickBot="1" x14ac:dyDescent="0.35">
      <c r="A34" s="814"/>
      <c r="B34" s="815"/>
      <c r="C34" s="44"/>
      <c r="D34" s="44"/>
      <c r="E34" s="44"/>
      <c r="F34" s="43"/>
      <c r="G34" s="800"/>
    </row>
    <row r="35" spans="1:7" ht="15.6" thickTop="1" thickBot="1" x14ac:dyDescent="0.35">
      <c r="A35" s="814"/>
      <c r="B35" s="815"/>
      <c r="C35" s="44"/>
      <c r="D35" s="44"/>
      <c r="E35" s="44"/>
      <c r="F35" s="43"/>
      <c r="G35" s="800"/>
    </row>
    <row r="36" spans="1:7" ht="15.6" thickTop="1" thickBot="1" x14ac:dyDescent="0.35">
      <c r="A36" s="816"/>
      <c r="B36" s="817"/>
      <c r="C36" s="47"/>
      <c r="D36" s="47"/>
      <c r="E36" s="47"/>
      <c r="F36" s="49"/>
      <c r="G36" s="800"/>
    </row>
    <row r="37" spans="1:7" ht="15.6" thickTop="1" thickBot="1" x14ac:dyDescent="0.35">
      <c r="A37" s="30"/>
      <c r="B37" s="30"/>
      <c r="C37" s="30"/>
      <c r="D37" s="30"/>
      <c r="E37" s="50"/>
      <c r="F37" s="51" t="s">
        <v>25</v>
      </c>
      <c r="G37" s="52">
        <f>+SUM(F33:F36)</f>
        <v>13020</v>
      </c>
    </row>
    <row r="38" spans="1:7" ht="15.6" thickTop="1" thickBot="1" x14ac:dyDescent="0.35">
      <c r="A38" s="33" t="s">
        <v>34</v>
      </c>
      <c r="B38" s="30"/>
      <c r="C38" s="30"/>
      <c r="D38" s="30"/>
      <c r="E38" s="50"/>
      <c r="F38" s="50"/>
      <c r="G38" s="30"/>
    </row>
    <row r="39" spans="1:7" ht="15.6" thickTop="1" thickBot="1" x14ac:dyDescent="0.35">
      <c r="A39" s="35" t="s">
        <v>35</v>
      </c>
      <c r="B39" s="35" t="s">
        <v>29</v>
      </c>
      <c r="C39" s="35" t="s">
        <v>36</v>
      </c>
      <c r="D39" s="35" t="s">
        <v>37</v>
      </c>
      <c r="E39" s="63" t="s">
        <v>38</v>
      </c>
      <c r="F39" s="53" t="s">
        <v>23</v>
      </c>
      <c r="G39" s="63" t="s">
        <v>24</v>
      </c>
    </row>
    <row r="40" spans="1:7" ht="15" thickTop="1" x14ac:dyDescent="0.3">
      <c r="A40" s="64" t="s">
        <v>39</v>
      </c>
      <c r="B40" s="61">
        <v>1</v>
      </c>
      <c r="C40" s="65">
        <f>+VLOOKUP(A40,MO!$1:$1048576,2,FALSE)</f>
        <v>66666.666666666672</v>
      </c>
      <c r="D40" s="62">
        <v>0.75</v>
      </c>
      <c r="E40" s="66">
        <f>+C40*(1+D40)</f>
        <v>116666.66666666667</v>
      </c>
      <c r="F40" s="61">
        <v>6</v>
      </c>
      <c r="G40" s="40">
        <f>+B40*(E40/F40)</f>
        <v>19444.444444444445</v>
      </c>
    </row>
    <row r="41" spans="1:7" x14ac:dyDescent="0.3">
      <c r="A41" s="67" t="s">
        <v>40</v>
      </c>
      <c r="B41" s="44">
        <v>2</v>
      </c>
      <c r="C41" s="68">
        <f>+VLOOKUP(A41,MO!$1:$1048576,2,FALSE)</f>
        <v>33333.333333333336</v>
      </c>
      <c r="D41" s="69">
        <v>0.75</v>
      </c>
      <c r="E41" s="70">
        <f>+C41*(1+D41)</f>
        <v>58333.333333333336</v>
      </c>
      <c r="F41" s="44">
        <v>16</v>
      </c>
      <c r="G41" s="43">
        <f>+B41*(E41/F41)</f>
        <v>7291.666666666667</v>
      </c>
    </row>
    <row r="42" spans="1:7" x14ac:dyDescent="0.3">
      <c r="A42" s="67"/>
      <c r="B42" s="44"/>
      <c r="C42" s="68"/>
      <c r="D42" s="69"/>
      <c r="E42" s="70"/>
      <c r="F42" s="44"/>
      <c r="G42" s="43"/>
    </row>
    <row r="43" spans="1:7" x14ac:dyDescent="0.3">
      <c r="A43" s="67"/>
      <c r="B43" s="44"/>
      <c r="C43" s="71"/>
      <c r="D43" s="44"/>
      <c r="E43" s="70"/>
      <c r="F43" s="44"/>
      <c r="G43" s="43"/>
    </row>
    <row r="44" spans="1:7" x14ac:dyDescent="0.3">
      <c r="A44" s="67"/>
      <c r="B44" s="44"/>
      <c r="C44" s="71"/>
      <c r="D44" s="44"/>
      <c r="E44" s="70"/>
      <c r="F44" s="44"/>
      <c r="G44" s="43"/>
    </row>
    <row r="45" spans="1:7" x14ac:dyDescent="0.3">
      <c r="A45" s="67"/>
      <c r="B45" s="44"/>
      <c r="C45" s="71"/>
      <c r="D45" s="44"/>
      <c r="E45" s="70"/>
      <c r="F45" s="44"/>
      <c r="G45" s="43"/>
    </row>
    <row r="46" spans="1:7" ht="15" thickBot="1" x14ac:dyDescent="0.35">
      <c r="A46" s="72"/>
      <c r="B46" s="73"/>
      <c r="C46" s="73"/>
      <c r="D46" s="73"/>
      <c r="E46" s="48"/>
      <c r="F46" s="73"/>
      <c r="G46" s="74"/>
    </row>
    <row r="47" spans="1:7" ht="15.6" thickTop="1" thickBot="1" x14ac:dyDescent="0.35">
      <c r="A47" s="30"/>
      <c r="B47" s="30"/>
      <c r="C47" s="30"/>
      <c r="D47" s="30"/>
      <c r="E47" s="30"/>
      <c r="F47" s="51" t="s">
        <v>25</v>
      </c>
      <c r="G47" s="52">
        <f>+SUM(G40:G46)</f>
        <v>26736.111111111113</v>
      </c>
    </row>
    <row r="48" spans="1:7" ht="15.6" thickTop="1" thickBot="1" x14ac:dyDescent="0.35">
      <c r="A48" s="30"/>
      <c r="B48" s="30"/>
      <c r="C48" s="30"/>
      <c r="D48" s="30"/>
      <c r="E48" s="30"/>
      <c r="F48" s="75"/>
      <c r="G48" s="30"/>
    </row>
    <row r="49" spans="1:8" ht="15.6" thickTop="1" thickBot="1" x14ac:dyDescent="0.35">
      <c r="A49" s="30"/>
      <c r="B49" s="30"/>
      <c r="C49" s="809" t="s">
        <v>41</v>
      </c>
      <c r="D49" s="809"/>
      <c r="E49" s="809"/>
      <c r="F49" s="809"/>
      <c r="G49" s="76">
        <f>+G18+G30+G37+G47</f>
        <v>478756.11111111112</v>
      </c>
      <c r="H49" s="81"/>
    </row>
    <row r="50" spans="1:8" ht="15" thickTop="1" x14ac:dyDescent="0.3"/>
  </sheetData>
  <mergeCells count="29">
    <mergeCell ref="A1:G2"/>
    <mergeCell ref="C4:G4"/>
    <mergeCell ref="A6:D9"/>
    <mergeCell ref="A11:B11"/>
    <mergeCell ref="G11:G17"/>
    <mergeCell ref="A12:B12"/>
    <mergeCell ref="A13:B13"/>
    <mergeCell ref="A14:B14"/>
    <mergeCell ref="A15:B15"/>
    <mergeCell ref="A16:B16"/>
    <mergeCell ref="A17:B17"/>
    <mergeCell ref="A20:B20"/>
    <mergeCell ref="G20:G29"/>
    <mergeCell ref="A21:B21"/>
    <mergeCell ref="A22:B22"/>
    <mergeCell ref="A23:B23"/>
    <mergeCell ref="A24:B24"/>
    <mergeCell ref="A25:B25"/>
    <mergeCell ref="A26:B26"/>
    <mergeCell ref="A27:B27"/>
    <mergeCell ref="C49:F49"/>
    <mergeCell ref="A28:B28"/>
    <mergeCell ref="A29:B29"/>
    <mergeCell ref="A32:B32"/>
    <mergeCell ref="G32:G36"/>
    <mergeCell ref="A33:B33"/>
    <mergeCell ref="A34:B34"/>
    <mergeCell ref="A35:B35"/>
    <mergeCell ref="A36:B36"/>
  </mergeCells>
  <pageMargins left="0.7" right="0.7" top="0.75" bottom="0.75" header="0.3" footer="0.3"/>
  <pageSetup paperSize="123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18</vt:i4>
      </vt:variant>
    </vt:vector>
  </HeadingPairs>
  <TitlesOfParts>
    <vt:vector size="38" baseType="lpstr">
      <vt:lpstr>PRESUPUESTO  UBS</vt:lpstr>
      <vt:lpstr>PRESUPUESTO</vt:lpstr>
      <vt:lpstr>1. APU INST LA BALSA</vt:lpstr>
      <vt:lpstr>2. APU INST INDAPAZ 24 NOV</vt:lpstr>
      <vt:lpstr>3. APU INST INDAPAZ PRINCIPAL</vt:lpstr>
      <vt:lpstr>4. APU INST SN PRINCIPAL</vt:lpstr>
      <vt:lpstr>5. APU INST SN LAS MARGARITAS</vt:lpstr>
      <vt:lpstr>6. APU INST SN M. AUXILIADORA</vt:lpstr>
      <vt:lpstr>7. APU INST LUIFERGO</vt:lpstr>
      <vt:lpstr>MEMORIAS DE CANTIDADES  </vt:lpstr>
      <vt:lpstr>APU</vt:lpstr>
      <vt:lpstr>SUMA</vt:lpstr>
      <vt:lpstr>MO</vt:lpstr>
      <vt:lpstr>MATERIALES</vt:lpstr>
      <vt:lpstr>CANT</vt:lpstr>
      <vt:lpstr>EQUIPOS</vt:lpstr>
      <vt:lpstr>6.2</vt:lpstr>
      <vt:lpstr>6.3</vt:lpstr>
      <vt:lpstr>8.2</vt:lpstr>
      <vt:lpstr>8.3</vt:lpstr>
      <vt:lpstr>CANT!Área_de_impresión</vt:lpstr>
      <vt:lpstr>PRESUPUESTO!Área_de_impresión</vt:lpstr>
      <vt:lpstr>'PRESUPUESTO  UBS'!Área_de_impresión</vt:lpstr>
      <vt:lpstr>cadenero</vt:lpstr>
      <vt:lpstr>machinero</vt:lpstr>
      <vt:lpstr>maestro</vt:lpstr>
      <vt:lpstr>objeto</vt:lpstr>
      <vt:lpstr>obrero</vt:lpstr>
      <vt:lpstr>oficial</vt:lpstr>
      <vt:lpstr>oficial1</vt:lpstr>
      <vt:lpstr>operador</vt:lpstr>
      <vt:lpstr>soldador</vt:lpstr>
      <vt:lpstr>CANT!Títulos_a_imprimir</vt:lpstr>
      <vt:lpstr>MATERIALES!Títulos_a_imprimir</vt:lpstr>
      <vt:lpstr>PRESUPUESTO!Títulos_a_imprimir</vt:lpstr>
      <vt:lpstr>'PRESUPUESTO  UBS'!Títulos_a_imprimir</vt:lpstr>
      <vt:lpstr>topografo</vt:lpstr>
      <vt:lpstr>trochero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ACER</cp:lastModifiedBy>
  <cp:lastPrinted>2026-09-30T16:25:31Z</cp:lastPrinted>
  <dcterms:created xsi:type="dcterms:W3CDTF">2012-07-31T22:29:20Z</dcterms:created>
  <dcterms:modified xsi:type="dcterms:W3CDTF">2026-10-02T16:02:23Z</dcterms:modified>
</cp:coreProperties>
</file>