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ingridrey/Desktop/2026/ETTIC/CUENTA No.10 INGRID REY/EQUIPOS LABORATORIO TRATAMIENTOS TECNICOS/PUBLICAR/"/>
    </mc:Choice>
  </mc:AlternateContent>
  <xr:revisionPtr revIDLastSave="0" documentId="13_ncr:1_{AC7AABC6-F8B0-984D-A269-A04C6D30343F}" xr6:coauthVersionLast="47" xr6:coauthVersionMax="47" xr10:uidLastSave="{00000000-0000-0000-0000-000000000000}"/>
  <bookViews>
    <workbookView xWindow="0" yWindow="760" windowWidth="30240" windowHeight="17540" xr2:uid="{11791466-4F65-4DDA-8890-0CFAD877449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20" i="1" s="1"/>
  <c r="J20" i="1"/>
  <c r="J21" i="1" s="1"/>
  <c r="J22" i="1" s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5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E19" i="1" l="1"/>
  <c r="F19" i="1" s="1"/>
  <c r="E18" i="1"/>
  <c r="F18" i="1" s="1"/>
  <c r="E17" i="1"/>
  <c r="F17" i="1" s="1"/>
  <c r="E16" i="1"/>
  <c r="F16" i="1" s="1"/>
  <c r="E15" i="1"/>
  <c r="F15" i="1" s="1"/>
  <c r="E14" i="1"/>
  <c r="E13" i="1"/>
  <c r="F13" i="1" s="1"/>
  <c r="E12" i="1"/>
  <c r="F12" i="1" s="1"/>
  <c r="E11" i="1"/>
  <c r="F11" i="1" s="1"/>
  <c r="E9" i="1"/>
  <c r="E8" i="1"/>
  <c r="F8" i="1" s="1"/>
  <c r="E7" i="1"/>
  <c r="F7" i="1" s="1"/>
  <c r="E6" i="1"/>
  <c r="F6" i="1" s="1"/>
  <c r="F9" i="1"/>
  <c r="F10" i="1"/>
  <c r="F14" i="1"/>
  <c r="E5" i="1"/>
  <c r="F5" i="1" s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 l="1"/>
  <c r="H21" i="1" s="1"/>
  <c r="H22" i="1" s="1"/>
  <c r="F20" i="1" l="1"/>
  <c r="F21" i="1" s="1"/>
  <c r="K21" i="1" l="1"/>
  <c r="K22" i="1" s="1"/>
  <c r="F22" i="1"/>
</calcChain>
</file>

<file path=xl/sharedStrings.xml><?xml version="1.0" encoding="utf-8"?>
<sst xmlns="http://schemas.openxmlformats.org/spreadsheetml/2006/main" count="48" uniqueCount="44">
  <si>
    <t>Descripción</t>
  </si>
  <si>
    <t>Cantidad</t>
  </si>
  <si>
    <t>ESTUDIO DE MERCADO</t>
  </si>
  <si>
    <t>PROMEDIO CON IVA
(PRECIO TECHO)</t>
  </si>
  <si>
    <t>Cortadora metalográfica</t>
  </si>
  <si>
    <t>Empastilladora/prensa</t>
  </si>
  <si>
    <t>Pulidora doble plato</t>
  </si>
  <si>
    <t>Durómetro micro Vickers</t>
  </si>
  <si>
    <t>Durómetro universal B/R/V</t>
  </si>
  <si>
    <t>Durómetro portátil UCI</t>
  </si>
  <si>
    <t>Equipo corrientes Eddy</t>
  </si>
  <si>
    <t>Agitador magnético</t>
  </si>
  <si>
    <t>Rugosímetro</t>
  </si>
  <si>
    <t>Medidor espesor recubrimiento</t>
  </si>
  <si>
    <t>Yugo magnético</t>
  </si>
  <si>
    <t>Equipo de ultrasonido</t>
  </si>
  <si>
    <t>Desecador con vacío</t>
  </si>
  <si>
    <t>Multímetro digital</t>
  </si>
  <si>
    <t>Lijadora banda y disco</t>
  </si>
  <si>
    <t>Elemento</t>
  </si>
  <si>
    <t>Máquina de corte automática y manual; diámetro máximo de corte 100 mm; disco 350×2,5×32 mm; 2200 r/min; recorrido husillo 145 mm; mesa 300 mm; tanque refrigeración 60 L; potencia 3 kW; AC 220 V, 50 Hz; incluye herramienta de sujeción, 45 discos y 4 L de refrigerante.</t>
  </si>
  <si>
    <t>Prensa de montaje estándar con calentamiento, presurización, enfriamiento y alivio automáticos; enfriamiento por agua; diámetro de pieza Ø30 mm; 100–200 °C; retardo y mantenimiento 0–999 s; calentamiento 600 W; AC 220 V, 50 Hz; incluye resina negra 4 kg y embudo.</t>
  </si>
  <si>
    <t>Pulidora manual de doble plato; platos independientes y reemplazables; cuatro velocidades fijas/velocidad continua; refrigeración por agua; rueda Ø203 mm; 0–1400 r/min; velocidades 150/300/600/1000 r/min; 2 discos/platos; potencia 1,1 kW; AC 220 V.</t>
  </si>
  <si>
    <t>Fuerzas de prueba 0,098 a 9,8 N; escalas HV0.01 a HV1; rango 5–3000 HV; resolución 0,025 µm; torreta motorizada; permanencia 1–60 s; objetivos 10X y 40X; platina X-Y 100×100 mm; 220 V, 50/60 Hz; incluye objetivos, indentador, bloques de prueba, porta muestras, tornillo de banco, porta cilindros y cubierta.</t>
  </si>
  <si>
    <t>Escalas Brinell/Rockwell/Vickers; cargas Rockwell 98/588/980/1471 N; Brinell 306,5 a 2451,6 N; Vickers HV3 a HV100; rango 10–2900 HV; resolución 0,1 H; microscopio 37,5X/75X; altura máxima 160 mm; ancho máximo 200 mm; 220 V, 50/60 Hz; incluye indentadores, yunques, bloques de prueba y cubierta.</t>
  </si>
  <si>
    <t>Durómetro tipo UCI; parámetro principal HV; convertibles RA, HRB, HRC, HBW, HS y MPa; rangos 50–1599 HV, 20–68 HRC, 85–650 HB, 41–100 HRB, 61–85,6 HRA, 34,2–97,3 HS y 255–2180 MPa; batería de litio recargable; autonomía aproximada 10 h; peso 540 g.</t>
  </si>
  <si>
    <t>Detector de fallas Eddy OKO EDDYCON C; incluye 1 transductor, cable y bloque de calibración; IP64; batería Li-ion 12 V/4500 mAh; pantalla TFT 4,3” 800×480; frecuencia 10 Hz–16 MHz; ganancia 70 dB; alimentación de sonda 0,5/1/2/4/6 V; USB 2.0 y Ethernet.</t>
  </si>
  <si>
    <t>Plancha magnética con control de velocidad y temperatura; placa de acero inoxidable con recubrimiento cerámico; puesto Ø135 mm; capacidad 2 L; 50–15000 rpm; temperatura ambiente–310 °C; precisión ±1 °C; AC 110/220 V, 50/60 Hz; incluye manual de operación, mantenimiento/servicio, plan preventivo y listado de partes.</t>
  </si>
  <si>
    <t>Rugosímetro ISR-C300; fuerza de medición 4 mN/0,75 mN; palpador 5 µm/90° y 2 µm/60°; múltiples parámetros Ra, Rz, Rq, Rv, Rp, Rs, R3z, R3y, Rt, Rc, Rk, Rku, Rsm, Rpc, Rpk, Rvk, Rsk, entre otros; sonda inductiva con palpador de diamante; eje X 17,5 mm; eje Z 400 µm; precisión ±10%; resolución Ra 0,001 µm; USB y Bluetooth.</t>
  </si>
  <si>
    <t>Medidor de espesor de capa 5411-TC30; rango 0–3000 µm; resolución 0,1 µm; precisión ±2 µm + 3 % L; intervalo 0,5 s; modos Fe, NFe y Fe/NFe; 2 pilas AAA de 1,5 V; 134×67×38 mm; peso 135 g.</t>
  </si>
  <si>
    <t>Yugo magnético portátil AC INSIZE; poder de levante AC 4,5 kg (44 N); alimentación AC 110 V, 50/60 Hz; polos 22×22 mm; dimensiones 235×50×195 mm; peso 2,3 kg; incluye partículas magnéticas secas, indicador de campo magnético con certificado e indicador tipo pastel de 3 piezas.</t>
  </si>
  <si>
    <t>Módulo para defectología por ultrasonido; curva DAC; ayuda AWS D1.1/D1.5; análisis espectral FFT; pantalla TFT LCD 5,7” 640×480; SD, VGA y Mini HDMI; batería 7,4 V; IP66; -10 a 50 °C; 198×128×520 mm; conectores Lemo 00; transmisor 50–350 V; velocidades de material 100–200000 m/s; incluye cargador, baterías, software, estuche, manuales, certificados, SD 32 GB y accesorios.</t>
  </si>
  <si>
    <t>Cuerpo ABS + PC policarbonato; estructura ABS; dimensiones externas 300×380×550 mm; internas 280×340×495 mm; incluye 3 entrepaños y termohigrómetro digital; humedad 10–99 %, precisión ±5 %; temperatura -50 a 70 °C, desviación ±1 °C; bomba de vacío Welch con vacío aproximado 907 mbar y caudal 28 L/min.</t>
  </si>
  <si>
    <t>Retención de datos; Pico/Máx/Mín; filtro paso bajo; detección NCV; batería baja; ciclo de trabajo 0,1–99,9 %; corriente DC y AC 220 µA–20 A; voltaje AC y DC 200 mV–1000 V; resistencia 220 Ω–220 MΩ; capacitancia 22 nF–220 mF.</t>
  </si>
  <si>
    <t>Potencia 375 W (1/2 HP); velocidad de disco 3500 rpm; disco 6” (15 cm); banda 4”×36” (10×90 cm); velocidad de banda 600 m/min; mesa 9”×6” (23×15 cm); 127 V/60 Hz; consumo 4,5 A; dimensiones 60×32×28 cm; ciclo 50 min trabajo/20 min descanso; máximo diario 6 h; peso 16 kg.</t>
  </si>
  <si>
    <t>Subtotal</t>
  </si>
  <si>
    <t>IVA</t>
  </si>
  <si>
    <t>TOTAL</t>
  </si>
  <si>
    <t>VALOR UNITARIO 
SIN IVA</t>
  </si>
  <si>
    <t>VALOR TOTAL 
SIN IVA</t>
  </si>
  <si>
    <t>C2 - SOLUCIONES AVANZADA</t>
  </si>
  <si>
    <t>C1 - GLOBAL SERVICES</t>
  </si>
  <si>
    <t>Nota: Los valores consignados se encuentran redondeados</t>
  </si>
  <si>
    <t>C3 SERVICIOS Y MANTENIMIENTOS PEOPLE CLEAN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</si>
</sst>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_-"/>
    <numFmt numFmtId="165" formatCode="&quot;$&quot;#,##0.00;[Red]\-&quot;$&quot;#,##0.00"/>
    <numFmt numFmtId="166" formatCode="_-&quot;$&quot;* #,##0.00_-;\-&quot;$&quot;* #,##0.00_-;_-&quot;$&quot;* &quot;-&quot;??_-;_-@_-"/>
    <numFmt numFmtId="167" formatCode="_-&quot;$&quot;\ * #,##0_-;\-&quot;$&quot;\ * #,##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rgb="FF000000"/>
      <name val="Arial"/>
      <family val="2"/>
    </font>
    <font>
      <b/>
      <sz val="14"/>
      <color theme="1"/>
      <name val="Aptos Narrow"/>
      <scheme val="minor"/>
    </font>
    <font>
      <b/>
      <sz val="16"/>
      <color theme="1"/>
      <name val="Aptos Narrow"/>
      <family val="2"/>
      <scheme val="minor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55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3" xfId="0" applyFon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/>
    <xf numFmtId="0" fontId="0" fillId="0" borderId="9" xfId="0" applyBorder="1"/>
    <xf numFmtId="0" fontId="2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3" fillId="0" borderId="12" xfId="0" applyFont="1" applyBorder="1" applyAlignment="1">
      <alignment vertical="center" wrapText="1"/>
    </xf>
    <xf numFmtId="164" fontId="0" fillId="0" borderId="14" xfId="0" applyNumberFormat="1" applyBorder="1" applyAlignment="1">
      <alignment horizontal="center" vertical="center"/>
    </xf>
    <xf numFmtId="0" fontId="3" fillId="0" borderId="15" xfId="0" applyFont="1" applyBorder="1" applyAlignment="1">
      <alignment vertical="center" wrapText="1"/>
    </xf>
    <xf numFmtId="164" fontId="0" fillId="0" borderId="16" xfId="0" applyNumberFormat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7" fontId="0" fillId="0" borderId="9" xfId="0" applyNumberFormat="1" applyBorder="1" applyAlignment="1">
      <alignment horizontal="center" vertical="center"/>
    </xf>
    <xf numFmtId="167" fontId="0" fillId="0" borderId="2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6" fontId="0" fillId="0" borderId="9" xfId="1" applyFont="1" applyBorder="1" applyAlignment="1">
      <alignment horizontal="center" vertical="center"/>
    </xf>
    <xf numFmtId="166" fontId="0" fillId="0" borderId="10" xfId="1" applyFont="1" applyBorder="1" applyAlignment="1">
      <alignment horizontal="center" vertical="center"/>
    </xf>
    <xf numFmtId="166" fontId="0" fillId="0" borderId="21" xfId="1" applyFont="1" applyBorder="1" applyAlignment="1">
      <alignment horizontal="center" vertical="center"/>
    </xf>
    <xf numFmtId="166" fontId="0" fillId="0" borderId="22" xfId="1" applyFont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4" fontId="4" fillId="3" borderId="25" xfId="0" applyNumberFormat="1" applyFont="1" applyFill="1" applyBorder="1" applyAlignment="1">
      <alignment horizontal="center" vertical="center"/>
    </xf>
    <xf numFmtId="166" fontId="0" fillId="0" borderId="26" xfId="1" applyFont="1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0" fontId="2" fillId="0" borderId="26" xfId="0" applyFont="1" applyBorder="1" applyAlignment="1">
      <alignment horizontal="center"/>
    </xf>
    <xf numFmtId="0" fontId="2" fillId="0" borderId="26" xfId="0" applyFont="1" applyBorder="1" applyAlignment="1">
      <alignment horizontal="center" vertical="center" wrapText="1"/>
    </xf>
    <xf numFmtId="165" fontId="0" fillId="0" borderId="26" xfId="0" applyNumberFormat="1" applyBorder="1" applyAlignment="1">
      <alignment vertical="center"/>
    </xf>
    <xf numFmtId="0" fontId="3" fillId="0" borderId="27" xfId="0" applyFont="1" applyBorder="1" applyAlignment="1">
      <alignment vertical="center" wrapText="1"/>
    </xf>
    <xf numFmtId="0" fontId="0" fillId="0" borderId="28" xfId="0" applyBorder="1"/>
    <xf numFmtId="164" fontId="0" fillId="0" borderId="25" xfId="0" applyNumberFormat="1" applyBorder="1" applyAlignment="1">
      <alignment horizontal="center" vertical="center"/>
    </xf>
    <xf numFmtId="0" fontId="5" fillId="2" borderId="7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B9CE7-C829-45CD-AFC3-59E3CCB73077}">
  <dimension ref="B1:K24"/>
  <sheetViews>
    <sheetView tabSelected="1" zoomScaleNormal="100" workbookViewId="0">
      <selection activeCell="I3" sqref="I3:J3"/>
    </sheetView>
  </sheetViews>
  <sheetFormatPr baseColWidth="10" defaultRowHeight="15" x14ac:dyDescent="0.2"/>
  <cols>
    <col min="1" max="1" width="2.5" customWidth="1"/>
    <col min="3" max="3" width="44.33203125" customWidth="1"/>
    <col min="4" max="4" width="10.6640625" style="5"/>
    <col min="5" max="5" width="14.83203125" style="5" bestFit="1" customWidth="1"/>
    <col min="6" max="6" width="16.6640625" style="5" customWidth="1"/>
    <col min="7" max="7" width="17.1640625" style="5" bestFit="1" customWidth="1"/>
    <col min="8" max="8" width="18.33203125" style="5" bestFit="1" customWidth="1"/>
    <col min="9" max="10" width="18.33203125" style="5" customWidth="1"/>
    <col min="11" max="11" width="21.1640625" bestFit="1" customWidth="1"/>
  </cols>
  <sheetData>
    <row r="1" spans="2:11" ht="16" thickBot="1" x14ac:dyDescent="0.25"/>
    <row r="2" spans="2:11" ht="23" thickBot="1" x14ac:dyDescent="0.35">
      <c r="B2" s="8"/>
      <c r="C2" s="48" t="s">
        <v>2</v>
      </c>
      <c r="D2" s="48"/>
      <c r="E2" s="49"/>
      <c r="F2" s="49"/>
      <c r="G2" s="49"/>
      <c r="H2" s="49"/>
      <c r="I2" s="49"/>
      <c r="J2" s="49"/>
      <c r="K2" s="50"/>
    </row>
    <row r="3" spans="2:11" ht="29" customHeight="1" x14ac:dyDescent="0.2">
      <c r="B3" s="9"/>
      <c r="C3" s="4"/>
      <c r="D3" s="18"/>
      <c r="E3" s="51" t="s">
        <v>41</v>
      </c>
      <c r="F3" s="52"/>
      <c r="G3" s="51" t="s">
        <v>40</v>
      </c>
      <c r="H3" s="52"/>
      <c r="I3" s="53" t="s">
        <v>43</v>
      </c>
      <c r="J3" s="54"/>
      <c r="K3" s="42"/>
    </row>
    <row r="4" spans="2:11" s="7" customFormat="1" ht="32" x14ac:dyDescent="0.2">
      <c r="B4" s="10" t="s">
        <v>19</v>
      </c>
      <c r="C4" s="6" t="s">
        <v>0</v>
      </c>
      <c r="D4" s="19" t="s">
        <v>1</v>
      </c>
      <c r="E4" s="25" t="s">
        <v>38</v>
      </c>
      <c r="F4" s="26" t="s">
        <v>39</v>
      </c>
      <c r="G4" s="25" t="s">
        <v>38</v>
      </c>
      <c r="H4" s="26" t="s">
        <v>39</v>
      </c>
      <c r="I4" s="25" t="s">
        <v>38</v>
      </c>
      <c r="J4" s="26" t="s">
        <v>39</v>
      </c>
      <c r="K4" s="43" t="s">
        <v>3</v>
      </c>
    </row>
    <row r="5" spans="2:11" ht="65" x14ac:dyDescent="0.2">
      <c r="B5" s="11" t="s">
        <v>4</v>
      </c>
      <c r="C5" s="1" t="s">
        <v>20</v>
      </c>
      <c r="D5" s="20">
        <v>1</v>
      </c>
      <c r="E5" s="27">
        <f>+ROUND(31240190.16,0)</f>
        <v>31240190</v>
      </c>
      <c r="F5" s="35">
        <f>ROUND(E5*D5,0)</f>
        <v>31240190</v>
      </c>
      <c r="G5" s="34">
        <v>33721399</v>
      </c>
      <c r="H5" s="35">
        <f>ROUND(G5*D5,0)</f>
        <v>33721399</v>
      </c>
      <c r="I5" s="34">
        <f>+ROUND(33046971.02,0)</f>
        <v>33046971</v>
      </c>
      <c r="J5" s="40">
        <f>ROUND(I5*D5,0)</f>
        <v>33046971</v>
      </c>
      <c r="K5" s="44">
        <f>ROUND((F5+H5+J5)/3,0)</f>
        <v>32669520</v>
      </c>
    </row>
    <row r="6" spans="2:11" ht="65" x14ac:dyDescent="0.2">
      <c r="B6" s="11" t="s">
        <v>5</v>
      </c>
      <c r="C6" s="1" t="s">
        <v>21</v>
      </c>
      <c r="D6" s="20">
        <v>1</v>
      </c>
      <c r="E6" s="27">
        <f>+ROUND(30225822,0)</f>
        <v>30225822</v>
      </c>
      <c r="F6" s="35">
        <f t="shared" ref="F6:F19" si="0">ROUND(E6*D6,0)</f>
        <v>30225822</v>
      </c>
      <c r="G6" s="34">
        <v>29767855</v>
      </c>
      <c r="H6" s="35">
        <f t="shared" ref="H6:H19" si="1">ROUND(G6*D6,0)</f>
        <v>29767855</v>
      </c>
      <c r="I6" s="34">
        <f>+ROUND(29470176.45,0)</f>
        <v>29470176</v>
      </c>
      <c r="J6" s="40">
        <f t="shared" ref="J6:J19" si="2">ROUND(I6*D6,0)</f>
        <v>29470176</v>
      </c>
      <c r="K6" s="44">
        <f t="shared" ref="K6:K18" si="3">ROUND((F6+H6+J6)/3,0)</f>
        <v>29821284</v>
      </c>
    </row>
    <row r="7" spans="2:11" ht="65" x14ac:dyDescent="0.2">
      <c r="B7" s="11" t="s">
        <v>6</v>
      </c>
      <c r="C7" s="1" t="s">
        <v>22</v>
      </c>
      <c r="D7" s="20">
        <v>2</v>
      </c>
      <c r="E7" s="27">
        <f>+ROUND(9209430.12,0)</f>
        <v>9209430</v>
      </c>
      <c r="F7" s="35">
        <f t="shared" si="0"/>
        <v>18418860</v>
      </c>
      <c r="G7" s="34">
        <v>9069893</v>
      </c>
      <c r="H7" s="35">
        <f t="shared" si="1"/>
        <v>18139786</v>
      </c>
      <c r="I7" s="34">
        <f>+ROUND(8951984.391,0)</f>
        <v>8951984</v>
      </c>
      <c r="J7" s="40">
        <f t="shared" si="2"/>
        <v>17903968</v>
      </c>
      <c r="K7" s="44">
        <f t="shared" si="3"/>
        <v>18154205</v>
      </c>
    </row>
    <row r="8" spans="2:11" ht="78" x14ac:dyDescent="0.2">
      <c r="B8" s="11" t="s">
        <v>7</v>
      </c>
      <c r="C8" s="1" t="s">
        <v>23</v>
      </c>
      <c r="D8" s="20">
        <v>1</v>
      </c>
      <c r="E8" s="27">
        <f>+ROUND(50769935.04,0)</f>
        <v>50769935</v>
      </c>
      <c r="F8" s="35">
        <f t="shared" si="0"/>
        <v>50769935</v>
      </c>
      <c r="G8" s="34">
        <v>50000694</v>
      </c>
      <c r="H8" s="35">
        <f t="shared" si="1"/>
        <v>50000694</v>
      </c>
      <c r="I8" s="34">
        <f>+ROUND(49150682.202,0)</f>
        <v>49150682</v>
      </c>
      <c r="J8" s="40">
        <f t="shared" si="2"/>
        <v>49150682</v>
      </c>
      <c r="K8" s="44">
        <f t="shared" si="3"/>
        <v>49973770</v>
      </c>
    </row>
    <row r="9" spans="2:11" ht="78" x14ac:dyDescent="0.2">
      <c r="B9" s="11" t="s">
        <v>8</v>
      </c>
      <c r="C9" s="1" t="s">
        <v>24</v>
      </c>
      <c r="D9" s="20">
        <v>1</v>
      </c>
      <c r="E9" s="27">
        <f>+ROUND(30461962.08,0)</f>
        <v>30461962</v>
      </c>
      <c r="F9" s="35">
        <f t="shared" si="0"/>
        <v>30461962</v>
      </c>
      <c r="G9" s="34">
        <v>30000417</v>
      </c>
      <c r="H9" s="35">
        <f t="shared" si="1"/>
        <v>30000417</v>
      </c>
      <c r="I9" s="34">
        <f>+ROUND(29700412.83,0)</f>
        <v>29700413</v>
      </c>
      <c r="J9" s="40">
        <f t="shared" si="2"/>
        <v>29700413</v>
      </c>
      <c r="K9" s="44">
        <f t="shared" si="3"/>
        <v>30054264</v>
      </c>
    </row>
    <row r="10" spans="2:11" ht="65" x14ac:dyDescent="0.2">
      <c r="B10" s="11" t="s">
        <v>9</v>
      </c>
      <c r="C10" s="1" t="s">
        <v>25</v>
      </c>
      <c r="D10" s="20">
        <v>1</v>
      </c>
      <c r="E10" s="27">
        <v>52197545.039999999</v>
      </c>
      <c r="F10" s="35">
        <f t="shared" si="0"/>
        <v>52197545</v>
      </c>
      <c r="G10" s="34">
        <v>54361219</v>
      </c>
      <c r="H10" s="35">
        <f t="shared" si="1"/>
        <v>54361219</v>
      </c>
      <c r="I10" s="34">
        <f>+ROUND(53056549.744,0)</f>
        <v>53056550</v>
      </c>
      <c r="J10" s="40">
        <f t="shared" si="2"/>
        <v>53056550</v>
      </c>
      <c r="K10" s="44">
        <f t="shared" si="3"/>
        <v>53205105</v>
      </c>
    </row>
    <row r="11" spans="2:11" ht="65" x14ac:dyDescent="0.2">
      <c r="B11" s="11" t="s">
        <v>10</v>
      </c>
      <c r="C11" s="1" t="s">
        <v>26</v>
      </c>
      <c r="D11" s="20">
        <v>1</v>
      </c>
      <c r="E11" s="27">
        <f>+ROUND(75409001.52,0)</f>
        <v>75409002</v>
      </c>
      <c r="F11" s="35">
        <f t="shared" si="0"/>
        <v>75409002</v>
      </c>
      <c r="G11" s="34">
        <v>80175532</v>
      </c>
      <c r="H11" s="35">
        <f t="shared" si="1"/>
        <v>80175532</v>
      </c>
      <c r="I11" s="34">
        <f>+ROUND(79614303.276,0)</f>
        <v>79614303</v>
      </c>
      <c r="J11" s="40">
        <f t="shared" si="2"/>
        <v>79614303</v>
      </c>
      <c r="K11" s="44">
        <f t="shared" si="3"/>
        <v>78399612</v>
      </c>
    </row>
    <row r="12" spans="2:11" ht="78" x14ac:dyDescent="0.2">
      <c r="B12" s="11" t="s">
        <v>11</v>
      </c>
      <c r="C12" s="1" t="s">
        <v>27</v>
      </c>
      <c r="D12" s="20">
        <v>1</v>
      </c>
      <c r="E12" s="27">
        <f>+ROUND(6433611.36,0)</f>
        <v>6433611</v>
      </c>
      <c r="F12" s="35">
        <f t="shared" si="0"/>
        <v>6433611</v>
      </c>
      <c r="G12" s="34">
        <v>6336132</v>
      </c>
      <c r="H12" s="35">
        <f t="shared" si="1"/>
        <v>6336132</v>
      </c>
      <c r="I12" s="34">
        <f>+ROUND(6256930.35,0)</f>
        <v>6256930</v>
      </c>
      <c r="J12" s="40">
        <f t="shared" si="2"/>
        <v>6256930</v>
      </c>
      <c r="K12" s="44">
        <f t="shared" si="3"/>
        <v>6342224</v>
      </c>
    </row>
    <row r="13" spans="2:11" ht="78" x14ac:dyDescent="0.2">
      <c r="B13" s="11" t="s">
        <v>12</v>
      </c>
      <c r="C13" s="1" t="s">
        <v>28</v>
      </c>
      <c r="D13" s="20">
        <v>1</v>
      </c>
      <c r="E13" s="27">
        <f>+ROUND(31536394.56,0)</f>
        <v>31536395</v>
      </c>
      <c r="F13" s="35">
        <f t="shared" si="0"/>
        <v>31536395</v>
      </c>
      <c r="G13" s="34">
        <v>31058570</v>
      </c>
      <c r="H13" s="35">
        <f t="shared" si="1"/>
        <v>31058570</v>
      </c>
      <c r="I13" s="34">
        <f>+ROUND(30872218.58,0)</f>
        <v>30872219</v>
      </c>
      <c r="J13" s="40">
        <f t="shared" si="2"/>
        <v>30872219</v>
      </c>
      <c r="K13" s="44">
        <f t="shared" si="3"/>
        <v>31155728</v>
      </c>
    </row>
    <row r="14" spans="2:11" ht="52" x14ac:dyDescent="0.2">
      <c r="B14" s="11" t="s">
        <v>13</v>
      </c>
      <c r="C14" s="1" t="s">
        <v>29</v>
      </c>
      <c r="D14" s="20">
        <v>1</v>
      </c>
      <c r="E14" s="27">
        <f>+ROUND(4237310.88,0)</f>
        <v>4237311</v>
      </c>
      <c r="F14" s="35">
        <f t="shared" si="0"/>
        <v>4237311</v>
      </c>
      <c r="G14" s="34">
        <v>4173109</v>
      </c>
      <c r="H14" s="35">
        <f t="shared" si="1"/>
        <v>4173109</v>
      </c>
      <c r="I14" s="34">
        <f>+ROUND(4097993.038,0)</f>
        <v>4097993</v>
      </c>
      <c r="J14" s="40">
        <f t="shared" si="2"/>
        <v>4097993</v>
      </c>
      <c r="K14" s="44">
        <f t="shared" si="3"/>
        <v>4169471</v>
      </c>
    </row>
    <row r="15" spans="2:11" ht="65" x14ac:dyDescent="0.2">
      <c r="B15" s="11" t="s">
        <v>14</v>
      </c>
      <c r="C15" s="1" t="s">
        <v>30</v>
      </c>
      <c r="D15" s="20">
        <v>1</v>
      </c>
      <c r="E15" s="27">
        <f>+ROUND(6954301.2,0)</f>
        <v>6954301</v>
      </c>
      <c r="F15" s="35">
        <f t="shared" si="0"/>
        <v>6954301</v>
      </c>
      <c r="G15" s="34">
        <v>6848933</v>
      </c>
      <c r="H15" s="35">
        <f t="shared" si="1"/>
        <v>6848933</v>
      </c>
      <c r="I15" s="34">
        <f>+ROUND(6718803.273,0)</f>
        <v>6718803</v>
      </c>
      <c r="J15" s="40">
        <f t="shared" si="2"/>
        <v>6718803</v>
      </c>
      <c r="K15" s="44">
        <f t="shared" si="3"/>
        <v>6840679</v>
      </c>
    </row>
    <row r="16" spans="2:11" ht="91" x14ac:dyDescent="0.2">
      <c r="B16" s="11" t="s">
        <v>15</v>
      </c>
      <c r="C16" s="1" t="s">
        <v>31</v>
      </c>
      <c r="D16" s="20">
        <v>1</v>
      </c>
      <c r="E16" s="27">
        <f>+ROUND(50616445.44,0)</f>
        <v>50616445</v>
      </c>
      <c r="F16" s="35">
        <f t="shared" si="0"/>
        <v>50616445</v>
      </c>
      <c r="G16" s="34">
        <v>49849530</v>
      </c>
      <c r="H16" s="35">
        <f t="shared" si="1"/>
        <v>49849530</v>
      </c>
      <c r="I16" s="34">
        <f>+ROUND(49600282.35,0)</f>
        <v>49600282</v>
      </c>
      <c r="J16" s="40">
        <f t="shared" si="2"/>
        <v>49600282</v>
      </c>
      <c r="K16" s="44">
        <f t="shared" si="3"/>
        <v>50022086</v>
      </c>
    </row>
    <row r="17" spans="2:11" ht="78" x14ac:dyDescent="0.2">
      <c r="B17" s="11" t="s">
        <v>16</v>
      </c>
      <c r="C17" s="1" t="s">
        <v>32</v>
      </c>
      <c r="D17" s="20">
        <v>1</v>
      </c>
      <c r="E17" s="27">
        <f>+ROUND(18312597.6,0)</f>
        <v>18312598</v>
      </c>
      <c r="F17" s="35">
        <f t="shared" si="0"/>
        <v>18312598</v>
      </c>
      <c r="G17" s="34">
        <v>18035134</v>
      </c>
      <c r="H17" s="35">
        <f t="shared" si="1"/>
        <v>18035134</v>
      </c>
      <c r="I17" s="34">
        <f>+ROUND(17836747.526,0)</f>
        <v>17836748</v>
      </c>
      <c r="J17" s="40">
        <f t="shared" si="2"/>
        <v>17836748</v>
      </c>
      <c r="K17" s="44">
        <f t="shared" si="3"/>
        <v>18061493</v>
      </c>
    </row>
    <row r="18" spans="2:11" ht="65" x14ac:dyDescent="0.2">
      <c r="B18" s="11" t="s">
        <v>17</v>
      </c>
      <c r="C18" s="1" t="s">
        <v>33</v>
      </c>
      <c r="D18" s="20">
        <v>1</v>
      </c>
      <c r="E18" s="27">
        <f>+ROUND(1162265.28,0)</f>
        <v>1162265</v>
      </c>
      <c r="F18" s="35">
        <f t="shared" si="0"/>
        <v>1162265</v>
      </c>
      <c r="G18" s="34">
        <v>1144655</v>
      </c>
      <c r="H18" s="35">
        <f t="shared" si="1"/>
        <v>1144655</v>
      </c>
      <c r="I18" s="34">
        <f>+ROUND(1140076.38,0)</f>
        <v>1140076</v>
      </c>
      <c r="J18" s="40">
        <f t="shared" si="2"/>
        <v>1140076</v>
      </c>
      <c r="K18" s="44">
        <f t="shared" si="3"/>
        <v>1148999</v>
      </c>
    </row>
    <row r="19" spans="2:11" ht="66" thickBot="1" x14ac:dyDescent="0.25">
      <c r="B19" s="12" t="s">
        <v>18</v>
      </c>
      <c r="C19" s="2" t="s">
        <v>34</v>
      </c>
      <c r="D19" s="21">
        <v>2</v>
      </c>
      <c r="E19" s="28">
        <f>+ROUND(790891.2,0)</f>
        <v>790891</v>
      </c>
      <c r="F19" s="35">
        <f t="shared" si="0"/>
        <v>1581782</v>
      </c>
      <c r="G19" s="36">
        <v>778908</v>
      </c>
      <c r="H19" s="37">
        <f t="shared" si="1"/>
        <v>1557816</v>
      </c>
      <c r="I19" s="34">
        <f>+ROUND(763329.84,0)</f>
        <v>763330</v>
      </c>
      <c r="J19" s="40">
        <f t="shared" si="2"/>
        <v>1526660</v>
      </c>
      <c r="K19" s="44">
        <f>ROUND((F19+H19+J19)/3,0)</f>
        <v>1555419</v>
      </c>
    </row>
    <row r="20" spans="2:11" x14ac:dyDescent="0.2">
      <c r="B20" s="45"/>
      <c r="C20" s="14" t="s">
        <v>35</v>
      </c>
      <c r="D20" s="22"/>
      <c r="E20" s="29"/>
      <c r="F20" s="15">
        <f>+SUM(F5:F19)</f>
        <v>409558024</v>
      </c>
      <c r="G20" s="29"/>
      <c r="H20" s="15">
        <f>+SUM(H5:H19)</f>
        <v>415170781</v>
      </c>
      <c r="I20" s="32"/>
      <c r="J20" s="15">
        <f>+SUM(J5:J19)</f>
        <v>409992774</v>
      </c>
      <c r="K20" s="41">
        <f>+SUM(K5:K19)</f>
        <v>411573859</v>
      </c>
    </row>
    <row r="21" spans="2:11" x14ac:dyDescent="0.2">
      <c r="B21" s="45"/>
      <c r="C21" s="16" t="s">
        <v>36</v>
      </c>
      <c r="D21" s="23"/>
      <c r="E21" s="30"/>
      <c r="F21" s="17">
        <f>+ROUND(F20*0.19,0)</f>
        <v>77816025</v>
      </c>
      <c r="G21" s="30"/>
      <c r="H21" s="17">
        <f>ROUND(H20*0.19,0)</f>
        <v>78882448</v>
      </c>
      <c r="I21" s="33"/>
      <c r="J21" s="17">
        <f>ROUND(J20*0.19,0)</f>
        <v>77898627</v>
      </c>
      <c r="K21" s="33">
        <f>ROUND(K20*0.19,0)</f>
        <v>78199033</v>
      </c>
    </row>
    <row r="22" spans="2:11" ht="20" thickBot="1" x14ac:dyDescent="0.25">
      <c r="B22" s="46"/>
      <c r="C22" s="3" t="s">
        <v>37</v>
      </c>
      <c r="D22" s="24"/>
      <c r="E22" s="31"/>
      <c r="F22" s="38">
        <f>+F21+F20</f>
        <v>487374049</v>
      </c>
      <c r="G22" s="31"/>
      <c r="H22" s="38">
        <f>+H21+H20</f>
        <v>494053229</v>
      </c>
      <c r="I22" s="47"/>
      <c r="J22" s="38">
        <f>+J21+J20</f>
        <v>487891401</v>
      </c>
      <c r="K22" s="39">
        <f>+K21+K20</f>
        <v>489772892</v>
      </c>
    </row>
    <row r="24" spans="2:11" x14ac:dyDescent="0.2">
      <c r="C24" s="13" t="s">
        <v>42</v>
      </c>
    </row>
  </sheetData>
  <mergeCells count="4">
    <mergeCell ref="C2:K2"/>
    <mergeCell ref="E3:F3"/>
    <mergeCell ref="G3:H3"/>
    <mergeCell ref="I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Ingrid Maritza Rey Buitrago</cp:lastModifiedBy>
  <dcterms:created xsi:type="dcterms:W3CDTF">2026-09-16T16:27:03Z</dcterms:created>
  <dcterms:modified xsi:type="dcterms:W3CDTF">2026-10-12T23:45:27Z</dcterms:modified>
</cp:coreProperties>
</file>