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mc:AlternateContent xmlns:mc="http://schemas.openxmlformats.org/markup-compatibility/2006">
    <mc:Choice Requires="x15">
      <x15ac:absPath xmlns:x15ac="http://schemas.microsoft.com/office/spreadsheetml/2010/11/ac" url="/Users/irissemanate/Downloads/"/>
    </mc:Choice>
  </mc:AlternateContent>
  <xr:revisionPtr revIDLastSave="0" documentId="13_ncr:1_{8C7ED0C9-1673-8844-891C-64D384AD2EBB}" xr6:coauthVersionLast="47" xr6:coauthVersionMax="47" xr10:uidLastSave="{00000000-0000-0000-0000-000000000000}"/>
  <bookViews>
    <workbookView xWindow="14060" yWindow="600" windowWidth="14080" windowHeight="17020" xr2:uid="{00000000-000D-0000-FFFF-FFFF00000000}"/>
  </bookViews>
  <sheets>
    <sheet name="PPTO. LIC. MANT. UND." sheetId="1" r:id="rId1"/>
  </sheets>
  <definedNames>
    <definedName name="_xlnm._FilterDatabase" localSheetId="0" hidden="1">'PPTO. LIC. MANT. UND.'!$A$7:$Z$351</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05" i="1" l="1"/>
  <c r="G476" i="1"/>
  <c r="H476" i="1" s="1"/>
  <c r="H473" i="1"/>
  <c r="G473" i="1"/>
  <c r="G472" i="1"/>
  <c r="H472" i="1" s="1"/>
  <c r="G471" i="1"/>
  <c r="H471" i="1" s="1"/>
  <c r="H470" i="1"/>
  <c r="G470" i="1"/>
  <c r="G467" i="1"/>
  <c r="H467" i="1" s="1"/>
  <c r="G466" i="1"/>
  <c r="H466" i="1" s="1"/>
  <c r="H465" i="1"/>
  <c r="G465" i="1"/>
  <c r="G463" i="1"/>
  <c r="H463" i="1" s="1"/>
  <c r="G461" i="1"/>
  <c r="H461" i="1" s="1"/>
  <c r="H460" i="1"/>
  <c r="G460" i="1"/>
  <c r="G459" i="1"/>
  <c r="H459" i="1" s="1"/>
  <c r="G457" i="1"/>
  <c r="H457" i="1" s="1"/>
  <c r="H456" i="1"/>
  <c r="G456" i="1"/>
  <c r="G455" i="1"/>
  <c r="H455" i="1" s="1"/>
  <c r="G453" i="1"/>
  <c r="H453" i="1" s="1"/>
  <c r="H452" i="1"/>
  <c r="G452" i="1"/>
  <c r="G450" i="1"/>
  <c r="H450" i="1" s="1"/>
  <c r="G449" i="1"/>
  <c r="H449" i="1" s="1"/>
  <c r="H448" i="1"/>
  <c r="G448" i="1"/>
  <c r="G447" i="1"/>
  <c r="H447" i="1" s="1"/>
  <c r="G446" i="1"/>
  <c r="H446" i="1" s="1"/>
  <c r="H445" i="1"/>
  <c r="G445" i="1"/>
  <c r="G443" i="1"/>
  <c r="H443" i="1" s="1"/>
  <c r="G442" i="1"/>
  <c r="H442" i="1" s="1"/>
  <c r="H441" i="1"/>
  <c r="G441" i="1"/>
  <c r="G439" i="1"/>
  <c r="H439" i="1" s="1"/>
  <c r="G438" i="1"/>
  <c r="H438" i="1" s="1"/>
  <c r="H437" i="1"/>
  <c r="G437" i="1"/>
  <c r="G435" i="1"/>
  <c r="H435" i="1" s="1"/>
  <c r="G434" i="1"/>
  <c r="H434" i="1" s="1"/>
  <c r="H433" i="1"/>
  <c r="G433" i="1"/>
  <c r="G432" i="1"/>
  <c r="H432" i="1" s="1"/>
  <c r="G431" i="1"/>
  <c r="H431" i="1" s="1"/>
  <c r="H430" i="1"/>
  <c r="G430" i="1"/>
  <c r="G427" i="1"/>
  <c r="H427" i="1" s="1"/>
  <c r="G426" i="1"/>
  <c r="H426" i="1" s="1"/>
  <c r="H425" i="1"/>
  <c r="G425" i="1"/>
  <c r="G424" i="1"/>
  <c r="H424" i="1" s="1"/>
  <c r="G423" i="1"/>
  <c r="H423" i="1" s="1"/>
  <c r="H422" i="1"/>
  <c r="G422" i="1"/>
  <c r="G421" i="1"/>
  <c r="H421" i="1" s="1"/>
  <c r="G420" i="1"/>
  <c r="H420" i="1" s="1"/>
  <c r="H418" i="1"/>
  <c r="G418" i="1"/>
  <c r="G417" i="1"/>
  <c r="H417" i="1" s="1"/>
  <c r="G416" i="1"/>
  <c r="H416" i="1" s="1"/>
  <c r="H415" i="1"/>
  <c r="G415" i="1"/>
  <c r="G414" i="1"/>
  <c r="H414" i="1" s="1"/>
  <c r="G413" i="1"/>
  <c r="H413" i="1" s="1"/>
  <c r="H412" i="1"/>
  <c r="G412" i="1"/>
  <c r="G411" i="1"/>
  <c r="H411" i="1" s="1"/>
  <c r="G410" i="1"/>
  <c r="H410" i="1" s="1"/>
  <c r="H409" i="1"/>
  <c r="G409" i="1"/>
  <c r="G408" i="1"/>
  <c r="H408" i="1" s="1"/>
  <c r="G407" i="1"/>
  <c r="H407" i="1" s="1"/>
  <c r="H406" i="1"/>
  <c r="G406" i="1"/>
  <c r="G401" i="1"/>
  <c r="H401" i="1" s="1"/>
  <c r="G398" i="1"/>
  <c r="H398" i="1" s="1"/>
  <c r="H397" i="1"/>
  <c r="G397" i="1"/>
  <c r="G396" i="1"/>
  <c r="H396" i="1" s="1"/>
  <c r="G395" i="1"/>
  <c r="H395" i="1" s="1"/>
  <c r="H394" i="1"/>
  <c r="G394" i="1"/>
  <c r="G393" i="1"/>
  <c r="H393" i="1" s="1"/>
  <c r="G390" i="1"/>
  <c r="H390" i="1" s="1"/>
  <c r="H389" i="1"/>
  <c r="G389" i="1"/>
  <c r="G388" i="1"/>
  <c r="H388" i="1" s="1"/>
  <c r="G387" i="1"/>
  <c r="H387" i="1" s="1"/>
  <c r="H386" i="1"/>
  <c r="G386" i="1"/>
  <c r="G385" i="1"/>
  <c r="H385" i="1" s="1"/>
  <c r="G384" i="1"/>
  <c r="H384" i="1" s="1"/>
  <c r="H383" i="1"/>
  <c r="G383" i="1"/>
  <c r="G382" i="1"/>
  <c r="H382" i="1" s="1"/>
  <c r="G381" i="1"/>
  <c r="H381" i="1" s="1"/>
  <c r="H380" i="1"/>
  <c r="G380" i="1"/>
  <c r="G379" i="1"/>
  <c r="H379" i="1" s="1"/>
  <c r="G378" i="1"/>
  <c r="H378" i="1" s="1"/>
  <c r="H377" i="1"/>
  <c r="G377" i="1"/>
  <c r="G376" i="1"/>
  <c r="H376" i="1" s="1"/>
  <c r="G375" i="1"/>
  <c r="H375" i="1" s="1"/>
  <c r="H374" i="1"/>
  <c r="G374" i="1"/>
  <c r="G373" i="1"/>
  <c r="H373" i="1" s="1"/>
  <c r="G370" i="1"/>
  <c r="H370" i="1" s="1"/>
  <c r="H369" i="1"/>
  <c r="G369" i="1"/>
  <c r="G368" i="1"/>
  <c r="H368" i="1" s="1"/>
  <c r="G367" i="1"/>
  <c r="H367" i="1" s="1"/>
  <c r="H366" i="1"/>
  <c r="G366" i="1"/>
  <c r="H359" i="1"/>
  <c r="G359" i="1"/>
  <c r="G358" i="1"/>
  <c r="H358" i="1" s="1"/>
  <c r="H357" i="1"/>
  <c r="G357" i="1"/>
  <c r="H356" i="1"/>
  <c r="G356" i="1"/>
  <c r="G353" i="1"/>
  <c r="H353" i="1" s="1"/>
  <c r="H352" i="1"/>
  <c r="G352" i="1"/>
  <c r="H351" i="1"/>
  <c r="G351" i="1"/>
  <c r="G350" i="1"/>
  <c r="H350" i="1" s="1"/>
  <c r="H349" i="1"/>
  <c r="G349" i="1"/>
  <c r="H348" i="1"/>
  <c r="G348" i="1"/>
  <c r="G347" i="1"/>
  <c r="H347" i="1" s="1"/>
  <c r="H346" i="1"/>
  <c r="G346" i="1"/>
  <c r="H345" i="1"/>
  <c r="G345" i="1"/>
  <c r="G344" i="1"/>
  <c r="H344" i="1" s="1"/>
  <c r="H343" i="1"/>
  <c r="G343" i="1"/>
  <c r="H342" i="1"/>
  <c r="G342" i="1"/>
  <c r="G341" i="1"/>
  <c r="H341" i="1" s="1"/>
  <c r="H340" i="1"/>
  <c r="G340" i="1"/>
  <c r="H339" i="1"/>
  <c r="G339" i="1"/>
  <c r="G338" i="1"/>
  <c r="H338" i="1" s="1"/>
  <c r="H337" i="1"/>
  <c r="G337" i="1"/>
  <c r="H336" i="1"/>
  <c r="G336" i="1"/>
  <c r="G335" i="1"/>
  <c r="H335" i="1" s="1"/>
  <c r="H334" i="1"/>
  <c r="G334" i="1"/>
  <c r="H333" i="1"/>
  <c r="G333" i="1"/>
  <c r="G332" i="1"/>
  <c r="H332" i="1" s="1"/>
  <c r="H331" i="1"/>
  <c r="G331" i="1"/>
  <c r="H330" i="1"/>
  <c r="G330" i="1"/>
  <c r="G329" i="1"/>
  <c r="H329" i="1" s="1"/>
  <c r="H328" i="1"/>
  <c r="G328" i="1"/>
  <c r="H327" i="1"/>
  <c r="G327" i="1"/>
  <c r="G326" i="1"/>
  <c r="H326" i="1" s="1"/>
  <c r="H325" i="1"/>
  <c r="G325" i="1"/>
  <c r="H324" i="1"/>
  <c r="G324" i="1"/>
  <c r="G322" i="1"/>
  <c r="H322" i="1" s="1"/>
  <c r="H321" i="1"/>
  <c r="G321" i="1"/>
  <c r="H320" i="1"/>
  <c r="G320" i="1"/>
  <c r="G319" i="1"/>
  <c r="H319" i="1" s="1"/>
  <c r="H318" i="1"/>
  <c r="G318" i="1"/>
  <c r="H317" i="1"/>
  <c r="G317" i="1"/>
  <c r="G316" i="1"/>
  <c r="H316" i="1" s="1"/>
  <c r="H315" i="1"/>
  <c r="G315" i="1"/>
  <c r="H314" i="1"/>
  <c r="G314" i="1"/>
  <c r="G313" i="1"/>
  <c r="H313" i="1" s="1"/>
  <c r="H312" i="1"/>
  <c r="G312" i="1"/>
  <c r="H311" i="1"/>
  <c r="G311" i="1"/>
  <c r="G310" i="1"/>
  <c r="H310" i="1" s="1"/>
  <c r="H309" i="1"/>
  <c r="G309" i="1"/>
  <c r="H308" i="1"/>
  <c r="G308" i="1"/>
  <c r="G307" i="1"/>
  <c r="H307" i="1" s="1"/>
  <c r="H306" i="1"/>
  <c r="G306" i="1"/>
  <c r="H305" i="1"/>
  <c r="G305" i="1"/>
  <c r="G304" i="1"/>
  <c r="H304" i="1" s="1"/>
  <c r="H303" i="1"/>
  <c r="G303" i="1"/>
  <c r="H302" i="1"/>
  <c r="G302" i="1"/>
  <c r="G301" i="1"/>
  <c r="H301" i="1" s="1"/>
  <c r="H300" i="1"/>
  <c r="G300" i="1"/>
  <c r="H299" i="1"/>
  <c r="G299" i="1"/>
  <c r="G298" i="1"/>
  <c r="H298" i="1" s="1"/>
  <c r="H297" i="1"/>
  <c r="G297" i="1"/>
  <c r="H296" i="1"/>
  <c r="G296" i="1"/>
  <c r="G295" i="1"/>
  <c r="H295" i="1" s="1"/>
  <c r="H294" i="1"/>
  <c r="G294" i="1"/>
  <c r="H293" i="1"/>
  <c r="G293" i="1"/>
  <c r="G292" i="1"/>
  <c r="H292" i="1" s="1"/>
  <c r="H291" i="1"/>
  <c r="G291" i="1"/>
  <c r="H290" i="1"/>
  <c r="G290" i="1"/>
  <c r="G289" i="1"/>
  <c r="H289" i="1" s="1"/>
  <c r="H288" i="1"/>
  <c r="G288" i="1"/>
  <c r="H287" i="1"/>
  <c r="G287" i="1"/>
  <c r="G286" i="1"/>
  <c r="H286" i="1" s="1"/>
  <c r="H285" i="1"/>
  <c r="G285" i="1"/>
  <c r="H283" i="1"/>
  <c r="G283" i="1"/>
  <c r="G282" i="1"/>
  <c r="H282" i="1" s="1"/>
  <c r="H279" i="1"/>
  <c r="G279" i="1"/>
  <c r="H278" i="1"/>
  <c r="G278" i="1"/>
  <c r="G277" i="1"/>
  <c r="H277" i="1" s="1"/>
  <c r="H276" i="1"/>
  <c r="G276" i="1"/>
  <c r="H274" i="1"/>
  <c r="G274" i="1"/>
  <c r="G273" i="1"/>
  <c r="H273" i="1" s="1"/>
  <c r="H271" i="1"/>
  <c r="G271" i="1"/>
  <c r="H270" i="1"/>
  <c r="G270" i="1"/>
  <c r="G269" i="1"/>
  <c r="H269" i="1" s="1"/>
  <c r="H267" i="1"/>
  <c r="G267" i="1"/>
  <c r="H266" i="1"/>
  <c r="G266" i="1"/>
  <c r="G264" i="1"/>
  <c r="H264" i="1" s="1"/>
  <c r="H263" i="1"/>
  <c r="G263" i="1"/>
  <c r="H261" i="1"/>
  <c r="G261" i="1"/>
  <c r="G260" i="1"/>
  <c r="H260" i="1" s="1"/>
  <c r="H259" i="1"/>
  <c r="G259" i="1"/>
  <c r="H258" i="1"/>
  <c r="G258" i="1"/>
  <c r="G256" i="1"/>
  <c r="H256" i="1" s="1"/>
  <c r="H255" i="1"/>
  <c r="G255" i="1"/>
  <c r="H254" i="1"/>
  <c r="G254" i="1"/>
  <c r="G253" i="1"/>
  <c r="H253" i="1" s="1"/>
  <c r="H252" i="1"/>
  <c r="G252" i="1"/>
  <c r="H250" i="1"/>
  <c r="G250" i="1"/>
  <c r="G249" i="1"/>
  <c r="H249" i="1" s="1"/>
  <c r="H248" i="1"/>
  <c r="G248" i="1"/>
  <c r="H247" i="1"/>
  <c r="G247" i="1"/>
  <c r="G245" i="1"/>
  <c r="H245" i="1" s="1"/>
  <c r="H243" i="1"/>
  <c r="G243" i="1"/>
  <c r="H242" i="1"/>
  <c r="G242" i="1"/>
  <c r="G241" i="1"/>
  <c r="H241" i="1" s="1"/>
  <c r="H240" i="1"/>
  <c r="G240" i="1"/>
  <c r="H239" i="1"/>
  <c r="G239" i="1"/>
  <c r="G237" i="1"/>
  <c r="H237" i="1" s="1"/>
  <c r="H236" i="1"/>
  <c r="G236" i="1"/>
  <c r="H234" i="1"/>
  <c r="G234" i="1"/>
  <c r="G233" i="1"/>
  <c r="H233" i="1" s="1"/>
  <c r="H232" i="1"/>
  <c r="G232" i="1"/>
  <c r="H230" i="1"/>
  <c r="G230" i="1"/>
  <c r="G228" i="1"/>
  <c r="H228" i="1" s="1"/>
  <c r="H227" i="1"/>
  <c r="G227" i="1"/>
  <c r="H225" i="1"/>
  <c r="G225" i="1"/>
  <c r="G224" i="1"/>
  <c r="H224" i="1" s="1"/>
  <c r="H223" i="1"/>
  <c r="G223" i="1"/>
  <c r="H221" i="1"/>
  <c r="G221" i="1"/>
  <c r="G220" i="1"/>
  <c r="H220" i="1" s="1"/>
  <c r="H219" i="1"/>
  <c r="G219" i="1"/>
  <c r="H218" i="1"/>
  <c r="G218" i="1"/>
  <c r="G217" i="1"/>
  <c r="H217" i="1" s="1"/>
  <c r="H216" i="1"/>
  <c r="G216" i="1"/>
  <c r="H215" i="1"/>
  <c r="G215" i="1"/>
  <c r="G214" i="1"/>
  <c r="H214" i="1" s="1"/>
  <c r="H213" i="1"/>
  <c r="G213" i="1"/>
  <c r="H211" i="1"/>
  <c r="G211" i="1"/>
  <c r="G210" i="1"/>
  <c r="H210" i="1" s="1"/>
  <c r="H209" i="1"/>
  <c r="G209" i="1"/>
  <c r="H207" i="1"/>
  <c r="G207" i="1"/>
  <c r="G206" i="1"/>
  <c r="H206" i="1" s="1"/>
  <c r="H205" i="1"/>
  <c r="G205" i="1"/>
  <c r="H204" i="1"/>
  <c r="G204" i="1"/>
  <c r="G203" i="1"/>
  <c r="H203" i="1" s="1"/>
  <c r="H201" i="1"/>
  <c r="G201" i="1"/>
  <c r="H200" i="1"/>
  <c r="G200" i="1"/>
  <c r="G199" i="1"/>
  <c r="H199" i="1" s="1"/>
  <c r="H198" i="1"/>
  <c r="G198" i="1"/>
  <c r="H196" i="1"/>
  <c r="G196" i="1"/>
  <c r="G194" i="1"/>
  <c r="H194" i="1" s="1"/>
  <c r="H193" i="1"/>
  <c r="G193" i="1"/>
  <c r="H190" i="1"/>
  <c r="G190" i="1"/>
  <c r="G189" i="1"/>
  <c r="H189" i="1" s="1"/>
  <c r="H188" i="1"/>
  <c r="G188" i="1"/>
  <c r="H187" i="1"/>
  <c r="G187" i="1"/>
  <c r="G185" i="1"/>
  <c r="H185" i="1" s="1"/>
  <c r="H183" i="1"/>
  <c r="G183" i="1"/>
  <c r="H182" i="1"/>
  <c r="G182" i="1"/>
  <c r="G181" i="1"/>
  <c r="H181" i="1" s="1"/>
  <c r="H180" i="1"/>
  <c r="G180" i="1"/>
  <c r="H179" i="1"/>
  <c r="G179" i="1"/>
  <c r="G178" i="1"/>
  <c r="H178" i="1" s="1"/>
  <c r="H176" i="1"/>
  <c r="G176" i="1"/>
  <c r="H175" i="1"/>
  <c r="G175" i="1"/>
  <c r="G174" i="1"/>
  <c r="H174" i="1" s="1"/>
  <c r="H173" i="1"/>
  <c r="G173" i="1"/>
  <c r="H171" i="1"/>
  <c r="G171" i="1"/>
  <c r="G170" i="1"/>
  <c r="H170" i="1" s="1"/>
  <c r="H169" i="1"/>
  <c r="G169" i="1"/>
  <c r="H168" i="1"/>
  <c r="G168" i="1"/>
  <c r="G167" i="1"/>
  <c r="H167" i="1" s="1"/>
  <c r="H166" i="1"/>
  <c r="G166" i="1"/>
  <c r="H164" i="1"/>
  <c r="G164" i="1"/>
  <c r="G163" i="1"/>
  <c r="H163" i="1" s="1"/>
  <c r="H162" i="1"/>
  <c r="G162" i="1"/>
  <c r="H161" i="1"/>
  <c r="G161" i="1"/>
  <c r="G160" i="1"/>
  <c r="H160" i="1" s="1"/>
  <c r="H159" i="1"/>
  <c r="G159" i="1"/>
  <c r="H158" i="1"/>
  <c r="G158" i="1"/>
  <c r="G157" i="1"/>
  <c r="H157" i="1" s="1"/>
  <c r="H155" i="1"/>
  <c r="G155" i="1"/>
  <c r="H154" i="1"/>
  <c r="G154" i="1"/>
  <c r="G153" i="1"/>
  <c r="H153" i="1" s="1"/>
  <c r="H152" i="1"/>
  <c r="G152" i="1"/>
  <c r="H151" i="1"/>
  <c r="G151" i="1"/>
  <c r="G150" i="1"/>
  <c r="H150" i="1" s="1"/>
  <c r="H149" i="1"/>
  <c r="G149" i="1"/>
  <c r="H148" i="1"/>
  <c r="G148" i="1"/>
  <c r="G146" i="1"/>
  <c r="H146" i="1" s="1"/>
  <c r="H145" i="1"/>
  <c r="G145" i="1"/>
  <c r="H144" i="1"/>
  <c r="G144" i="1"/>
  <c r="G143" i="1"/>
  <c r="H143" i="1" s="1"/>
  <c r="H141" i="1"/>
  <c r="G141" i="1"/>
  <c r="H140" i="1"/>
  <c r="G140" i="1"/>
  <c r="G138" i="1"/>
  <c r="H138" i="1" s="1"/>
  <c r="H137" i="1"/>
  <c r="G137" i="1"/>
  <c r="H136" i="1"/>
  <c r="G136" i="1"/>
  <c r="G134" i="1"/>
  <c r="H134" i="1" s="1"/>
  <c r="H133" i="1"/>
  <c r="G133" i="1"/>
  <c r="H132" i="1"/>
  <c r="G132" i="1"/>
  <c r="G131" i="1"/>
  <c r="H131" i="1" s="1"/>
  <c r="G130" i="1"/>
  <c r="H130" i="1" s="1"/>
  <c r="H129" i="1"/>
  <c r="G129" i="1"/>
  <c r="G128" i="1"/>
  <c r="H128" i="1" s="1"/>
  <c r="G127" i="1"/>
  <c r="H127" i="1" s="1"/>
  <c r="H126" i="1"/>
  <c r="G126" i="1"/>
  <c r="G125" i="1"/>
  <c r="H125" i="1" s="1"/>
  <c r="G124" i="1"/>
  <c r="H124" i="1" s="1"/>
  <c r="H123" i="1"/>
  <c r="G123" i="1"/>
  <c r="G122" i="1"/>
  <c r="H122" i="1" s="1"/>
  <c r="G121" i="1"/>
  <c r="H121" i="1" s="1"/>
  <c r="H120" i="1"/>
  <c r="G120" i="1"/>
  <c r="G119" i="1"/>
  <c r="H119" i="1" s="1"/>
  <c r="G118" i="1"/>
  <c r="H118" i="1" s="1"/>
  <c r="H116" i="1"/>
  <c r="G116" i="1"/>
  <c r="G114" i="1"/>
  <c r="H114" i="1" s="1"/>
  <c r="G113" i="1"/>
  <c r="H113" i="1" s="1"/>
  <c r="H112" i="1"/>
  <c r="G112" i="1"/>
  <c r="G111" i="1"/>
  <c r="H111" i="1" s="1"/>
  <c r="G109" i="1"/>
  <c r="H109" i="1" s="1"/>
  <c r="H107" i="1"/>
  <c r="G107" i="1"/>
  <c r="G106" i="1"/>
  <c r="H106" i="1" s="1"/>
  <c r="G105" i="1"/>
  <c r="H105" i="1" s="1"/>
  <c r="H103" i="1"/>
  <c r="G103" i="1"/>
  <c r="G102" i="1"/>
  <c r="H102" i="1" s="1"/>
  <c r="G101" i="1"/>
  <c r="H101" i="1" s="1"/>
  <c r="H99" i="1"/>
  <c r="G99" i="1"/>
  <c r="G98" i="1"/>
  <c r="H98" i="1" s="1"/>
  <c r="G97" i="1"/>
  <c r="H97" i="1" s="1"/>
  <c r="H96" i="1"/>
  <c r="G96" i="1"/>
  <c r="G95" i="1"/>
  <c r="H95" i="1" s="1"/>
  <c r="G94" i="1"/>
  <c r="H94" i="1" s="1"/>
  <c r="H93" i="1"/>
  <c r="G93" i="1"/>
  <c r="G91" i="1"/>
  <c r="H91" i="1" s="1"/>
  <c r="G90" i="1"/>
  <c r="H90" i="1" s="1"/>
  <c r="H89" i="1"/>
  <c r="G89" i="1"/>
  <c r="G88" i="1"/>
  <c r="H88" i="1" s="1"/>
  <c r="G87" i="1"/>
  <c r="H87" i="1" s="1"/>
  <c r="H86" i="1"/>
  <c r="G86" i="1"/>
  <c r="G85" i="1"/>
  <c r="H85" i="1" s="1"/>
  <c r="G84" i="1"/>
  <c r="H84" i="1" s="1"/>
  <c r="H82" i="1"/>
  <c r="G82" i="1"/>
  <c r="G81" i="1"/>
  <c r="H81" i="1" s="1"/>
  <c r="G80" i="1"/>
  <c r="H80" i="1" s="1"/>
  <c r="H79" i="1"/>
  <c r="G79" i="1"/>
  <c r="G78" i="1"/>
  <c r="H78" i="1" s="1"/>
  <c r="G77" i="1"/>
  <c r="H77" i="1" s="1"/>
  <c r="H76" i="1"/>
  <c r="G76" i="1"/>
  <c r="G74" i="1"/>
  <c r="H74" i="1" s="1"/>
  <c r="G72" i="1"/>
  <c r="H72" i="1" s="1"/>
  <c r="H71" i="1"/>
  <c r="G71" i="1"/>
  <c r="G70" i="1"/>
  <c r="H70" i="1" s="1"/>
  <c r="G69" i="1"/>
  <c r="H69" i="1" s="1"/>
  <c r="F69" i="1"/>
  <c r="G68" i="1"/>
  <c r="H68" i="1" s="1"/>
  <c r="H66" i="1"/>
  <c r="G66" i="1"/>
  <c r="H64" i="1"/>
  <c r="G64" i="1"/>
  <c r="G62" i="1"/>
  <c r="H62" i="1" s="1"/>
  <c r="H61" i="1"/>
  <c r="G61" i="1"/>
  <c r="H60" i="1"/>
  <c r="G60" i="1"/>
  <c r="G59" i="1"/>
  <c r="H59" i="1" s="1"/>
  <c r="H58" i="1"/>
  <c r="G58" i="1"/>
  <c r="H56" i="1"/>
  <c r="G56" i="1"/>
  <c r="G55" i="1"/>
  <c r="H55" i="1" s="1"/>
  <c r="H54" i="1"/>
  <c r="G54" i="1"/>
  <c r="H53" i="1"/>
  <c r="G53" i="1"/>
  <c r="G52" i="1"/>
  <c r="H52" i="1" s="1"/>
  <c r="H50" i="1"/>
  <c r="G50" i="1"/>
  <c r="H49" i="1"/>
  <c r="G49" i="1"/>
  <c r="G48" i="1"/>
  <c r="H48" i="1" s="1"/>
  <c r="H47" i="1"/>
  <c r="G47" i="1"/>
  <c r="H46" i="1"/>
  <c r="G46" i="1"/>
  <c r="G45" i="1"/>
  <c r="H45" i="1" s="1"/>
  <c r="H44" i="1"/>
  <c r="G44" i="1"/>
  <c r="H42" i="1"/>
  <c r="G42" i="1"/>
  <c r="G41" i="1"/>
  <c r="H41" i="1" s="1"/>
  <c r="H40" i="1"/>
  <c r="G40" i="1"/>
  <c r="H39" i="1"/>
  <c r="G39" i="1"/>
  <c r="G38" i="1"/>
  <c r="H38" i="1" s="1"/>
  <c r="H37" i="1"/>
  <c r="G37" i="1"/>
  <c r="H35" i="1"/>
  <c r="G35" i="1"/>
  <c r="G34" i="1"/>
  <c r="H34" i="1" s="1"/>
  <c r="H33" i="1"/>
  <c r="G33" i="1"/>
  <c r="H32" i="1"/>
  <c r="G32" i="1"/>
  <c r="G31" i="1"/>
  <c r="H31" i="1" s="1"/>
  <c r="H30" i="1"/>
  <c r="G30" i="1"/>
  <c r="H29" i="1"/>
  <c r="G29" i="1"/>
  <c r="G28" i="1"/>
  <c r="H28" i="1" s="1"/>
  <c r="H27" i="1"/>
  <c r="G27" i="1"/>
  <c r="H25" i="1"/>
  <c r="G25" i="1"/>
  <c r="G24" i="1"/>
  <c r="H24" i="1" s="1"/>
  <c r="H23" i="1"/>
  <c r="G23" i="1"/>
  <c r="H22" i="1"/>
  <c r="G22" i="1"/>
  <c r="G21" i="1"/>
  <c r="H21" i="1" s="1"/>
  <c r="H20" i="1"/>
  <c r="G20" i="1"/>
  <c r="H19" i="1"/>
  <c r="G19" i="1"/>
  <c r="G18" i="1"/>
  <c r="H18" i="1" s="1"/>
  <c r="H17" i="1"/>
  <c r="G17" i="1"/>
  <c r="H16" i="1"/>
  <c r="G16" i="1"/>
  <c r="G15" i="1"/>
  <c r="H15" i="1" s="1"/>
  <c r="H14" i="1"/>
  <c r="G14" i="1"/>
  <c r="H13" i="1"/>
  <c r="G13" i="1"/>
  <c r="G11" i="1"/>
  <c r="H11" i="1" s="1"/>
  <c r="H10" i="1"/>
  <c r="G10" i="1"/>
  <c r="H402" i="1" l="1"/>
  <c r="H480" i="1" s="1"/>
  <c r="H360" i="1"/>
  <c r="H477" i="1"/>
  <c r="H481" i="1" s="1"/>
  <c r="H479" i="1" l="1"/>
  <c r="H483" i="1"/>
  <c r="H485" i="1" l="1"/>
  <c r="H484" i="1"/>
  <c r="H486" i="1" s="1"/>
  <c r="H487" i="1" s="1"/>
</calcChain>
</file>

<file path=xl/sharedStrings.xml><?xml version="1.0" encoding="utf-8"?>
<sst xmlns="http://schemas.openxmlformats.org/spreadsheetml/2006/main" count="1243" uniqueCount="565">
  <si>
    <t>MUNICIPIO SANTIAGO DE CALI</t>
  </si>
  <si>
    <t>SECRETARÍA DEL DEPORTE Y LA RECREACION</t>
  </si>
  <si>
    <t>OBJETO: REALIZAR EL MANTENIMIENTO, MEJORAMIENTO DE LA INFRAESTRUCTURA PARA LAS UNIDADES DEPORTIVAS DE ALTO RENDIMIENTO DEL DISTRITO ESPECIAL, DEPORTIVO, CULTURAL, TURÍSTICO, EMPRESARIAL Y DE SERVICIOS DE SANTIAGO DE CALI.</t>
  </si>
  <si>
    <t>FRENTE 1: UNIDAD DEPORTIVA JORGE HERRERA BARONA</t>
  </si>
  <si>
    <t>COD</t>
  </si>
  <si>
    <t>CAP</t>
  </si>
  <si>
    <t>DESCRIPCION</t>
  </si>
  <si>
    <t>UND.</t>
  </si>
  <si>
    <t>CANT.</t>
  </si>
  <si>
    <t>VALOR UNIT.</t>
  </si>
  <si>
    <t>VALOR TOTAL</t>
  </si>
  <si>
    <t>ESCENARIO 1: COLISEO EVANGELISTA MORA</t>
  </si>
  <si>
    <t>PRELIMINARES</t>
  </si>
  <si>
    <t>100102</t>
  </si>
  <si>
    <t>CAMPAMENTO TABLA 9 M2</t>
  </si>
  <si>
    <t>UND</t>
  </si>
  <si>
    <t>100142</t>
  </si>
  <si>
    <t>VALLA INFORMATIVA EN LONA (BANNER) DE OBRA 70CMX100CM CON OJALETE PARA OBRAS  DE 101 A 200 SMMLV</t>
  </si>
  <si>
    <t>CUBIERTA Y DRENAJE PLUVIAL — CANALES Y BAJANTES</t>
  </si>
  <si>
    <t>100527</t>
  </si>
  <si>
    <t>DESMONTE CANALES - BAJANTES</t>
  </si>
  <si>
    <t>M</t>
  </si>
  <si>
    <t>100607</t>
  </si>
  <si>
    <t>CARGUE MATERIAL MANUAL</t>
  </si>
  <si>
    <t>M3</t>
  </si>
  <si>
    <t>100622</t>
  </si>
  <si>
    <t>RETIRO DE SALDOS EN SITIO</t>
  </si>
  <si>
    <t>100629</t>
  </si>
  <si>
    <t>RETIRO TIERRA Y ESCOMBROS, DISPOSICIÓN EN SITIO AUTORIZADO CERTIFICADO (INCL. FACTOR DE EXPANSIÓN)-KM</t>
  </si>
  <si>
    <t>M3-KM</t>
  </si>
  <si>
    <t>181223</t>
  </si>
  <si>
    <t>CANAL LAMINA GALVANIZADA CAL.18, DESARROLLO 80 CM, ABRAZADERA ÁNGULO 1"X1"X1/8" CADA MT, PINTURA ESMALTE</t>
  </si>
  <si>
    <t>181016</t>
  </si>
  <si>
    <t>UNION ESQUINA CANAL AMAZONAS PVC</t>
  </si>
  <si>
    <t xml:space="preserve">CARGUE MATERIAL MANUAL </t>
  </si>
  <si>
    <t xml:space="preserve">RETIRO DE SALDOS EN SITIO </t>
  </si>
  <si>
    <t>250610</t>
  </si>
  <si>
    <t>REJILLA SOSCO 4"X3" ALUMINIO"</t>
  </si>
  <si>
    <t>150202</t>
  </si>
  <si>
    <t>BAJANTE AGUAS LLUVIAS PVC 4</t>
  </si>
  <si>
    <t>150352</t>
  </si>
  <si>
    <t>CODO SANITARIO PVC 45 CE-4"</t>
  </si>
  <si>
    <t>IMPERMEABILIZACIÓN LOSAS DE ACCESO</t>
  </si>
  <si>
    <t>310105</t>
  </si>
  <si>
    <t>LIMPIEZA GENERAL</t>
  </si>
  <si>
    <t>M2</t>
  </si>
  <si>
    <t>100418</t>
  </si>
  <si>
    <t>RETIRO MANTO IMPERM.-BREA-ALQUITRAN-XX</t>
  </si>
  <si>
    <t>190302</t>
  </si>
  <si>
    <t>PEND.IMPERMEAB.LOSA 6 A 10 CM MORT 1:2</t>
  </si>
  <si>
    <t>180310</t>
  </si>
  <si>
    <t>IMPERM.MANTO METAL PRO 3MM T=10CM - 10M2</t>
  </si>
  <si>
    <t>321005</t>
  </si>
  <si>
    <t>SELLANTE ELASTOMERICO-POLIURETANO</t>
  </si>
  <si>
    <t>180307</t>
  </si>
  <si>
    <t>IMPERM. MANTO P3 PRO 3 MM</t>
  </si>
  <si>
    <t>CANCHA AUXILIAR — DESMONTE CUBIERTA FIBROCEMENTO E INSTALACIÓN CUBIERTA TERMOACÚSTICA</t>
  </si>
  <si>
    <t>100505</t>
  </si>
  <si>
    <t>DESMONTE CUBIERTA FIBRO CEMENTO</t>
  </si>
  <si>
    <t>180824</t>
  </si>
  <si>
    <t>TEJA GALVANIZADA TRAPEZOIDAL CAL.30 PINTADA</t>
  </si>
  <si>
    <t>CANCHA AUXILIAR — CERRAMIENTO MALLA ESLABONADA</t>
  </si>
  <si>
    <t>310116</t>
  </si>
  <si>
    <t>LIMPIEZA - ASEO MALLA ESLABONADA</t>
  </si>
  <si>
    <t>100514</t>
  </si>
  <si>
    <t>DESMONTE MALLA ESLABONADA H=2.0 MT</t>
  </si>
  <si>
    <t>301204</t>
  </si>
  <si>
    <t>MALLA ESLABONADA GALV # 12 ROMBO 2"</t>
  </si>
  <si>
    <t>290415</t>
  </si>
  <si>
    <t>ESMALTE MALLA ESLABONADA 2,1/2"-2"</t>
  </si>
  <si>
    <t>CÁRCAMOS Y SISTEMA DE DRENAJE</t>
  </si>
  <si>
    <t>310120</t>
  </si>
  <si>
    <t>LIMPIEZA CANAL EN CONCRETO PISO ANCHO 30 CM</t>
  </si>
  <si>
    <t>200175</t>
  </si>
  <si>
    <t>TAPA CARCAMO ADOQUIN TIPO I 20x12x5 CM</t>
  </si>
  <si>
    <t>FACHADA GENERAL — PAÑETE Y PINTURA</t>
  </si>
  <si>
    <t>290115</t>
  </si>
  <si>
    <t xml:space="preserve">RASQUETEADA-LIJADA-RESANE </t>
  </si>
  <si>
    <t>190909</t>
  </si>
  <si>
    <t xml:space="preserve">RESANE REPELLO MURO 1:3 </t>
  </si>
  <si>
    <t>290110</t>
  </si>
  <si>
    <t>ESTUCO PLASTICO MURO [PASTA]</t>
  </si>
  <si>
    <t>290303</t>
  </si>
  <si>
    <t>VINILO MURO TIPO 1 [2M]</t>
  </si>
  <si>
    <t>310109</t>
  </si>
  <si>
    <t>LIMPIEZA LAVADO SUPERFICIE</t>
  </si>
  <si>
    <t>MOBILIARIO URBANO EXTERIOR</t>
  </si>
  <si>
    <t>280406</t>
  </si>
  <si>
    <t>BANCA CONCRETO PREF. L=140 CM. A=56 CM. H=78 CM.</t>
  </si>
  <si>
    <t>ARBORIZACIÓN Y PODA</t>
  </si>
  <si>
    <t>300237</t>
  </si>
  <si>
    <t>PODA MANUAL DE ARBOL</t>
  </si>
  <si>
    <t>CANCHA AUXILIAR — MADERAMEN DEPORTIVO</t>
  </si>
  <si>
    <t>REPARACIÓN DE MADERAMEM DESAJUSTADO</t>
  </si>
  <si>
    <t xml:space="preserve">LIJADO Y EMPAREJADO DEL MADERAMEN </t>
  </si>
  <si>
    <t xml:space="preserve">SELLADA DEL MADERAMEN </t>
  </si>
  <si>
    <t xml:space="preserve">DEMARCACIÓN Y PINTURA DE COLOR  SOBRE MADERAMEM </t>
  </si>
  <si>
    <t xml:space="preserve">ACABADO CON LACA CERTIFICADA SOBRE MADERAMEM </t>
  </si>
  <si>
    <t>CANCHA AUXILIAR — GRADERÍA DE ALUMINIO</t>
  </si>
  <si>
    <t>280404</t>
  </si>
  <si>
    <t>SUMINISTRO E INSTALACION DE GRADERIAS 100% EN ALUMINIO (ACABADO NATURAL) DE 3 FILAS POR 5,80 METROS DE LARGO, NO ELEVADA, CAPACIDAD UN MODULO: 40 PERSONAS).INCLUYE ANCLAJE A LA GRADERIA.</t>
  </si>
  <si>
    <t>CIELO FALSO — COLISEO</t>
  </si>
  <si>
    <t>ESTRUCTURA SOPORTE CIELO FALSO — PERFILERÍA GALVANIZADA + SUSPENSORES TIPO OMEGA</t>
  </si>
  <si>
    <t>240448</t>
  </si>
  <si>
    <t>PLACA DE FIBROCEMENTO ETERBOARD 2.44x1.22x8mm</t>
  </si>
  <si>
    <t>310115</t>
  </si>
  <si>
    <t>LIMPIEZA SUPERFICIE INTERNA HORIZONTAL</t>
  </si>
  <si>
    <t>190906</t>
  </si>
  <si>
    <t>RESANE REPELLO CIELO 1:3</t>
  </si>
  <si>
    <t>290106</t>
  </si>
  <si>
    <t>ESTUCO PLASTICO CIELO [PASTA]</t>
  </si>
  <si>
    <t>290310</t>
  </si>
  <si>
    <t>VINILO CIELO TIPO 3 [2M]</t>
  </si>
  <si>
    <t>PINTURA ESTRUCTURAL — COLUMNAS Y VIGAS COLISEO</t>
  </si>
  <si>
    <t>RASQUETEADA-LIJADA-RESANE</t>
  </si>
  <si>
    <t>RESANE REPELLO MURO 1:3</t>
  </si>
  <si>
    <t>CARPINTERÍA EN VIDRIO TEMPLADO</t>
  </si>
  <si>
    <t>MANTENIMIENTO Y REPLOMADO PUERTAS VIDRIO TEMPLADO — AJUSTE BISAGRAS, REALINEACIÓN MARCO, CAMBIO SELLOS Y SILICONA (INCLUYE AMORTIGUADORES DE CIERRE)</t>
  </si>
  <si>
    <t xml:space="preserve">SUMINISTRO E INSTALACIÓN PUERTA SENCILLA VIDRIO TEMPLADO 10MM 2,10M×0,90M CON HERRAJES ACERO INOX </t>
  </si>
  <si>
    <t>100528</t>
  </si>
  <si>
    <t>DESMONTE VENTANA - LUCETA EXISTENTE</t>
  </si>
  <si>
    <t>260134</t>
  </si>
  <si>
    <t>VIDRIO TRANSPARENTE 6 MM.</t>
  </si>
  <si>
    <t>PUERTAS METÁLICAS — MANTENIMIENTO Y PINTURA</t>
  </si>
  <si>
    <t>290708</t>
  </si>
  <si>
    <t>ANTICORROSIVA SOBRE LAMINA LLENA</t>
  </si>
  <si>
    <t>290444</t>
  </si>
  <si>
    <t>PINTURA ESTRUC METALICA ESMALTE 3 EN 1 (2M) MATE (CERCHAS, CORREAS, TENSORES, COLUMNAS, CARTELAS, ETC). INCL.  ANDAMIOS Y PERS CERTIF TRAB ALTURA.  MEDIDA: M2 CUB HORIZ</t>
  </si>
  <si>
    <t>ESTRUCTURA METÁLICA — ANTICORROSIVO Y PINTURA</t>
  </si>
  <si>
    <t>CANCHA MÚLTIPLE — DEMARCACIÓN DEPORTIVA</t>
  </si>
  <si>
    <t>290436</t>
  </si>
  <si>
    <t>ESMALTE LINEA DEMARCACION</t>
  </si>
  <si>
    <t>DEMOLICIÓN MURO EN MAMPOSTERÍA</t>
  </si>
  <si>
    <t>100314</t>
  </si>
  <si>
    <t>DEMOLICION MURO LAD. SOGA</t>
  </si>
  <si>
    <t>ELÉCTRICO — SALIDAS TOMACORRIENTE</t>
  </si>
  <si>
    <t>170722</t>
  </si>
  <si>
    <t>SAL TOMA 120 PVC</t>
  </si>
  <si>
    <t>ILUMINACIÓN — COLISEO (CANCHAS / PASILLOS-CAMERINOS / EMERGENCIA)</t>
  </si>
  <si>
    <t>061211</t>
  </si>
  <si>
    <t>DESMONTE DE LUMINARIAS</t>
  </si>
  <si>
    <t>060750</t>
  </si>
  <si>
    <t>LUMINARIA LED HIGHBAY 200W 3CCT</t>
  </si>
  <si>
    <t>170656</t>
  </si>
  <si>
    <t>BALA PANEL LED 18W</t>
  </si>
  <si>
    <t>170409</t>
  </si>
  <si>
    <t>SAL LAMP CON APLIQUE OVALADO LUZ LED NEGRO ALUMINIO</t>
  </si>
  <si>
    <t>LUMINARIA DE EMERGENCIA LED AUTÓNOMA BATERÍA LI-ION ≥90MIN NTC2050</t>
  </si>
  <si>
    <t>SEÑALÉTICA</t>
  </si>
  <si>
    <t>080708</t>
  </si>
  <si>
    <t>SEÑALÉTICA PINTADA DIRECTAMENTE EN MURO — NUMERACIÓN SECTORES, INGRESOS Y SALIDAS (PINTURA ESMALTE RESISTENTE APLICADA CON PLANTILLA)</t>
  </si>
  <si>
    <t>080701</t>
  </si>
  <si>
    <t>SEÑALÉTICA EN ACRÍLICO IMPRESO UV — INFORMACIÓN INSTITUCIONAL, MAPAS EVACUACIÓN Y NORMATIVIDAD (INCLUYE INSTALACIÓN CON SEPARADORES)</t>
  </si>
  <si>
    <t>080709</t>
  </si>
  <si>
    <t>SUMINISTRO E INSTALACIÓN SEÑAL DE EMERGENCIA FOTOLUMINISCENTE (SALIDA, EVACUACIÓN, PUNTO DE ENCUENTRO, RUTA DE EVACUACIÓN) — INCLUYE FIJACIÓN MECÁNICA</t>
  </si>
  <si>
    <t>PISOS INTERNOS — MANTENIMIENTO</t>
  </si>
  <si>
    <t>190549</t>
  </si>
  <si>
    <t>FRAGUA DE ENCHAPE EXISTENTE MUROS/PISOS</t>
  </si>
  <si>
    <t>MANTENIMIENTO PREVENTIVO PISOS INTERNOS (LIMPIEZA PROFUNDA, SELLADO Y PROTECCIÓN ANTIDESLIZANTE)</t>
  </si>
  <si>
    <t>BAÑOS — DEMOLICIÓN ENCHAPE EXISTENTE</t>
  </si>
  <si>
    <t>100305</t>
  </si>
  <si>
    <t>DEMOLICION ENCHAPE CERAMICO</t>
  </si>
  <si>
    <t>BAÑOS — ENCHAPE Y PISOS NUEVOS</t>
  </si>
  <si>
    <t>310103</t>
  </si>
  <si>
    <t>LIMPIEZA ENCHAPE CERAMICO</t>
  </si>
  <si>
    <t>ADHESIVO FLEXIBLE PARA SISTEMA LIVIANO — FIJACIÓN ENCHAPE MUROS</t>
  </si>
  <si>
    <t>190542</t>
  </si>
  <si>
    <t>ENCHAPE CERAMICA 20X20 -1 CALIDAD, INCLUYE FRAGUA</t>
  </si>
  <si>
    <t>200241</t>
  </si>
  <si>
    <t>SUMINISTRO INSTALACION DE PISO CERÁMICO ANTIDESLIZANTE FORMATO 60CM * 60CM, ESPESOR 8MM APROXIMADAMENTE, PESO NETO 24KG EL METRO CUADRADO, COEFICIENTE DE FRICCIÓN INTERIOR HÚMEDO MAYOR O IGUAL A 0,42 WET, DILATACIÓN EN JUNTAS DE 3MM, FRAGUA EN COLOR GRIS OSCURO, ACABADO SATIN CON APARIENCIA MARMOLADA COLOR GRIS OSCURO. PENDIENTE DEL 1%</t>
  </si>
  <si>
    <t>320704</t>
  </si>
  <si>
    <t>RECUBRIMIENTO EPOXICO DE COLORES ASEPTIC (SUMINSTR
O)</t>
  </si>
  <si>
    <t>BAÑOS — APARATOS SANITARIOS</t>
  </si>
  <si>
    <t>250453</t>
  </si>
  <si>
    <t>SUMINISTRO E INSTALACION DE ORINAL DE ENTRADA SUPERIOR DE COLGAR</t>
  </si>
  <si>
    <t>240318</t>
  </si>
  <si>
    <t>DIVISION BAÑO A.INOX ORINAL 96X46CM</t>
  </si>
  <si>
    <t>100555</t>
  </si>
  <si>
    <t>DESMONTE GRIFO LAVAMANOS PUSH PARED - ANTIVANDAL</t>
  </si>
  <si>
    <t>250454</t>
  </si>
  <si>
    <t>SUMINISTRO E INSTALACION DE LAVAMANOS REDONDO U OVALADO DE EMPOTRAR CERAMICO</t>
  </si>
  <si>
    <t>BAÑOS — GRIFERÍA Y ACCESORIOS</t>
  </si>
  <si>
    <t>250525</t>
  </si>
  <si>
    <t>GRIFO SENCILLO LAVAPLATOS LINEA MEDIA</t>
  </si>
  <si>
    <t>260202</t>
  </si>
  <si>
    <t>ESPEJO CLARO DE 4 MM.</t>
  </si>
  <si>
    <t>250110</t>
  </si>
  <si>
    <t>INCRUSTACION TOALLERO BARRA CROMO</t>
  </si>
  <si>
    <t>251105</t>
  </si>
  <si>
    <t>DISP PAPEL HIGIENICO A.INOX EMPOTRAR 2RL</t>
  </si>
  <si>
    <t>251113</t>
  </si>
  <si>
    <t>SUMINISTRO E INSTALACION DE JABONERA DE PARED PUSH DE 1000 ML APROXIMADAMENTE</t>
  </si>
  <si>
    <t>BAÑOS — REDES HIDROSANITARIAS</t>
  </si>
  <si>
    <t>160505</t>
  </si>
  <si>
    <t>TUBERIA PVC ,1/2"</t>
  </si>
  <si>
    <t>160506</t>
  </si>
  <si>
    <t>TUBERIA PVC ,3/4"</t>
  </si>
  <si>
    <t>160801</t>
  </si>
  <si>
    <t>PUNTO AGUA FRIA PVC  1/2"</t>
  </si>
  <si>
    <t>PUNTO</t>
  </si>
  <si>
    <t>150506</t>
  </si>
  <si>
    <t>PUNTO SANITARIO PVC 4"</t>
  </si>
  <si>
    <t>BAÑOS — ILUMINACIÓN Y ELÉCTRICO</t>
  </si>
  <si>
    <t>170659</t>
  </si>
  <si>
    <t>BALA PANEL LED 24W</t>
  </si>
  <si>
    <t>170727</t>
  </si>
  <si>
    <t>SAL TOMA 220 PVC - CON TOMA GFCI</t>
  </si>
  <si>
    <t>VARIOS</t>
  </si>
  <si>
    <t>100146</t>
  </si>
  <si>
    <t>ALQUILER BAÑO MOVIL (2 MANTENIMIENTOS A LA SEMANA)</t>
  </si>
  <si>
    <t>UND/MES</t>
  </si>
  <si>
    <t>410301</t>
  </si>
  <si>
    <t>EXTINTOR ABC 10 LB</t>
  </si>
  <si>
    <t>500304</t>
  </si>
  <si>
    <t>IMPLEMENTACION Y EJECUCION DE MEDIDAS DE SEGURIDAD, SALUD EN EL TRABAJO Y MANEJO AMBIENTAL EN FRENTES DE OBRA INVICALI DESEPAZ</t>
  </si>
  <si>
    <t>010119</t>
  </si>
  <si>
    <t>MANEJO DE RESIDUOS SOLIDOS (CERTIFICACION DE DISPOSICIÓN FINAL DE ESCOMBROS Y SOBRANTES)</t>
  </si>
  <si>
    <t>ESCENARIO 2: ESTADIO OLÍMPICO PASCUAL GUERRERO</t>
  </si>
  <si>
    <t>CUBIERTA — LONA: REPARACIÓN DE RASGADURAS Y ORIFICIOS</t>
  </si>
  <si>
    <t>REPARACIÓN RASGADURAS Y ORIFICIOS LONA DE CUBIERTA — PARCHES CON RETAZOS DE LONA PROVENIENTES DEL ALMACÉN DEL COLISEO - TRABAJO EN ALTURAS: INCLUYE ANDAMIOS Y PROTOCOLO NSR-10</t>
  </si>
  <si>
    <t>CUBIERTA — SELLADO DE JUNTAS Y LUCETAS PLATAFORMA SUR</t>
  </si>
  <si>
    <t>SISTEMA CORTAGOTERAS REDONDO EN PVC/ALUMINIO</t>
  </si>
  <si>
    <t>310113</t>
  </si>
  <si>
    <t>LIMPIEZA CANAL METALICA DLLO. 51-100CM</t>
  </si>
  <si>
    <t>321003</t>
  </si>
  <si>
    <t>SELLADOR ELASTICO (JUNTA 1 X 1 CM)</t>
  </si>
  <si>
    <t>BANCAS DE JUGADORES — CUBIERTA EN POLICARBONATO</t>
  </si>
  <si>
    <t>100504</t>
  </si>
  <si>
    <t>DESMONTE CUBIERTA ACRILICO-POLICARBONATO</t>
  </si>
  <si>
    <t>180919</t>
  </si>
  <si>
    <t>LAMINA POLICARBONATO ALVEOLAR 10MM</t>
  </si>
  <si>
    <t>PMU — CARPINTERÍA METÁLICA: ESCOTILLA Y VENTILACIÓN</t>
  </si>
  <si>
    <t>310114</t>
  </si>
  <si>
    <t>LIMPIEZA SUPERFICIE INTERNA VERTICAL</t>
  </si>
  <si>
    <t>REJILLA DE VENTILACIÓN METÁLICA CON MARCO Y MALLA ANTI-INSECTOS</t>
  </si>
  <si>
    <t>SUMINISTRO E INSTALACIÓN ESCOTILLA DE ACCESO METÁLICA CON CERRADURA DE SEGURIDAD</t>
  </si>
  <si>
    <t>FACHADAS — PAÑETE Y PINTURA MUROS Y COLUMNAS</t>
  </si>
  <si>
    <t>BARANDAS METÁLICAS — ANTICORROSIVO Y ESMALTE</t>
  </si>
  <si>
    <t>290410</t>
  </si>
  <si>
    <t>ANTICORROSIVO SOBRE LAMINA LINEAL</t>
  </si>
  <si>
    <t>ML</t>
  </si>
  <si>
    <t>290401</t>
  </si>
  <si>
    <t>ESMALTE BARANDA TUBO 2-3 LINEAS+PARALES</t>
  </si>
  <si>
    <t>ESCALERAS DE EMERGENCIA — PINTURA DE TRÁFICO</t>
  </si>
  <si>
    <t>291205</t>
  </si>
  <si>
    <t>RECUBRIMIENTO PINTURA TRAFICO</t>
  </si>
  <si>
    <t>GRADERÍAS — SISTEMA DE DRENAJE</t>
  </si>
  <si>
    <t>250803</t>
  </si>
  <si>
    <t>DESTAPONAR SIFON SANITARIO</t>
  </si>
  <si>
    <t>ESTRUCTURAS METÁLICAS INTERNAS — ANTICORROSIVO Y PINTURA</t>
  </si>
  <si>
    <t>UAR — MUROS Y RECUBRIMIENTO EPÓXICO</t>
  </si>
  <si>
    <t>UAR — PUERTAS METÁLICAS</t>
  </si>
  <si>
    <t>100537</t>
  </si>
  <si>
    <t>DESMONTE  NAVE METALICA EXISTENTE</t>
  </si>
  <si>
    <t>220326</t>
  </si>
  <si>
    <t>PUERTA DOBLE METALICA DE 2,20, M DE ANCHO Y 2,13 M  DE ALTO, CON VERTICALES Y HORIZONTALES EN ANGULO DE 1"X1/8" Y MALLA ONDULADA GALVANIZADA HUECO 2", CALIBRE 10.5, ANTICORROSIVO Y PINTURA SINTETICA MATE RAL 9005</t>
  </si>
  <si>
    <t>UAR — MALLA ANTIRROEDORES</t>
  </si>
  <si>
    <t>SUMINISTRO E INSTALACIÓN MALLA GALVANIZADA ANTIRROEDORES CAL,16 ROMBO 1/2"</t>
  </si>
  <si>
    <t>BAÑOS — DEMOLICIÓN CIELO FALSO</t>
  </si>
  <si>
    <t>100543</t>
  </si>
  <si>
    <t>DESMONTE CIELO FALSO PANEL + ESTRUCTURA</t>
  </si>
  <si>
    <t>BAÑOS — CIELO FALSO NUEVO</t>
  </si>
  <si>
    <t>BAÑOS — DEMOLICIÓN LUMINARIAS</t>
  </si>
  <si>
    <t>ADECUACIÓN Y REINSTALACIÓN CIRCUITO ELÉCTRICO — PUNTO DE ILUMINACIÓN NUEVA</t>
  </si>
  <si>
    <t>BAÑOS — ENCHAPE Y SANITARIOS</t>
  </si>
  <si>
    <t>SEÑALÉTICA GENERAL</t>
  </si>
  <si>
    <t>080702</t>
  </si>
  <si>
    <t>SEÑAL VINILO PLOTEADO SOBRE ALUMINIO COMPUESTO 3MM 60X40CM (SUMINISTRO TALLER)</t>
  </si>
  <si>
    <t>080707</t>
  </si>
  <si>
    <t>SEÑALÉTICA INFORMATIVA E INSTITUCIONAL — UAR (IMPRESIÓN UV SOBRE VINILO PLOTEADO ALTA RESOLUCIÓN, CON INSTALACIÓN)</t>
  </si>
  <si>
    <t>ESCENARIO 3: PISCINAS ALBERTO GALINDO</t>
  </si>
  <si>
    <t>SUMINISTRO PARA INSTALACIÓN DE BOMBAS</t>
  </si>
  <si>
    <t>TUBERIA PVC ALTA PRESION 6" RDE 21 EL</t>
  </si>
  <si>
    <t>160519</t>
  </si>
  <si>
    <t>TUBERIA PVC ALTA PRESION 4" RDE 21</t>
  </si>
  <si>
    <t>TEE PRESION SCH80 D: 6 PULG</t>
  </si>
  <si>
    <t>TEE PRESION SCH80 D: 4 PULG</t>
  </si>
  <si>
    <t>CODO 90° PVC-P SCH 80 D: 4 PULG</t>
  </si>
  <si>
    <t>CODO 90° PVC-P SCH 80 D: 6 PULG</t>
  </si>
  <si>
    <t>UNIONES UNIVERSALES PVC-P 4 PULG</t>
  </si>
  <si>
    <t>160160</t>
  </si>
  <si>
    <t>UNIVERSAL PVC 2"</t>
  </si>
  <si>
    <t>165404</t>
  </si>
  <si>
    <t>UNION REP PVC 4" RDE 13 5</t>
  </si>
  <si>
    <t>165408</t>
  </si>
  <si>
    <t>UNION REP PVC 6" RDE 21</t>
  </si>
  <si>
    <t>160143</t>
  </si>
  <si>
    <t>UNION PRESION PVC 2"</t>
  </si>
  <si>
    <t>BUJE SOLDADO SCH 80 D: 4 X 2</t>
  </si>
  <si>
    <t>160510</t>
  </si>
  <si>
    <t>TUBERIA PVC 2" RDE 21 - 200 PSI</t>
  </si>
  <si>
    <t>VALVULA DE 4 PULG EN PVC TIPO MARIPOSA TIPO WAFER</t>
  </si>
  <si>
    <t>VALVULA DE 6 PULG EN PVC TIPO MARIPOSA TIPO WAFER</t>
  </si>
  <si>
    <t>160191</t>
  </si>
  <si>
    <t>BRIDAS PVC</t>
  </si>
  <si>
    <t>160904</t>
  </si>
  <si>
    <t>PAQUETE DE TORNILLERIA INOXIDABLE Y EMPAQUE NEOPRENO</t>
  </si>
  <si>
    <t>030316</t>
  </si>
  <si>
    <t>MANTENIMIENTO CORRECTIVO SISTEMA DE BOMBEO PISCINA 50M (3 MOTOBOMBAS 15HP) — DESMONTE, MONTAJE, RODAMIENTOS, ACEITE, SELLOS, BARNIZADO BOBINAS, FLOTADORES E INFORME TÉCNICO</t>
  </si>
  <si>
    <t>173219</t>
  </si>
  <si>
    <t>GRAPA TIPO PERA EN ACERO GALVANIZADO 6 PULG</t>
  </si>
  <si>
    <t>180171</t>
  </si>
  <si>
    <t>VARILLA ROSCADA DE 3/8 ZINCADA</t>
  </si>
  <si>
    <t>131128</t>
  </si>
  <si>
    <t>CHAZO METALICO DE EXPANSIÓN</t>
  </si>
  <si>
    <t>160192</t>
  </si>
  <si>
    <t>TORNILLERIA DE AJUSTE</t>
  </si>
  <si>
    <t>160667</t>
  </si>
  <si>
    <t>VALVULA ANTIATRAPAMIENTO PISCINA</t>
  </si>
  <si>
    <t>321017</t>
  </si>
  <si>
    <t>REPARACIÓN DE EMBOQUILLADO TUBERÍA DE SUCCIÓN 4" EN TANQUE DE EQUILIBRIO (MORTERO IMPERMEABLE Y RESINA EPÓXICA SUBACUÁTICA)</t>
  </si>
  <si>
    <t>080115</t>
  </si>
  <si>
    <t>EXCAVACIÓN A MANO CON SISTEMA DE ATRAQUE</t>
  </si>
  <si>
    <t>100605</t>
  </si>
  <si>
    <t>RELLENO MATERIAL SITIO MANUAL</t>
  </si>
  <si>
    <t>120212</t>
  </si>
  <si>
    <t>ZAPATA CONCRETO 3000 PSI 210 MPA</t>
  </si>
  <si>
    <t>100215</t>
  </si>
  <si>
    <t>DEMOLICION VIGA CANAL</t>
  </si>
  <si>
    <t>100319</t>
  </si>
  <si>
    <t>DEMOLICION REPELLO</t>
  </si>
  <si>
    <t>100224</t>
  </si>
  <si>
    <t>DEMOLICION RECUBRIMIENTO CONCRETO</t>
  </si>
  <si>
    <t>220380</t>
  </si>
  <si>
    <t>IMPERMEABILIZACIÓN MORTERO CEMENTOSO BICOMPONENTE ALTA ELONGACIÓN</t>
  </si>
  <si>
    <t>030210</t>
  </si>
  <si>
    <t>SUMINISTRO MOTOBOMBA EQ SERIES EQKT-1500, MOTOR TEFC 15HP TRIFÁSICO, SUCCIÓN 6"-DESCARGA 4", MATERIAL NORYL, TRAMPA DE CABELLOS, CERT, NSF/UL/RETIE, PENTAIR</t>
  </si>
  <si>
    <t>030211</t>
  </si>
  <si>
    <t>SUMINISTRO MOTOBOMBA EQ SERIES EQKT-750, MOTOR TEFC 7,5HP TRIFÁSICO, SUCCIÓN 6"-DESCARGA 4", MATERIAL NORYL, TRAMPA DE CABELLOS, CERT, NSF/UL/RETIE, PENTAIR</t>
  </si>
  <si>
    <t>080110</t>
  </si>
  <si>
    <t>RELLENO MATERIAL SITIO COMPACTADO 90% PM</t>
  </si>
  <si>
    <t>CAPA PROTECTORA EN NEOPRENO O PLÁSTICO GRUESO PARA TUBERÍA DE SUCCIÓN</t>
  </si>
  <si>
    <t>MANTENIMIENTO DE EDIFICIO DE BAÑOS — UDAG</t>
  </si>
  <si>
    <t>290826</t>
  </si>
  <si>
    <t>ACCESORIO MEDIACAÑA PVC 1 1/2"</t>
  </si>
  <si>
    <t>150357</t>
  </si>
  <si>
    <t>SIFON CON REJILLA DE PISO PLANA DE 4X3 CON SOSCO, ANTIOLOR-ANTICUCARACHAS EN ACERO INOXIDABLE.</t>
  </si>
  <si>
    <t>140229</t>
  </si>
  <si>
    <t>MURO LADRILLO TIZON SUCIO</t>
  </si>
  <si>
    <t>240309</t>
  </si>
  <si>
    <t>DIVISION METALICA BAÑO L.ACERO INOX C.18</t>
  </si>
  <si>
    <t>250522</t>
  </si>
  <si>
    <t>MEZCLADOR DUCHA LINEA MEDIA</t>
  </si>
  <si>
    <t>160712</t>
  </si>
  <si>
    <t>MANIJA LLAVE DE PASO</t>
  </si>
  <si>
    <t>100407</t>
  </si>
  <si>
    <t>DEMOLICION PISO ENCHAPE-BALDOSA+MORTERO</t>
  </si>
  <si>
    <t>200804</t>
  </si>
  <si>
    <t>GUARDAESCOBA MORTERO 1/2 CAÑA</t>
  </si>
  <si>
    <t>250427</t>
  </si>
  <si>
    <t>SANITARIO LINEA MEDIA DS</t>
  </si>
  <si>
    <t>190708</t>
  </si>
  <si>
    <t>GRANITO PULIDO MESON+FALDON</t>
  </si>
  <si>
    <t>173003</t>
  </si>
  <si>
    <t>TUBERIA EMT 3/4"</t>
  </si>
  <si>
    <t>SUBTOTAL FRENTE 1</t>
  </si>
  <si>
    <t>FRENTE 2: UNIDAD DEPORTIVA JORGE HERRERA BARONA</t>
  </si>
  <si>
    <t>MANTENIMIENTO SISTEMAS DE BOMBEO</t>
  </si>
  <si>
    <t>COT-001</t>
  </si>
  <si>
    <t xml:space="preserve">Mantenimiento preventivo, eléctrico y mecánico del sistema de bombeo de Agua Potable ubicado, compuesto por 3 motobombas centrifugas de 3 HP marca IHM,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</si>
  <si>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COT-002</t>
  </si>
  <si>
    <t>Lavado y desinfección de UN (1) tanque de almacenamiento de agua potable, capacidad de 8 M3, SEGÚN DECRETO 1575 DE 2007,</t>
  </si>
  <si>
    <t>COT-003</t>
  </si>
  <si>
    <t>Válvula tipo flota mecánica en acero inoxidable completo con accesorios de instalación (en caso de ser necesario)</t>
  </si>
  <si>
    <t>COT-004</t>
  </si>
  <si>
    <t>Análisis físico-químicos y microbiológicos de calidad de agua a realizar una antes del lavado; y la otra de 1 a 3 días después de realizado el trabajo; los parámetros a medir son los definidos en la Resolución Nº, 4145,0,21,0382 (21 de noviembre de 2014) -NOTA: EL LABORATORIO DEBE ESTAR AUTORIZADO POR EL MINISTERIO DE SALUD Y LA PROTECCION SOCIAL MEDIANTE RESOLUCION 229/2024,</t>
  </si>
  <si>
    <t>COT-005</t>
  </si>
  <si>
    <t>Mantenimiento eléctrico de tablero eléctrico y acometida para la Estación de bombeo para el suministro de agua potable. Incluye: limpieza, ajustes, cambio de arrancadores, controles de protección y sistema de automatización, cuando sea necesario.</t>
  </si>
  <si>
    <t>COT-006</t>
  </si>
  <si>
    <t xml:space="preserve">Realizar el Mantenimiento preventivo eléctrico y mecánico de la Estación de bombeo aguas lluvias No.1 - Ala Norte - Dos (2) bombas tipo aguas negras de 2 HP, 230 Voltios, 60 htz, en operación automática y aditiva,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</si>
  <si>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COT-007</t>
  </si>
  <si>
    <t xml:space="preserve">Realizar el Mantenimiento preventivo eléctrico y mecánico de la Estación de bombeo aguas lluvias No.2 - Ala Sur - Dos (2) bombas tipo aguas negras de 2 HP, 230 Voltios, 60 htz, en operación automática y aditiva,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</si>
  <si>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COT-008</t>
  </si>
  <si>
    <t xml:space="preserve">Realizar el Mantenimiento preventivo eléctrico de tablero eléctrico, arranque automático y acometida para la Estación de bombeo aguas lluvias No.1 - Ala Norte, incluye M.O, materiales y equipos </t>
  </si>
  <si>
    <t>COT-009</t>
  </si>
  <si>
    <t xml:space="preserve">Realizar el Mantenimiento preventivo eléctrico de tablero eléctrico, arranque automático y acometida para la Estación de bombeo aguas lluvias No. 2 - Ala Sur. incluye M.O, materiales y equipos </t>
  </si>
  <si>
    <t>COT-010</t>
  </si>
  <si>
    <t>Realizar el Mantenimiento CORRECTIVO mediante el Embobinado y demás actividades necesarias para su correcto funcionamiento, de dos motores de los sistemas de bombeo del escenario (norte / sur). incluye M.O, materiales y equipos. Informe de visita de inspección y diagnóstico inicial. Incluye desmonte, montaje de equipos e instalación de accesorios y entrega del respectivo informe técnico del mantenimiento con las evidencias. (en caso de ser necesario)</t>
  </si>
  <si>
    <t>COT-011</t>
  </si>
  <si>
    <t xml:space="preserve">Realizar el Mantenimiento preventivo eléctrico y mecánico de la Estación de bombeo de agua potable - Tribuna Occidental. Consistente en 1 equipo de presión con variador de velocidad de 3 motobombas de 10 HP.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</si>
  <si>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COT-012</t>
  </si>
  <si>
    <t xml:space="preserve">Realizar el Mantenimiento preventivo eléctrico y mecánico de la Estación de bombeo de agua potable - Tribuna Oriental. Consistente en 1 equipo de presión con variador de velocidad de 3 motobombas 10 HP.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</si>
  <si>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COT-013</t>
  </si>
  <si>
    <t>Realizar mantenimiento preventivo mediante la Limpieza y desinfección de UN (1) Tanque de almacenamiento de agua potable de la Estación de bombeo de agua potable - Tribuna Occidental. Capacidad: 32 M3.  incluye M.O, materiales y equipos. SEGÚN DECRETO 1575 DE 2007.</t>
  </si>
  <si>
    <t>COT-014</t>
  </si>
  <si>
    <t>Realizar mantenimiento preventivo mediante la Limpieza y desinfección de UN (1) Tanque de almacenamiento de agua potable de la Estación de bombeo de agua potable - Tribuna Oriental. Capacidad: 55 M3.  incluye M.O, materiales y equipos. SEGÚN DECRETO 1575 DE 2007.</t>
  </si>
  <si>
    <t>COT-015</t>
  </si>
  <si>
    <t>Realizar Análisis físico-químicos y microbiológicos de calidad de agua a realizar una antes del lavado; y la otra de 1 a 3 días después de realizado el trabajo; los parámetros a medir son los definidos en la Resolución Nº. 4145.0.21.0382 (21 de noviembre de 2014). -NOTA: EL LABORATORIO DEBE ESTAR AUTORIZADO POR EL MINISTERIO DE SALUD Y LA PROTECCION SOCIAL MEDIANTE RESOLUCION 229/2024.</t>
  </si>
  <si>
    <t>COT-016</t>
  </si>
  <si>
    <t xml:space="preserve">Realizar el Mantenimiento preventivo eléctrico y mecánico de dos motobombas de 3hp ubicadas en el Evangelista Mora, en operación automática y aditiva,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</si>
  <si>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COT-017</t>
  </si>
  <si>
    <t xml:space="preserve">Realizar el Mantenimiento preventivo eléctrico y mecánico motobomba de Riego de 15 hp - para el sistema de riego del Pascual Guerrero,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</si>
  <si>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COT-018</t>
  </si>
  <si>
    <t xml:space="preserve">Mantenimiento eléctrico de tablero eléctrico, arranque automático y acometida para sistema de riego, incluye M.O, materiales y equipos. </t>
  </si>
  <si>
    <t>COT-019</t>
  </si>
  <si>
    <t xml:space="preserve">Realizar el Mantenimiento preventivo eléctrico de tablero eléctrico, del sistema de abastecimiento al sistema de riego ubicado en el Evangelista Mora (2 motobombas de 3hp y bomba sumergible tipo lapicero de 3hp), incluye M.O, materiales y equipos. </t>
  </si>
  <si>
    <t>COT-020</t>
  </si>
  <si>
    <t xml:space="preserve">Realizar Mantenimiento preventivo eléctrico y mecánico de la Estación de bombeo de agua potable -PALCOS (ORIENTAL). Consistente en 1 equipo de presión con variador de velocidad de 3 motobombas (2 de 5,5 HP y 1 de 3 HP),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</si>
  <si>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COT-021</t>
  </si>
  <si>
    <t xml:space="preserve">Realizar Mantenimiento eléctrico de tablero eléctrico, arranque automático y acometida para la Estación de bombeo de agua potable - PALCOS (ORIENTAL), incluye M.O, materiales y equipos. </t>
  </si>
  <si>
    <t>COT-022</t>
  </si>
  <si>
    <t>Realizar Limpieza y desinfección de un (1) Tanque de almacenamiento de agua potable del Sistema de bombeo de agua potable. SEGÚN DECRETO 1575 DE 2007.</t>
  </si>
  <si>
    <t>COT-023</t>
  </si>
  <si>
    <t>Análisis físico-químicos y microbiológicos de calidad de agua a realizar una antes del lavado; y la otra de 1 a 3 días después de realizado el trabajo; los parámetros a medir son los definidos en la Resolución Nº. 4145.0.21.0382 (21 de noviembre de 2014). -NOTA: EL LABORATORIO DEBE ESTAR AUTORIZADO POR EL MINISTERIO DE SALUD Y LA PROTECCION SOCIAL MEDIANTE RESOLUCION 229/2024.</t>
  </si>
  <si>
    <t>COT-024</t>
  </si>
  <si>
    <t>Mantenimiento Correctivo eléctrico y mecánico en caso de ser necesario, que consiste en reparación total del sistema de bombeo de Agua Potable compuesto por 3 motobombas centrifugas de 3 HP Marca Pedrollo, Incluye el cambio de flotadores del sistema de encendido automático, piezas hidráulicas, mecánicas y eléctricas que presenten fallas, Para el desarrollo de esta actividad se requiere el Informe de inspección y diagnóstico inicial debidamente firmado por el ingeniero mecánico ó electromecánico, Incluye desmonte, montaje de equipos e instalación de accesorios y entrega del respectivo informe técnico del mantenimiento con las evidencias,</t>
  </si>
  <si>
    <t>COT-025</t>
  </si>
  <si>
    <t xml:space="preserve">Mantenimiento preventivo, eléctrico y mecánico del sistema de bombeo de Agua Potable ubicado, compuesto por 3 motobombas centrifugas de 3 HP Marca Pedrollo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</si>
  <si>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COT-026</t>
  </si>
  <si>
    <t>COT-027</t>
  </si>
  <si>
    <t>COT-028</t>
  </si>
  <si>
    <t>COT-029</t>
  </si>
  <si>
    <t>Mantenimiento eléctrico de tablero eléctrico y acometida para El sistema de tratamiento de agua de piscina. Incluye: limpieza, ajustes, cambio de arrancadores, controles de protección y sistema de automatización, cuando sea necesario.</t>
  </si>
  <si>
    <t>1.07</t>
  </si>
  <si>
    <t>FONDO FIJO (MONTO AGOTABLE)</t>
  </si>
  <si>
    <t>COT-030</t>
  </si>
  <si>
    <t>Reposición de piezas o partes y otros requeridos para el funcionamiento de las estaciones de bombeo. NOTAS: 1) Este es un valor fijo para todos los proponentes, estimado por la entidad, para garantizar igualdad entre los proponentes. 2) Esta partida presupuestal se ejecutará conforme con lo definido en los anexos técnicos, previa aprobación del Supervisor sobre la cantidad y valor unitario de todos los repuestos. 3) Este valor fijo e inmodificable, funciona como un fondo agotable, en el cual el contratista deberá presentar los debidos soportes debidamente aprobados por el supervisor y/o interventor del contrato, los soportes deben quedar detallados en cada acta de pago del contrato. La  mano de obra para instalar estos  elementos está dentro de los costos de mantenimientos preventivos y correctivos establecidos en el presupuesto.</t>
  </si>
  <si>
    <t>SUBTOTAL FRENTE 2</t>
  </si>
  <si>
    <t>FRENTE 3: UNIDAD DEPORTIVA ALBERTO GALINDO</t>
  </si>
  <si>
    <t>1.1</t>
  </si>
  <si>
    <t>ESCENARIO 4: VELÓDROMO ALCIDES NIETO PATIÑO</t>
  </si>
  <si>
    <t>COT-031</t>
  </si>
  <si>
    <t xml:space="preserve">ESTACION # 1 AGUAS RESIDUALES INTERIOR: Mantenimiento preventivo, eléctrico y mecánico del sistema de bombeo de aguas residuales interno, compuesto por 2 motobombas sumergibles de 2HP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</si>
  <si>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COT-032</t>
  </si>
  <si>
    <t xml:space="preserve">ESTACION #2 AGUAS LLUVIAS SECTOR ESCALADA: Mantenimiento preventivo, eléctrico y mecánico del sistema de bombeo de aguas lluvias de salida hacia la Cra. 52, compuesto por 2 motobombas sumergibles de 2HP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</si>
  <si>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COT-033</t>
  </si>
  <si>
    <t xml:space="preserve">ESTACION #3 AGUAS LLUVIAS EXTERIOR CRA. 55: Mantenimiento preventivo, eléctrico y mecánico del sistema de bombeo de aguas residuales exterior, compuesto por 2 motobombas sumergibles de 2HP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</si>
  <si>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COT-034</t>
  </si>
  <si>
    <t xml:space="preserve">ESTACION #4 AGUAS RESIDUALES DOMESTICAS SECTOR BMX-PATINODROMO:  Mantenimiento preventivo, eléctrico y mecánico del sistema de bombeo de aguas lluvias ubicado en la rampa de descargue del escenario, compuesto por 2 motobombas sumergibles de 2HP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</si>
  <si>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COT-035</t>
  </si>
  <si>
    <t xml:space="preserve">Limpieza de (1) cámara de achique de la ESTACION #1 AGUAS RESIDUALES INTERIOR, incluye desmonte y montaje de bomba. Consiste en el retiro del material flotante y de material sedimentado acumulado y puesta en marcha de equipos de bombeo y controles de encendido. </t>
  </si>
  <si>
    <t>COT-036</t>
  </si>
  <si>
    <t xml:space="preserve">Limpieza de (1) cámara de achique de la ESTACION #2 AGUAS LLUVIAS SECTOR ESCALADA, incluye desmonte y montaje de bomba. Consiste en el retiro del material flotante y de material sedimentado acumulado y puesta en marcha de equipos de bombeo y controles de encendido. </t>
  </si>
  <si>
    <t>COT-037</t>
  </si>
  <si>
    <t xml:space="preserve">Limpieza de (2) cámaras de achique de la ESTACION #3 AGUAS LLUVIAS EXTERIOR CRA. 55, incluye desmonte y montaje de bomba. Consiste en el retiro del material flotante y de material sedimentado acumulado y puesta en marcha de equipos de bombeo y controles de encendido. </t>
  </si>
  <si>
    <t>COT-038</t>
  </si>
  <si>
    <t xml:space="preserve">Limpieza de (1) cámara de achique de la ESTACION #4 AGUAS RESIDUALES DOMESTICAS SECTOR BMX-PATINODROMO, incluye desmonte y montaje de bomba. Consiste en el retiro del material flotante y de material sedimentado acumulado y puesta en marcha de equipos de bombeo y controles de encendido. </t>
  </si>
  <si>
    <t>COT-039</t>
  </si>
  <si>
    <t>Mantenimiento de tablero eléctrico y acometida para estación de bombeo #1. Incluye: limpieza, ajustes, cambio de arrancadores, controles de protección y sistema de automatización, cuando sea necesario</t>
  </si>
  <si>
    <t>COT-040</t>
  </si>
  <si>
    <t>Mantenimiento de tablero eléctrico y acometida para estación de bombeo #2. Incluye: limpieza, ajustes, cambio de arrancadores, controles de protección y sistema de automatización, cuando sea necesario</t>
  </si>
  <si>
    <t>COT-041</t>
  </si>
  <si>
    <t>Mantenimiento de tablero eléctrico y acometida para estación de bombeo #3. Incluye: limpieza, ajustes, cambio de arrancadores, controles de protección y sistema de automatización, cuando sea necesario</t>
  </si>
  <si>
    <t>COT-042</t>
  </si>
  <si>
    <t>Mantenimiento de tablero eléctrico y acometida para estación de bombeo #4. Incluye: limpieza, ajustes, cambio de arrancadores, controles de protección y sistema de automatización, cuando sea necesario</t>
  </si>
  <si>
    <t>COT-043</t>
  </si>
  <si>
    <t xml:space="preserve">Retiro de tapa de concreto sellada y su posterior instalación y sellado con concreto </t>
  </si>
  <si>
    <t>1.2</t>
  </si>
  <si>
    <t>ESCENARIO 5: COLISEO EL PUEBLO</t>
  </si>
  <si>
    <t>COT-044</t>
  </si>
  <si>
    <t xml:space="preserve">ESTACION # 1 Mantenimiento preventivo, eléctrico y mecánico sistema de bombeo de aguas de nivel freático compuesto por 2 motobombas de 2 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</si>
  <si>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COT-045</t>
  </si>
  <si>
    <t xml:space="preserve">ESTACION #2 Mantenimiento preventivo, eléctrico y mecánico del del sistema de bombeo de aguas residuales compuesto por 2 motobombas de 3 HP trituradoras.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</si>
  <si>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COT-046</t>
  </si>
  <si>
    <t xml:space="preserve">ESTACION #4 Mantenimiento preventivo, eléctrico y mecánico del sistema de bombeo de aguas lluvias compuesto por 2 motobombas de 10 HP sumergibles trituradoras.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</si>
  <si>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COT-047</t>
  </si>
  <si>
    <t>Servicio especializado con equipo vactor (Limpieza y Succión) Transporte de residuos desde de recolección a planta de tratamiento (Disposición Final Certificada) para limpieza de tanque de agua negra, lluvia y red de drenaje interno sanitario</t>
  </si>
  <si>
    <t>COT-048</t>
  </si>
  <si>
    <t xml:space="preserve">Limpieza de UN (1) tanque de depósito de aguas lluvias y (UN) tanque de depósito de nivel freático. Consiste en el retiro del material flotante y de material sedimentado acumulado. Incluye retiro de escombros fuera del escenario y depósito en botadero autorizado en caso de ser necesario; puesta en marcha de equipos de bombeo y controles de encendido. </t>
  </si>
  <si>
    <t>COT-049</t>
  </si>
  <si>
    <t>Mantenimiento eléctrico de tablero eléctrico y acometida para el sistema de bombeo de la Estación #1. Incluye: limpieza, ajustes, cambio de arrancadores, controles de protección y sistema de automatización, cuando sea necesario</t>
  </si>
  <si>
    <t>COT-050</t>
  </si>
  <si>
    <t>Mantenimiento eléctrico de tablero eléctrico y acometida para el sistema de bombeo de la Estación #2. Incluye: limpieza, ajustes, cambio de arrancadores, controles de protección y sistema de automatización, cuando sea necesario</t>
  </si>
  <si>
    <t>COT-051</t>
  </si>
  <si>
    <t>Mantenimiento eléctrico de tablero eléctrico y acometida para el sistema de bombeo de la Estación #4. Incluye: Incluye: limpieza, ajustes, cambio de arrancadores, controles de protección y sistema de automatización, cuando sea necesario</t>
  </si>
  <si>
    <t xml:space="preserve">FRENTE 4: UNIDAD DEPORTIVA JAIME APARICIO </t>
  </si>
  <si>
    <t>1.3</t>
  </si>
  <si>
    <t>ESCENARIO 6: COLISEO DE HOCKEY</t>
  </si>
  <si>
    <t>COT-052</t>
  </si>
  <si>
    <t xml:space="preserve">Mantenimiento preventivo, eléctrico y mecánico de la estación de bombeo para el suministro de agua potable compuesto por dos (2) motobombas de 1 HP Pedrollo DG ped 3 con variador de presión, conforme a manual de uso del equipo.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</si>
  <si>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COT-053</t>
  </si>
  <si>
    <t>Mantenimiento eléctrico de tablero eléctrico y acometida para el sistema de suministro de agua potable. Incluye: limpieza, ajustes, cambio de arrancadores, controles de protección y sistema de automatización, cuando sea necesario</t>
  </si>
  <si>
    <t>COT-054</t>
  </si>
  <si>
    <t>Lavado y desinfección de UN (1) tanque de almacenamiento de agua potable, capacidad de 25 M3. SEGÚN DECRETO 1575 DE 2007.</t>
  </si>
  <si>
    <t>COT-055</t>
  </si>
  <si>
    <t>Análisis físico-químicos y microbiológicos de calidad de agua a realizar una antes del lavado; y la otra de 1 a 3 días después de realizado el trabajo; los parámetros a medir son los definidos en la Resolución Nº. 4145.0.21.0382 (21 de noviembre de 2014) -NOTA: EL LABORATORIO DEBE ESTAR AUTORIZADO POR EL MINISTERIO DE SALUD Y LA PROTECCION SOCIAL MEDIANTE RESOLUCION 229/2024.</t>
  </si>
  <si>
    <t>COT-056</t>
  </si>
  <si>
    <t>COT-057</t>
  </si>
  <si>
    <t>Cambio de componentes hidráulicos que hacen parte de los puntos de descarga de los equipos Sanitarios (Fluxómetros tipo Push para: inodoro lavamanos, duchas y orinal)</t>
  </si>
  <si>
    <t>1.4</t>
  </si>
  <si>
    <t>ESCENARIO 7: DIAMANTE DE SOFTBOL</t>
  </si>
  <si>
    <t>COT-058</t>
  </si>
  <si>
    <t>COT-059</t>
  </si>
  <si>
    <t>COT-060</t>
  </si>
  <si>
    <t xml:space="preserve">Limpieza de dos cámaras de achique. Consiste en el retiro del material flotante y de material sedimentado acumulado y puesta en marcha de equipos de bombeo y controles de encendido. </t>
  </si>
  <si>
    <t>1.5</t>
  </si>
  <si>
    <t>ESCENARIO 8: LIGA VALLECAUCANA DE TENNIS</t>
  </si>
  <si>
    <t>COT-061</t>
  </si>
  <si>
    <t>Mantenimiento correctivo, eléctrico y mecánico en caso de ser necesario, que consiste en reparación total de la estación de bombeo de agua subterránea y sistema de riego, compuesto por dos (2) motobomba de 6,6 HP, 1 motobomba de tipo "lapicero" de 3 hp, ajustes requeridos al sistema de presión constante.  Incluye el cambio de flotadores del sistema de encendido automático, piezas hidráulicas, mecánicas y eléctricas que presenten fallas. Para el desarrollo de esta actividad se requiere el Informe de inspección y diagnóstico inicial debidamente firmado por el ingeniero mecánico ó electromecánico. Incluye desmonte, montaje de equipos e instalación de accesorios y entrega del respectivo informe técnico del mantenimiento con las evidencias.</t>
  </si>
  <si>
    <t>COT-062</t>
  </si>
  <si>
    <t xml:space="preserve">Mantenimiento preventivo, eléctrico y mecánico de la estación de bombeo para el suministro de agua subterránea para el riego de los campos de juego, compuesto por dos (2) motobombas de 6,6 HP y una (1) motobomba del tipo "lapicero", y ajustes requeridos al sistema de presión constante. Incluye el cambio de rodamientos, cambio de aceite, cambio de sellos, barnizado de bobinas.  Incluye desmonte, montaje de equipos. Incluye el cambio de rodamientos, cambio de aceite, cambio de sellos, barnizado de bobinas, cambio de flotadores para su correcto funcionamiento y entrega del respectivo informe técnico del mantenimiento con las evidencias. </t>
  </si>
  <si>
    <t>COT-063</t>
  </si>
  <si>
    <t>Mantenimiento eléctrico de tablero eléctrico y acometida para la Estación de bombeo para el funcionamiento del sistema de bombeo de agua subterránea y sistema de riego: limpieza, ajustes, cambio de arrancadores, controles de protección y sistema de automatización, cuando sea necesario.</t>
  </si>
  <si>
    <t>1.6</t>
  </si>
  <si>
    <t>ESCENARIO 9: LIGA DE ATLETISMO</t>
  </si>
  <si>
    <t>COT-064</t>
  </si>
  <si>
    <t xml:space="preserve">Mantenimiento preventivo, eléctrico y mecánico del sistema de bombeo de aguas de agua potable, compuesto por 2 motobombas de 3HP cada una.  Incluye el cambio de rodamientos, cambio de aceite, cambio de sellos, barnizado de bobinas, cambio de flotadores para su correcto funcionamiento.  Incluye desmonte, montaje de equipos. Incluye el cambio de rodamientos, cambio de aceite, cambio de sellos, barnizado de bobinas, cambio de flotadores para su correcto funcionamiento y entrega del respectivo informe técnico del mantenimiento con las evidencias. </t>
  </si>
  <si>
    <t>COT-065</t>
  </si>
  <si>
    <t>Mantenimiento eléctrico de tablero eléctrico y acometida para la Estación de bombeo para el suministro de agua potable. Incluye: limpieza, ajustes, cambio de arrancadores, controles de protección y sistema de automatización, cuando sea necesario. Incluye la regulación y calibración de los arranques de las motobombas.</t>
  </si>
  <si>
    <t>COT-066</t>
  </si>
  <si>
    <t>Lavado y desinfección de UN (1) tanque de almacenamiento de agua potable, capacidad de 5 M3. SEGÚN DECRETO 1575 DE 2007.</t>
  </si>
  <si>
    <t>COT-067</t>
  </si>
  <si>
    <t>COT-068</t>
  </si>
  <si>
    <t>Mantenimiento preventivo, eléctrico y mecánico del sistema de bombeo de aguas para el suministro del riego proveniente del pozo, compuesto por una (1) motobomba 5,5 HP marca WEG, 1 motobomba de tipo "lapicero".  Incluye el cambio de rodamientos, cambio de aceite, cambio de sellos, barnizado de bobinas, cambio de flotadores para su correcto funcionamiento.  Incluye desmonte, montaje de equipos. Incluye el cambio de rodamientos, cambio de aceite, cambio de sellos, barnizado de bobinas, cambio de flotadores para su correcto funcionamiento y entrega del respectivo informe técnico del mantenimiento con las evidencias.</t>
  </si>
  <si>
    <t>COT-069</t>
  </si>
  <si>
    <t>Mantenimiento correctivo, eléctrico y mecánico en caso de ser necesario, que consiste en reparación total de la estación de bombeo para el suministro de agua subterránea de riego del campo de juego, compuesto por una (1) motobomba 5,5 HP marca WEG, 1 motobomba de tipo "lapicero", y ajustes requeridos al sistema de presión constante. Incluye el cambio de flotadores del sistema de encendido automático, piezas hidráulicas, mecánicas y eléctricas que presenten fallas. Para el desarrollo de esta actividad se requiere el Informe de inspección y diagnóstico inicial debidamente firmado por el ingeniero mecánico ó electromecánico. Incluye desmonte, montaje de equipos e instalación de accesorios y entrega del respectivo informe técnico del mantenimiento con las evidencias.</t>
  </si>
  <si>
    <t>1.7</t>
  </si>
  <si>
    <t>ESCENARIO 10: PISCINA DE KAYAK</t>
  </si>
  <si>
    <t>COT-070</t>
  </si>
  <si>
    <t xml:space="preserve">Mantenimiento preventivo, eléctrico y mecánico del sistema de bombeo para suministro de agua tratada de piscina, compuesto por 3 motobombas centrifugas de 7,5 HP Marca Premium.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</si>
  <si>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COT-071</t>
  </si>
  <si>
    <t>1.8.1</t>
  </si>
  <si>
    <t>ESCENARIO 11-1: PISCINAS HERNANDO BOTERO OBYRNE - CLAVADOS</t>
  </si>
  <si>
    <t>COT-072</t>
  </si>
  <si>
    <t xml:space="preserve">Mantenimiento preventivo, eléctrico y mecánico del sistema de bombeo para suministro de agua tratada de piscina, compuesto por 1 motobomba centrifuga de 48 HP Marca Siemens.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</si>
  <si>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COT-073</t>
  </si>
  <si>
    <t xml:space="preserve">Mantenimiento preventivo, eléctrico y mecánico del sistema de bombeo para suministro de agua tratada de piscina, compuesto por 1 motobomba sumergible de 0,75 HP.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</si>
  <si>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COT-074</t>
  </si>
  <si>
    <t>1.8.2</t>
  </si>
  <si>
    <t>ESCENARIO 11-2: PISCINAS HERNANDO BOTERO OBYRNE - PISCINA DE CALENTAMIENTO</t>
  </si>
  <si>
    <t>COT-075</t>
  </si>
  <si>
    <t xml:space="preserve">Mantenimiento preventivo, eléctrico y mecánico del sistema de bombeo para suministro de agua tratada de piscina, compuesto por 1 motobomba de 25 HP Marca Siemens.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</si>
  <si>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COT-076</t>
  </si>
  <si>
    <t xml:space="preserve">Mantenimiento preventivo, eléctrico y mecánico del sistema de bombeo para suministro de agua tratada de piscina, compuesto por 1 motobomba reforzadora de cloro de 7 HP Marca Pedrollo.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</si>
  <si>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COT-077</t>
  </si>
  <si>
    <t>1.8.3</t>
  </si>
  <si>
    <t>ESCENARIO 11-3: PISCINAS HERNANDO BOTERO OBYRNE - PISCINA NIÑOS (TERMICA)</t>
  </si>
  <si>
    <t>COT-078</t>
  </si>
  <si>
    <t xml:space="preserve">Mantenimiento preventivo, eléctrico y mecánico del sistema de bombeo para suministro de agua tratada de piscina, compuesto por 1 motobomba de 3 HP. Marca Pentair.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</si>
  <si>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1.8.4</t>
  </si>
  <si>
    <t>ESCENARIO 11-4: PISCINAS HERNANDO BOTERO OBYRNE - 50 METROS</t>
  </si>
  <si>
    <t>COT-079</t>
  </si>
  <si>
    <t xml:space="preserve">Mantenimiento preventivo, eléctrico y mecánico del sistema de bombeo para suministro de agua tratada de piscina, compuesto por 1 motobomba de 75 HP Marca Barnes.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</si>
  <si>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COT-080</t>
  </si>
  <si>
    <t xml:space="preserve">Mantenimiento preventivo, eléctrico y mecánico del sistema de bombeo para suministro de agua tratada de piscina, compuesto por 1 motobomba reforzadora de cloro de 3 HP.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</si>
  <si>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COT-081</t>
  </si>
  <si>
    <t>FRENTE 5: UNIDAD DEPORTIVA MARIANO RAMOS</t>
  </si>
  <si>
    <t>1.9</t>
  </si>
  <si>
    <t>ESCENARIO 12: COLISEO DE COMBATE MARIA ISABEL URRUTIA</t>
  </si>
  <si>
    <t>COT-082</t>
  </si>
  <si>
    <t xml:space="preserve">Mantenimiento preventivo, eléctrico y mecánico del sistema de bombeo de aguas de agua potable, compuesto por 3 motobombas de 3HP cada una.  Incluye el cambio de rodamientos, cambio de aceite, cambio de sellos, barnizado de bobinas, cambio de flotadores para su correcto funcionamiento.  Incluye desmonte, montaje de equipos. Incluye el cambio de rodamientos, cambio de aceite, cambio de sellos, barnizado de bobinas, cambio de flotadores para su correcto funcionamiento y entrega del respectivo informe técnico del mantenimiento con las evidencias. </t>
  </si>
  <si>
    <t>COT-083</t>
  </si>
  <si>
    <t>COT-084</t>
  </si>
  <si>
    <t>COT-085</t>
  </si>
  <si>
    <t>1.10</t>
  </si>
  <si>
    <t>COT-086</t>
  </si>
  <si>
    <t>Reposición de piezas o partes y otros requeridos para el funcionamiento de las estaciones de bombeo. NOTAS: 1) Este es un valor fijo para todos los proponentes, estimado por la entidad, para garantizar igualdad entre los proponentes. 2) Esta partida presupuestal se ejecutará conforme con lo definido en los anexos técnicos, previa aprobación del Supervisor sobre la cantidad y valor unitario de todos los repuestos. 3) Este valor fijo e inmodificable, funciona como un fondo agotable, en el cual el contratista deberá presentar los debidos soportes  debidamente aprobados por el supervisor y/o interventor del contrato, los soportes deben quedar detallados en cada acta de pago del contrato. La  mano de obra para instalar estos  elementos está dentro de los costos de mantenimientos preventivos y correctivos establecidos en el presupuesto</t>
  </si>
  <si>
    <t>SUBTOTAL FRENTES 3-4-5</t>
  </si>
  <si>
    <t>SUBTOTAL PRESUPUESTO FRENTE 1 (COSTO DIRECTO)</t>
  </si>
  <si>
    <t>SUBTOTAL PRESUPUESTO FRENTE 2 (COSTO DIRECTO)</t>
  </si>
  <si>
    <t>SUBTOTAL PRESUPUESTO FRENTES 3-4-5 (COSTO DIRECTO)</t>
  </si>
  <si>
    <t>TOTAL PRESUPUESTO COSTO DIRECTO (FRENTES 1-2-3-4-5)</t>
  </si>
  <si>
    <t>ADMINISTRACIÓN (37%)</t>
  </si>
  <si>
    <t>UTILIDAD (5%)</t>
  </si>
  <si>
    <t>TOTAL A.U. (42%)</t>
  </si>
  <si>
    <t>TOTAL PRESUPUESTO MANTENIMIENTO Y ADECUACIÓN (FRENTES 1-2-3-4-5) CON A.U. (COSTO DIRECTO + A.U.)</t>
  </si>
  <si>
    <t>DESGLOSE COSTOS INDIRECTOS</t>
  </si>
  <si>
    <t>COSTO DIRECTO DE LA OBRA (FRENTES 1-2-3-4-5)</t>
  </si>
  <si>
    <t>Pólizas</t>
  </si>
  <si>
    <t>Descuentos, estampillas y otros</t>
  </si>
  <si>
    <t>Personal y Gastos administrativos</t>
  </si>
  <si>
    <t>}</t>
  </si>
  <si>
    <t>UTILIDAD</t>
  </si>
  <si>
    <t>COSTO INDIRECTO DE LA OBRA (TOTAL AU %)</t>
  </si>
  <si>
    <t>VALOR TOTAL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</si>
</sst>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 &quot;* #,##0_-;&quot;-$ &quot;* #,##0_-;_-&quot;$ &quot;* \-_-;_-@"/>
    <numFmt numFmtId="165" formatCode="_(* #,##0_);_(* \(#,##0\);_(* \-??_);_(@_)"/>
    <numFmt numFmtId="166" formatCode="0.0000%"/>
  </numFmts>
  <fonts count="21" x14ac:knownFonts="1">
    <font>
      <sz val="11"/>
      <color theme="1"/>
      <name val="Calibri"/>
      <charset val="1"/>
    </font>
    <font>
      <sz val="11"/>
      <color theme="1"/>
      <name val="Aptos Narrow"/>
      <family val="2"/>
    </font>
    <font>
      <b/>
      <sz val="10"/>
      <color theme="1"/>
      <name val="Arial Narrow"/>
      <family val="2"/>
    </font>
    <font>
      <sz val="11"/>
      <color theme="1"/>
      <name val="Arial"/>
      <family val="2"/>
    </font>
    <font>
      <b/>
      <sz val="11"/>
      <name val="Arial"/>
      <family val="2"/>
    </font>
    <font>
      <b/>
      <sz val="11"/>
      <color rgb="FF000000"/>
      <name val="Arial"/>
      <family val="2"/>
    </font>
    <font>
      <sz val="11"/>
      <color rgb="FF000000"/>
      <name val="Arial"/>
      <family val="2"/>
    </font>
    <font>
      <b/>
      <sz val="11"/>
      <color theme="1"/>
      <name val="Arial"/>
      <family val="2"/>
    </font>
    <font>
      <b/>
      <sz val="10"/>
      <color rgb="FF000000"/>
      <name val="Arial"/>
      <family val="2"/>
    </font>
    <font>
      <sz val="10"/>
      <color rgb="FF000000"/>
      <name val="Arial"/>
      <family val="2"/>
    </font>
    <font>
      <b/>
      <sz val="10"/>
      <color theme="1"/>
      <name val="Arial"/>
      <family val="2"/>
    </font>
    <font>
      <sz val="10"/>
      <color rgb="FF242424"/>
      <name val="Arial"/>
      <family val="2"/>
    </font>
    <font>
      <sz val="10"/>
      <color theme="1"/>
      <name val="Arial"/>
      <family val="2"/>
    </font>
    <font>
      <sz val="11"/>
      <color theme="1"/>
      <name val="Calibri"/>
      <family val="2"/>
    </font>
    <font>
      <sz val="10"/>
      <name val="Arial"/>
      <family val="2"/>
    </font>
    <font>
      <sz val="7"/>
      <color theme="1"/>
      <name val="Calibri"/>
      <family val="2"/>
    </font>
    <font>
      <sz val="8"/>
      <color theme="1"/>
      <name val="Calibri"/>
      <family val="2"/>
    </font>
    <font>
      <b/>
      <sz val="10"/>
      <color theme="0"/>
      <name val="Calibri"/>
      <family val="2"/>
    </font>
    <font>
      <b/>
      <sz val="10"/>
      <color theme="0"/>
      <name val="Arial Narrow"/>
      <family val="2"/>
    </font>
    <font>
      <sz val="10"/>
      <color theme="1"/>
      <name val="Arial Narrow"/>
      <family val="2"/>
    </font>
    <font>
      <b/>
      <sz val="10"/>
      <color rgb="FF000000"/>
      <name val="Arial Narrow"/>
      <family val="2"/>
    </font>
  </fonts>
  <fills count="14">
    <fill>
      <patternFill patternType="none"/>
    </fill>
    <fill>
      <patternFill patternType="gray125"/>
    </fill>
    <fill>
      <patternFill patternType="solid">
        <fgColor theme="0"/>
        <bgColor rgb="FFF2F2F2"/>
      </patternFill>
    </fill>
    <fill>
      <patternFill patternType="solid">
        <fgColor rgb="FFB8CFED"/>
        <bgColor rgb="FFBDD6EE"/>
      </patternFill>
    </fill>
    <fill>
      <patternFill patternType="solid">
        <fgColor rgb="FFF2F2F2"/>
        <bgColor rgb="FFE2EFDA"/>
      </patternFill>
    </fill>
    <fill>
      <patternFill patternType="solid">
        <fgColor rgb="FFD8D8D8"/>
        <bgColor rgb="FFBDD6EE"/>
      </patternFill>
    </fill>
    <fill>
      <patternFill patternType="solid">
        <fgColor rgb="FFBDD6EE"/>
        <bgColor rgb="FFB8CFED"/>
      </patternFill>
    </fill>
    <fill>
      <patternFill patternType="solid">
        <fgColor rgb="FFC6E0B4"/>
        <bgColor rgb="FFD8D8D8"/>
      </patternFill>
    </fill>
    <fill>
      <patternFill patternType="solid">
        <fgColor theme="6" tint="0.59999389629810485"/>
        <bgColor indexed="64"/>
      </patternFill>
    </fill>
    <fill>
      <patternFill patternType="solid">
        <fgColor theme="6" tint="0.59999389629810485"/>
        <bgColor rgb="FFBDD6EE"/>
      </patternFill>
    </fill>
    <fill>
      <patternFill patternType="solid">
        <fgColor theme="4" tint="0.59999389629810485"/>
        <bgColor indexed="64"/>
      </patternFill>
    </fill>
    <fill>
      <patternFill patternType="solid">
        <fgColor theme="8" tint="-0.499984740745262"/>
        <bgColor indexed="64"/>
      </patternFill>
    </fill>
    <fill>
      <patternFill patternType="solid">
        <fgColor rgb="FF0070C0"/>
        <bgColor indexed="64"/>
      </patternFill>
    </fill>
    <fill>
      <patternFill patternType="solid">
        <fgColor theme="0" tint="-0.3499862666707357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right/>
      <top style="medium">
        <color indexed="64"/>
      </top>
      <bottom style="medium">
        <color indexed="64"/>
      </bottom>
      <diagonal/>
    </border>
  </borders>
  <cellStyleXfs count="5">
    <xf numFmtId="0" fontId="0" fillId="0" borderId="0"/>
    <xf numFmtId="44" fontId="13" fillId="0" borderId="0"/>
    <xf numFmtId="9" fontId="13" fillId="0" borderId="0"/>
    <xf numFmtId="0" fontId="14" fillId="0" borderId="0"/>
    <xf numFmtId="0" fontId="12" fillId="0" borderId="0"/>
  </cellStyleXfs>
  <cellXfs count="106">
    <xf numFmtId="0" fontId="0" fillId="0" borderId="0" xfId="0"/>
    <xf numFmtId="0" fontId="1" fillId="0" borderId="0" xfId="0" applyFont="1"/>
    <xf numFmtId="0" fontId="2" fillId="5" borderId="3" xfId="0" applyFont="1" applyFill="1" applyBorder="1" applyAlignment="1">
      <alignment horizontal="center" vertical="center"/>
    </xf>
    <xf numFmtId="2" fontId="2" fillId="5" borderId="3" xfId="0" applyNumberFormat="1" applyFont="1" applyFill="1" applyBorder="1" applyAlignment="1">
      <alignment horizontal="center" vertical="center"/>
    </xf>
    <xf numFmtId="0" fontId="2" fillId="5" borderId="3" xfId="0" applyFont="1" applyFill="1" applyBorder="1" applyAlignment="1">
      <alignment horizontal="left" vertical="center"/>
    </xf>
    <xf numFmtId="0" fontId="3" fillId="0" borderId="0" xfId="0" applyFont="1"/>
    <xf numFmtId="3" fontId="4" fillId="7" borderId="3" xfId="0" applyNumberFormat="1" applyFont="1" applyFill="1" applyBorder="1" applyAlignment="1">
      <alignment horizontal="right" vertical="center"/>
    </xf>
    <xf numFmtId="0" fontId="5" fillId="0" borderId="0" xfId="0" applyFont="1" applyAlignment="1">
      <alignment horizontal="center" vertical="center"/>
    </xf>
    <xf numFmtId="0" fontId="5" fillId="0" borderId="3"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4" borderId="3" xfId="0" applyFont="1" applyFill="1" applyBorder="1" applyAlignment="1">
      <alignment horizontal="center" vertical="center"/>
    </xf>
    <xf numFmtId="2" fontId="5" fillId="4" borderId="3" xfId="0" applyNumberFormat="1" applyFont="1" applyFill="1" applyBorder="1" applyAlignment="1">
      <alignment horizontal="center" vertical="center"/>
    </xf>
    <xf numFmtId="0" fontId="6" fillId="0" borderId="3" xfId="0" applyFont="1" applyBorder="1" applyAlignment="1">
      <alignment horizontal="center" vertical="center"/>
    </xf>
    <xf numFmtId="2" fontId="6" fillId="0" borderId="3" xfId="0" applyNumberFormat="1" applyFont="1" applyBorder="1" applyAlignment="1">
      <alignment horizontal="center" vertical="center"/>
    </xf>
    <xf numFmtId="0" fontId="6" fillId="0" borderId="3" xfId="0" applyFont="1" applyBorder="1" applyAlignment="1">
      <alignment vertical="top" wrapText="1"/>
    </xf>
    <xf numFmtId="4" fontId="6" fillId="0" borderId="3" xfId="0" applyNumberFormat="1" applyFont="1" applyBorder="1" applyAlignment="1">
      <alignment horizontal="right" vertical="center"/>
    </xf>
    <xf numFmtId="3" fontId="6" fillId="0" borderId="3" xfId="0" applyNumberFormat="1" applyFont="1" applyBorder="1" applyAlignment="1">
      <alignment horizontal="right" vertical="center"/>
    </xf>
    <xf numFmtId="0" fontId="5" fillId="0" borderId="3" xfId="0" applyFont="1" applyBorder="1" applyAlignment="1">
      <alignment horizontal="center" vertical="center"/>
    </xf>
    <xf numFmtId="2" fontId="5" fillId="0" borderId="3" xfId="0" applyNumberFormat="1" applyFont="1" applyBorder="1" applyAlignment="1">
      <alignment horizontal="center" vertical="center"/>
    </xf>
    <xf numFmtId="0" fontId="5" fillId="0" borderId="3" xfId="0" applyFont="1" applyBorder="1" applyAlignment="1">
      <alignment horizontal="left" vertical="center"/>
    </xf>
    <xf numFmtId="164" fontId="3" fillId="0" borderId="0" xfId="0" applyNumberFormat="1" applyFont="1"/>
    <xf numFmtId="3" fontId="5" fillId="6" borderId="3" xfId="0" applyNumberFormat="1" applyFont="1" applyFill="1" applyBorder="1" applyAlignment="1">
      <alignment horizontal="right" vertical="center"/>
    </xf>
    <xf numFmtId="0" fontId="7" fillId="5" borderId="3" xfId="0" applyFont="1" applyFill="1" applyBorder="1" applyAlignment="1">
      <alignment horizontal="center" vertical="center"/>
    </xf>
    <xf numFmtId="2" fontId="7" fillId="5" borderId="3" xfId="0" applyNumberFormat="1" applyFont="1" applyFill="1" applyBorder="1" applyAlignment="1">
      <alignment horizontal="center" vertical="center"/>
    </xf>
    <xf numFmtId="0" fontId="7" fillId="5" borderId="3" xfId="0" applyFont="1" applyFill="1" applyBorder="1" applyAlignment="1">
      <alignment horizontal="left" vertical="center"/>
    </xf>
    <xf numFmtId="0" fontId="6" fillId="0" borderId="1" xfId="0" applyFont="1" applyBorder="1" applyAlignment="1">
      <alignment horizontal="center" vertical="center"/>
    </xf>
    <xf numFmtId="2" fontId="6" fillId="0" borderId="1" xfId="0" applyNumberFormat="1" applyFont="1" applyBorder="1" applyAlignment="1">
      <alignment horizontal="center" vertical="center"/>
    </xf>
    <xf numFmtId="0" fontId="6" fillId="0" borderId="1" xfId="0" applyFont="1" applyBorder="1" applyAlignment="1">
      <alignment vertical="top" wrapText="1"/>
    </xf>
    <xf numFmtId="4" fontId="6" fillId="0" borderId="1" xfId="0" applyNumberFormat="1" applyFont="1" applyBorder="1" applyAlignment="1">
      <alignment horizontal="right" vertical="center"/>
    </xf>
    <xf numFmtId="3" fontId="6" fillId="0" borderId="1" xfId="0" applyNumberFormat="1" applyFont="1" applyBorder="1" applyAlignment="1">
      <alignment horizontal="right" vertical="center"/>
    </xf>
    <xf numFmtId="0" fontId="6" fillId="0" borderId="0" xfId="0" applyFont="1" applyAlignment="1">
      <alignment horizontal="center" vertical="center"/>
    </xf>
    <xf numFmtId="2" fontId="6" fillId="0" borderId="0" xfId="0" applyNumberFormat="1" applyFont="1" applyAlignment="1">
      <alignment horizontal="center" vertical="center"/>
    </xf>
    <xf numFmtId="0" fontId="6" fillId="0" borderId="0" xfId="0" applyFont="1" applyAlignment="1">
      <alignment vertical="top" wrapText="1"/>
    </xf>
    <xf numFmtId="4" fontId="6" fillId="0" borderId="0" xfId="0" applyNumberFormat="1" applyFont="1" applyAlignment="1">
      <alignment horizontal="right" vertical="center"/>
    </xf>
    <xf numFmtId="3" fontId="6" fillId="0" borderId="0" xfId="0" applyNumberFormat="1" applyFont="1" applyAlignment="1">
      <alignment horizontal="right" vertical="center"/>
    </xf>
    <xf numFmtId="0" fontId="5" fillId="5" borderId="3" xfId="0" applyFont="1" applyFill="1" applyBorder="1" applyAlignment="1">
      <alignment vertical="top" wrapText="1"/>
    </xf>
    <xf numFmtId="0" fontId="5" fillId="5" borderId="3" xfId="0" applyFont="1" applyFill="1" applyBorder="1" applyAlignment="1">
      <alignment horizontal="center" vertical="center" wrapText="1"/>
    </xf>
    <xf numFmtId="0" fontId="5" fillId="5" borderId="3" xfId="0" applyFont="1" applyFill="1" applyBorder="1" applyAlignment="1">
      <alignment horizontal="left" vertical="center" wrapText="1"/>
    </xf>
    <xf numFmtId="0" fontId="5" fillId="5" borderId="3" xfId="0" applyFont="1" applyFill="1" applyBorder="1" applyAlignment="1">
      <alignment vertical="center" wrapText="1"/>
    </xf>
    <xf numFmtId="0" fontId="5" fillId="5" borderId="3" xfId="0" applyFont="1" applyFill="1" applyBorder="1" applyAlignment="1">
      <alignment horizontal="center" vertical="center"/>
    </xf>
    <xf numFmtId="0" fontId="5" fillId="2" borderId="3" xfId="0" applyFont="1" applyFill="1" applyBorder="1" applyAlignment="1">
      <alignment horizontal="center" vertical="center" wrapText="1"/>
    </xf>
    <xf numFmtId="0" fontId="6" fillId="0" borderId="3" xfId="0" applyFont="1" applyBorder="1" applyAlignment="1">
      <alignment horizontal="left" vertical="center" wrapText="1"/>
    </xf>
    <xf numFmtId="165" fontId="6"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5" fillId="5" borderId="3" xfId="0" applyFont="1" applyFill="1" applyBorder="1" applyAlignment="1">
      <alignment horizontal="left" vertical="top" wrapText="1"/>
    </xf>
    <xf numFmtId="0" fontId="5" fillId="0" borderId="0" xfId="0" applyFont="1" applyAlignment="1">
      <alignment horizontal="center" vertical="center" wrapText="1"/>
    </xf>
    <xf numFmtId="0" fontId="6" fillId="0" borderId="0" xfId="0" applyFont="1" applyAlignment="1">
      <alignment horizontal="left" vertical="center" wrapText="1"/>
    </xf>
    <xf numFmtId="165" fontId="6" fillId="0" borderId="0" xfId="0" applyNumberFormat="1" applyFont="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xf>
    <xf numFmtId="0" fontId="8" fillId="0" borderId="3" xfId="0" applyFont="1" applyBorder="1" applyAlignment="1">
      <alignment horizontal="center" vertical="center"/>
    </xf>
    <xf numFmtId="2" fontId="8" fillId="0" borderId="3" xfId="0" applyNumberFormat="1" applyFont="1" applyBorder="1" applyAlignment="1">
      <alignment horizontal="center" vertical="center"/>
    </xf>
    <xf numFmtId="0" fontId="8" fillId="0" borderId="3" xfId="0" applyFont="1" applyBorder="1" applyAlignment="1">
      <alignment horizontal="left" vertical="center"/>
    </xf>
    <xf numFmtId="0" fontId="9" fillId="0" borderId="3" xfId="0" applyFont="1" applyBorder="1" applyAlignment="1">
      <alignment horizontal="center" vertical="center"/>
    </xf>
    <xf numFmtId="2" fontId="9" fillId="0" borderId="3" xfId="0" applyNumberFormat="1" applyFont="1" applyBorder="1" applyAlignment="1">
      <alignment horizontal="center" vertical="center"/>
    </xf>
    <xf numFmtId="0" fontId="9" fillId="0" borderId="3" xfId="0" applyFont="1" applyBorder="1" applyAlignment="1">
      <alignment vertical="top" wrapText="1"/>
    </xf>
    <xf numFmtId="4" fontId="9" fillId="0" borderId="3" xfId="0" applyNumberFormat="1" applyFont="1" applyBorder="1" applyAlignment="1">
      <alignment horizontal="right" vertical="center"/>
    </xf>
    <xf numFmtId="3" fontId="9" fillId="0" borderId="3" xfId="0" applyNumberFormat="1" applyFont="1" applyBorder="1" applyAlignment="1">
      <alignment horizontal="right" vertical="center"/>
    </xf>
    <xf numFmtId="0" fontId="9" fillId="0" borderId="4" xfId="0" applyFont="1" applyBorder="1" applyAlignment="1">
      <alignment vertical="top" wrapText="1"/>
    </xf>
    <xf numFmtId="0" fontId="10" fillId="5" borderId="3" xfId="0" applyFont="1" applyFill="1" applyBorder="1" applyAlignment="1">
      <alignment horizontal="center" vertical="center"/>
    </xf>
    <xf numFmtId="2" fontId="10" fillId="5" borderId="3" xfId="0" applyNumberFormat="1" applyFont="1" applyFill="1" applyBorder="1" applyAlignment="1">
      <alignment horizontal="center" vertical="center"/>
    </xf>
    <xf numFmtId="0" fontId="10" fillId="5" borderId="3" xfId="0" applyFont="1" applyFill="1" applyBorder="1" applyAlignment="1">
      <alignment horizontal="left" vertical="center"/>
    </xf>
    <xf numFmtId="0" fontId="11" fillId="2" borderId="0" xfId="0" applyFont="1" applyFill="1" applyAlignment="1">
      <alignment horizontal="left"/>
    </xf>
    <xf numFmtId="0" fontId="12" fillId="0" borderId="0" xfId="0" applyFont="1"/>
    <xf numFmtId="2" fontId="12" fillId="0" borderId="0" xfId="0" applyNumberFormat="1" applyFont="1"/>
    <xf numFmtId="0" fontId="12" fillId="0" borderId="0" xfId="0" applyFont="1" applyAlignment="1">
      <alignment vertical="center"/>
    </xf>
    <xf numFmtId="0" fontId="8" fillId="8" borderId="3" xfId="0" applyFont="1" applyFill="1" applyBorder="1" applyAlignment="1">
      <alignment horizontal="center" vertical="center"/>
    </xf>
    <xf numFmtId="0" fontId="9" fillId="8" borderId="3" xfId="0" applyFont="1" applyFill="1" applyBorder="1" applyAlignment="1">
      <alignment horizontal="center" vertical="center"/>
    </xf>
    <xf numFmtId="49" fontId="9" fillId="8" borderId="3" xfId="0" applyNumberFormat="1" applyFont="1" applyFill="1" applyBorder="1" applyAlignment="1">
      <alignment horizontal="center" vertical="center"/>
    </xf>
    <xf numFmtId="0" fontId="10" fillId="9" borderId="3" xfId="0" applyFont="1" applyFill="1" applyBorder="1" applyAlignment="1">
      <alignment horizontal="center" vertical="center"/>
    </xf>
    <xf numFmtId="0" fontId="12" fillId="8" borderId="0" xfId="0" applyFont="1" applyFill="1"/>
    <xf numFmtId="0" fontId="15" fillId="0" borderId="0" xfId="4" applyFont="1"/>
    <xf numFmtId="3" fontId="15" fillId="0" borderId="0" xfId="4" applyNumberFormat="1" applyFont="1"/>
    <xf numFmtId="166" fontId="16" fillId="0" borderId="0" xfId="2" applyNumberFormat="1" applyFont="1" applyAlignment="1">
      <alignment vertical="center" wrapText="1"/>
    </xf>
    <xf numFmtId="0" fontId="17" fillId="11" borderId="11" xfId="3" applyFont="1" applyFill="1" applyBorder="1" applyAlignment="1">
      <alignment horizontal="center" vertical="center"/>
    </xf>
    <xf numFmtId="166" fontId="17" fillId="11" borderId="11" xfId="2" applyNumberFormat="1" applyFont="1" applyFill="1" applyBorder="1" applyAlignment="1">
      <alignment horizontal="right" vertical="center"/>
    </xf>
    <xf numFmtId="44" fontId="17" fillId="11" borderId="11" xfId="1" applyFont="1" applyFill="1" applyBorder="1" applyAlignment="1">
      <alignment horizontal="right" vertical="center"/>
    </xf>
    <xf numFmtId="0" fontId="18" fillId="12" borderId="0" xfId="0" applyFont="1" applyFill="1" applyAlignment="1">
      <alignment horizontal="centerContinuous"/>
    </xf>
    <xf numFmtId="0" fontId="19" fillId="12" borderId="0" xfId="0" applyFont="1" applyFill="1" applyAlignment="1">
      <alignment horizontal="centerContinuous"/>
    </xf>
    <xf numFmtId="165" fontId="19" fillId="12" borderId="0" xfId="0" applyNumberFormat="1" applyFont="1" applyFill="1" applyAlignment="1">
      <alignment horizontal="centerContinuous"/>
    </xf>
    <xf numFmtId="0" fontId="19" fillId="0" borderId="0" xfId="0" applyFont="1"/>
    <xf numFmtId="0" fontId="19" fillId="0" borderId="0" xfId="4" applyFont="1"/>
    <xf numFmtId="3" fontId="19" fillId="0" borderId="0" xfId="4" applyNumberFormat="1" applyFont="1"/>
    <xf numFmtId="0" fontId="19" fillId="10" borderId="11" xfId="0" applyFont="1" applyFill="1" applyBorder="1" applyAlignment="1">
      <alignment horizontal="center" vertical="center" wrapText="1"/>
    </xf>
    <xf numFmtId="10" fontId="19" fillId="10" borderId="11" xfId="2" applyNumberFormat="1" applyFont="1" applyFill="1" applyBorder="1" applyAlignment="1">
      <alignment horizontal="center" vertical="center"/>
    </xf>
    <xf numFmtId="44" fontId="19" fillId="10" borderId="11" xfId="1" applyFont="1" applyFill="1" applyBorder="1" applyAlignment="1">
      <alignment vertical="center"/>
    </xf>
    <xf numFmtId="10" fontId="19" fillId="0" borderId="0" xfId="4" applyNumberFormat="1" applyFont="1" applyAlignment="1">
      <alignment horizontal="center"/>
    </xf>
    <xf numFmtId="166" fontId="19" fillId="0" borderId="0" xfId="4" applyNumberFormat="1" applyFont="1" applyAlignment="1">
      <alignment horizontal="center"/>
    </xf>
    <xf numFmtId="0" fontId="20" fillId="13" borderId="11" xfId="3" applyFont="1" applyFill="1" applyBorder="1" applyAlignment="1">
      <alignment horizontal="center" vertical="center"/>
    </xf>
    <xf numFmtId="0" fontId="20" fillId="13" borderId="11" xfId="3" applyFont="1" applyFill="1" applyBorder="1" applyAlignment="1">
      <alignment horizontal="right" vertical="center"/>
    </xf>
    <xf numFmtId="44" fontId="20" fillId="13" borderId="11" xfId="1" applyFont="1" applyFill="1" applyBorder="1" applyAlignment="1">
      <alignment horizontal="right" vertical="center"/>
    </xf>
    <xf numFmtId="10" fontId="20" fillId="13" borderId="11" xfId="2" applyNumberFormat="1" applyFont="1" applyFill="1" applyBorder="1" applyAlignment="1">
      <alignment horizontal="center" vertical="center"/>
    </xf>
    <xf numFmtId="10" fontId="2" fillId="10" borderId="11" xfId="2" applyNumberFormat="1" applyFont="1" applyFill="1" applyBorder="1" applyAlignment="1">
      <alignment horizontal="center" vertical="center"/>
    </xf>
    <xf numFmtId="0" fontId="4" fillId="7" borderId="3" xfId="0" applyFont="1" applyFill="1" applyBorder="1" applyAlignment="1">
      <alignment horizontal="center" vertical="center"/>
    </xf>
    <xf numFmtId="0" fontId="0" fillId="0" borderId="10" xfId="0" applyBorder="1"/>
    <xf numFmtId="0" fontId="0" fillId="0" borderId="4" xfId="0" applyBorder="1"/>
    <xf numFmtId="0" fontId="5" fillId="0" borderId="3" xfId="0" applyFont="1" applyBorder="1" applyAlignment="1">
      <alignment horizontal="center" vertical="center" wrapText="1"/>
    </xf>
    <xf numFmtId="0" fontId="0" fillId="0" borderId="5" xfId="0" applyBorder="1"/>
    <xf numFmtId="0" fontId="0" fillId="0" borderId="6" xfId="0" applyBorder="1"/>
    <xf numFmtId="0" fontId="0" fillId="0" borderId="9" xfId="0" applyBorder="1"/>
    <xf numFmtId="0" fontId="0" fillId="0" borderId="7" xfId="0" applyBorder="1"/>
    <xf numFmtId="0" fontId="0" fillId="0" borderId="8" xfId="0" applyBorder="1"/>
    <xf numFmtId="0" fontId="5" fillId="6" borderId="3"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cellXfs>
  <cellStyles count="5">
    <cellStyle name="Moneda" xfId="1" builtinId="4"/>
    <cellStyle name="Normal" xfId="0" builtinId="0"/>
    <cellStyle name="Normal 10 2" xfId="3" xr:uid="{00000000-0005-0000-0000-000003000000}"/>
    <cellStyle name="Normal 3 2" xfId="4" xr:uid="{00000000-0005-0000-0000-000004000000}"/>
    <cellStyle name="Porcentaje" xfId="2"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8D8D8"/>
      <rgbColor rgb="FF808080"/>
      <rgbColor rgb="FF9999FF"/>
      <rgbColor rgb="FF993366"/>
      <rgbColor rgb="FFFFF2CC"/>
      <rgbColor rgb="FFF2F2F2"/>
      <rgbColor rgb="FF660066"/>
      <rgbColor rgb="FFFF8080"/>
      <rgbColor rgb="FF0066CC"/>
      <rgbColor rgb="FFBDD6EE"/>
      <rgbColor rgb="FF000080"/>
      <rgbColor rgb="FFFF00FF"/>
      <rgbColor rgb="FFFFFF00"/>
      <rgbColor rgb="FF00FFFF"/>
      <rgbColor rgb="FF800080"/>
      <rgbColor rgb="FF800000"/>
      <rgbColor rgb="FF008080"/>
      <rgbColor rgb="FF0000FF"/>
      <rgbColor rgb="FF00CCFF"/>
      <rgbColor rgb="FFC6E0B4"/>
      <rgbColor rgb="FFE2EFDA"/>
      <rgbColor rgb="FFFFFF99"/>
      <rgbColor rgb="FFB8CFED"/>
      <rgbColor rgb="FFFF99CC"/>
      <rgbColor rgb="FFCC99FF"/>
      <rgbColor rgb="FFFFCC99"/>
      <rgbColor rgb="FF3366FF"/>
      <rgbColor rgb="FF33CCCC"/>
      <rgbColor rgb="FF99CC00"/>
      <rgbColor rgb="FFFFCC00"/>
      <rgbColor rgb="FFFF9900"/>
      <rgbColor rgb="FFFF6600"/>
      <rgbColor rgb="FF666699"/>
      <rgbColor rgb="FF999999"/>
      <rgbColor rgb="FF003366"/>
      <rgbColor rgb="FF339966"/>
      <rgbColor rgb="FF003300"/>
      <rgbColor rgb="FF333300"/>
      <rgbColor rgb="FF993300"/>
      <rgbColor rgb="FF993366"/>
      <rgbColor rgb="FF1F4E78"/>
      <rgbColor rgb="FF242424"/>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2:K505"/>
  <sheetViews>
    <sheetView tabSelected="1" topLeftCell="D473" zoomScaleNormal="100" workbookViewId="0">
      <selection activeCell="D286" sqref="D286"/>
    </sheetView>
  </sheetViews>
  <sheetFormatPr baseColWidth="10" defaultColWidth="14.5" defaultRowHeight="14" x14ac:dyDescent="0.15"/>
  <cols>
    <col min="1" max="1" width="3.1640625" style="5" customWidth="1"/>
    <col min="2" max="2" width="10.33203125" style="5" bestFit="1" customWidth="1"/>
    <col min="3" max="3" width="10" style="5" bestFit="1" customWidth="1"/>
    <col min="4" max="4" width="75.5" style="5" bestFit="1" customWidth="1"/>
    <col min="5" max="5" width="10.6640625" style="5" bestFit="1" customWidth="1"/>
    <col min="6" max="6" width="11.83203125" style="5" bestFit="1" customWidth="1"/>
    <col min="7" max="7" width="18" style="5" bestFit="1" customWidth="1"/>
    <col min="8" max="8" width="19.5" style="5" bestFit="1" customWidth="1"/>
    <col min="9" max="9" width="15.6640625" style="5" customWidth="1"/>
    <col min="10" max="10" width="16.33203125" style="5" customWidth="1"/>
    <col min="11" max="11" width="15.6640625" style="5" customWidth="1"/>
    <col min="12" max="26" width="8.6640625" style="5" customWidth="1"/>
    <col min="27" max="27" width="14.5" style="5" customWidth="1"/>
    <col min="28" max="16384" width="14.5" style="5"/>
  </cols>
  <sheetData>
    <row r="2" spans="1:11" ht="15" x14ac:dyDescent="0.2">
      <c r="B2" s="104" t="s">
        <v>0</v>
      </c>
      <c r="C2" s="98"/>
      <c r="D2" s="98"/>
      <c r="E2" s="98"/>
      <c r="F2" s="98"/>
      <c r="G2" s="98"/>
      <c r="H2" s="99"/>
    </row>
    <row r="3" spans="1:11" ht="15" x14ac:dyDescent="0.2">
      <c r="B3" s="105" t="s">
        <v>1</v>
      </c>
      <c r="C3" s="101"/>
      <c r="D3" s="101"/>
      <c r="E3" s="101"/>
      <c r="F3" s="101"/>
      <c r="G3" s="101"/>
      <c r="H3" s="102"/>
      <c r="I3" s="7"/>
    </row>
    <row r="4" spans="1:11" x14ac:dyDescent="0.15">
      <c r="B4" s="97" t="s">
        <v>2</v>
      </c>
      <c r="C4" s="98"/>
      <c r="D4" s="98"/>
      <c r="E4" s="98"/>
      <c r="F4" s="98"/>
      <c r="G4" s="98"/>
      <c r="H4" s="99"/>
      <c r="I4" s="7"/>
    </row>
    <row r="5" spans="1:11" x14ac:dyDescent="0.15">
      <c r="B5" s="100"/>
      <c r="C5" s="101"/>
      <c r="D5" s="101"/>
      <c r="E5" s="101"/>
      <c r="F5" s="101"/>
      <c r="G5" s="101"/>
      <c r="H5" s="102"/>
    </row>
    <row r="6" spans="1:11" ht="15" x14ac:dyDescent="0.15">
      <c r="B6" s="9"/>
      <c r="C6" s="9"/>
      <c r="D6" s="10" t="s">
        <v>3</v>
      </c>
      <c r="E6" s="9"/>
      <c r="F6" s="9"/>
      <c r="G6" s="9"/>
      <c r="H6" s="9"/>
    </row>
    <row r="7" spans="1:11" x14ac:dyDescent="0.15">
      <c r="B7" s="11" t="s">
        <v>4</v>
      </c>
      <c r="C7" s="12" t="s">
        <v>5</v>
      </c>
      <c r="D7" s="11" t="s">
        <v>6</v>
      </c>
      <c r="E7" s="11" t="s">
        <v>7</v>
      </c>
      <c r="F7" s="11" t="s">
        <v>8</v>
      </c>
      <c r="G7" s="11" t="s">
        <v>9</v>
      </c>
      <c r="H7" s="11" t="s">
        <v>10</v>
      </c>
    </row>
    <row r="8" spans="1:11" ht="14.5" customHeight="1" x14ac:dyDescent="0.2">
      <c r="A8" s="1"/>
      <c r="B8" s="2">
        <v>1</v>
      </c>
      <c r="C8" s="3"/>
      <c r="D8" s="4" t="s">
        <v>11</v>
      </c>
      <c r="E8" s="2"/>
      <c r="F8" s="2"/>
      <c r="G8" s="2"/>
      <c r="H8" s="2"/>
      <c r="I8" s="1"/>
      <c r="J8" s="1"/>
      <c r="K8" s="1"/>
    </row>
    <row r="9" spans="1:11" ht="14.5" customHeight="1" x14ac:dyDescent="0.2">
      <c r="A9" s="1"/>
      <c r="B9" s="67"/>
      <c r="C9" s="52">
        <v>1</v>
      </c>
      <c r="D9" s="53" t="s">
        <v>12</v>
      </c>
      <c r="E9" s="51"/>
      <c r="F9" s="51"/>
      <c r="G9" s="51"/>
      <c r="H9" s="51"/>
      <c r="I9" s="1"/>
      <c r="J9" s="1"/>
      <c r="K9" s="1"/>
    </row>
    <row r="10" spans="1:11" ht="14.5" customHeight="1" x14ac:dyDescent="0.2">
      <c r="A10" s="1"/>
      <c r="B10" s="68" t="s">
        <v>13</v>
      </c>
      <c r="C10" s="55">
        <v>1.01</v>
      </c>
      <c r="D10" s="56" t="s">
        <v>14</v>
      </c>
      <c r="E10" s="54" t="s">
        <v>15</v>
      </c>
      <c r="F10" s="57">
        <v>1</v>
      </c>
      <c r="G10" s="58">
        <f>ROUND(1974686.15,0)</f>
        <v>1974686</v>
      </c>
      <c r="H10" s="58">
        <f>IFERROR(ROUND(F10*G10,0),0)</f>
        <v>1974686</v>
      </c>
      <c r="I10" s="1"/>
      <c r="J10" s="1"/>
      <c r="K10" s="1"/>
    </row>
    <row r="11" spans="1:11" ht="26.5" customHeight="1" x14ac:dyDescent="0.2">
      <c r="A11" s="1"/>
      <c r="B11" s="68" t="s">
        <v>16</v>
      </c>
      <c r="C11" s="55">
        <v>1.02</v>
      </c>
      <c r="D11" s="56" t="s">
        <v>17</v>
      </c>
      <c r="E11" s="54" t="s">
        <v>15</v>
      </c>
      <c r="F11" s="57">
        <v>1</v>
      </c>
      <c r="G11" s="58">
        <f>ROUND(57696,0)</f>
        <v>57696</v>
      </c>
      <c r="H11" s="58">
        <f>IFERROR(ROUND(F11*G11,0),0)</f>
        <v>57696</v>
      </c>
      <c r="I11" s="1"/>
      <c r="J11" s="1"/>
      <c r="K11" s="1"/>
    </row>
    <row r="12" spans="1:11" ht="14.5" customHeight="1" x14ac:dyDescent="0.2">
      <c r="A12" s="1"/>
      <c r="B12" s="67"/>
      <c r="C12" s="52">
        <v>2</v>
      </c>
      <c r="D12" s="53" t="s">
        <v>18</v>
      </c>
      <c r="E12" s="51"/>
      <c r="F12" s="51"/>
      <c r="G12" s="51"/>
      <c r="H12" s="51"/>
      <c r="I12" s="1"/>
      <c r="J12" s="1"/>
      <c r="K12" s="1"/>
    </row>
    <row r="13" spans="1:11" ht="14.5" customHeight="1" x14ac:dyDescent="0.2">
      <c r="A13" s="1"/>
      <c r="B13" s="68" t="s">
        <v>19</v>
      </c>
      <c r="C13" s="55">
        <v>2.0099999999999998</v>
      </c>
      <c r="D13" s="56" t="s">
        <v>20</v>
      </c>
      <c r="E13" s="54" t="s">
        <v>21</v>
      </c>
      <c r="F13" s="57">
        <v>122.8</v>
      </c>
      <c r="G13" s="58">
        <f>ROUND(8147.7448,0)</f>
        <v>8148</v>
      </c>
      <c r="H13" s="58">
        <f t="shared" ref="H13:H25" si="0">IFERROR(ROUND(F13*G13,0),0)</f>
        <v>1000574</v>
      </c>
      <c r="I13" s="1"/>
      <c r="J13" s="1"/>
      <c r="K13" s="1"/>
    </row>
    <row r="14" spans="1:11" ht="14.5" customHeight="1" x14ac:dyDescent="0.2">
      <c r="A14" s="1"/>
      <c r="B14" s="68" t="s">
        <v>22</v>
      </c>
      <c r="C14" s="55">
        <v>2.02</v>
      </c>
      <c r="D14" s="56" t="s">
        <v>23</v>
      </c>
      <c r="E14" s="54" t="s">
        <v>24</v>
      </c>
      <c r="F14" s="57">
        <v>1</v>
      </c>
      <c r="G14" s="58">
        <f>ROUND(9890.955,0)</f>
        <v>9891</v>
      </c>
      <c r="H14" s="58">
        <f t="shared" si="0"/>
        <v>9891</v>
      </c>
      <c r="I14" s="1"/>
      <c r="J14" s="1"/>
      <c r="K14" s="1"/>
    </row>
    <row r="15" spans="1:11" ht="14.5" customHeight="1" x14ac:dyDescent="0.2">
      <c r="A15" s="1"/>
      <c r="B15" s="68" t="s">
        <v>25</v>
      </c>
      <c r="C15" s="55">
        <v>2.0299999999999998</v>
      </c>
      <c r="D15" s="56" t="s">
        <v>26</v>
      </c>
      <c r="E15" s="54" t="s">
        <v>24</v>
      </c>
      <c r="F15" s="57">
        <v>1</v>
      </c>
      <c r="G15" s="58">
        <f>ROUND(11898.4666,0)</f>
        <v>11898</v>
      </c>
      <c r="H15" s="58">
        <f t="shared" si="0"/>
        <v>11898</v>
      </c>
      <c r="I15" s="1"/>
      <c r="J15" s="1"/>
      <c r="K15" s="1"/>
    </row>
    <row r="16" spans="1:11" ht="26.5" customHeight="1" x14ac:dyDescent="0.2">
      <c r="A16" s="1"/>
      <c r="B16" s="68" t="s">
        <v>27</v>
      </c>
      <c r="C16" s="55">
        <v>2.04</v>
      </c>
      <c r="D16" s="56" t="s">
        <v>28</v>
      </c>
      <c r="E16" s="54" t="s">
        <v>29</v>
      </c>
      <c r="F16" s="57">
        <v>32</v>
      </c>
      <c r="G16" s="58">
        <f>ROUND(3610.62,0)</f>
        <v>3611</v>
      </c>
      <c r="H16" s="58">
        <f t="shared" si="0"/>
        <v>115552</v>
      </c>
      <c r="I16" s="1"/>
      <c r="J16" s="1"/>
      <c r="K16" s="1"/>
    </row>
    <row r="17" spans="1:11" ht="26.5" customHeight="1" x14ac:dyDescent="0.2">
      <c r="A17" s="1"/>
      <c r="B17" s="68" t="s">
        <v>30</v>
      </c>
      <c r="C17" s="55">
        <v>2.0499999999999998</v>
      </c>
      <c r="D17" s="56" t="s">
        <v>31</v>
      </c>
      <c r="E17" s="54" t="s">
        <v>21</v>
      </c>
      <c r="F17" s="57">
        <v>122.8</v>
      </c>
      <c r="G17" s="58">
        <f>ROUND(226802.2667,0)</f>
        <v>226802</v>
      </c>
      <c r="H17" s="58">
        <f t="shared" si="0"/>
        <v>27851286</v>
      </c>
      <c r="I17" s="1"/>
      <c r="J17" s="1"/>
      <c r="K17" s="1"/>
    </row>
    <row r="18" spans="1:11" ht="14.5" customHeight="1" x14ac:dyDescent="0.2">
      <c r="A18" s="1"/>
      <c r="B18" s="68" t="s">
        <v>32</v>
      </c>
      <c r="C18" s="55">
        <v>2.06</v>
      </c>
      <c r="D18" s="56" t="s">
        <v>33</v>
      </c>
      <c r="E18" s="54" t="s">
        <v>15</v>
      </c>
      <c r="F18" s="57">
        <v>5</v>
      </c>
      <c r="G18" s="58">
        <f>ROUND(44624.1606,0)</f>
        <v>44624</v>
      </c>
      <c r="H18" s="58">
        <f t="shared" si="0"/>
        <v>223120</v>
      </c>
      <c r="I18" s="1"/>
      <c r="J18" s="1"/>
      <c r="K18" s="1"/>
    </row>
    <row r="19" spans="1:11" ht="14.5" customHeight="1" x14ac:dyDescent="0.2">
      <c r="A19" s="1"/>
      <c r="B19" s="68" t="s">
        <v>19</v>
      </c>
      <c r="C19" s="55">
        <v>2.0699999999999998</v>
      </c>
      <c r="D19" s="56" t="s">
        <v>20</v>
      </c>
      <c r="E19" s="54" t="s">
        <v>21</v>
      </c>
      <c r="F19" s="57">
        <v>12</v>
      </c>
      <c r="G19" s="58">
        <f>ROUND(8147.7448,0)</f>
        <v>8148</v>
      </c>
      <c r="H19" s="58">
        <f t="shared" si="0"/>
        <v>97776</v>
      </c>
      <c r="I19" s="1"/>
      <c r="J19" s="1"/>
      <c r="K19" s="1"/>
    </row>
    <row r="20" spans="1:11" ht="14.5" customHeight="1" x14ac:dyDescent="0.2">
      <c r="A20" s="1"/>
      <c r="B20" s="68" t="s">
        <v>22</v>
      </c>
      <c r="C20" s="55">
        <v>2.08</v>
      </c>
      <c r="D20" s="56" t="s">
        <v>34</v>
      </c>
      <c r="E20" s="54" t="s">
        <v>24</v>
      </c>
      <c r="F20" s="57">
        <v>1</v>
      </c>
      <c r="G20" s="58">
        <f>ROUND(9890.955,0)</f>
        <v>9891</v>
      </c>
      <c r="H20" s="58">
        <f t="shared" si="0"/>
        <v>9891</v>
      </c>
      <c r="I20" s="1"/>
      <c r="J20" s="1"/>
      <c r="K20" s="1"/>
    </row>
    <row r="21" spans="1:11" ht="14.5" customHeight="1" x14ac:dyDescent="0.2">
      <c r="A21" s="1"/>
      <c r="B21" s="68" t="s">
        <v>25</v>
      </c>
      <c r="C21" s="55">
        <v>2.09</v>
      </c>
      <c r="D21" s="56" t="s">
        <v>35</v>
      </c>
      <c r="E21" s="54" t="s">
        <v>24</v>
      </c>
      <c r="F21" s="57">
        <v>1</v>
      </c>
      <c r="G21" s="58">
        <f>ROUND(11898.4666,0)</f>
        <v>11898</v>
      </c>
      <c r="H21" s="58">
        <f t="shared" si="0"/>
        <v>11898</v>
      </c>
      <c r="I21" s="1"/>
      <c r="J21" s="1"/>
      <c r="K21" s="1"/>
    </row>
    <row r="22" spans="1:11" ht="26.5" customHeight="1" x14ac:dyDescent="0.2">
      <c r="A22" s="1"/>
      <c r="B22" s="68" t="s">
        <v>27</v>
      </c>
      <c r="C22" s="55">
        <v>2.1</v>
      </c>
      <c r="D22" s="56" t="s">
        <v>28</v>
      </c>
      <c r="E22" s="54" t="s">
        <v>29</v>
      </c>
      <c r="F22" s="57">
        <v>32</v>
      </c>
      <c r="G22" s="58">
        <f>ROUND(3610.62,0)</f>
        <v>3611</v>
      </c>
      <c r="H22" s="58">
        <f t="shared" si="0"/>
        <v>115552</v>
      </c>
      <c r="I22" s="1"/>
      <c r="J22" s="1"/>
      <c r="K22" s="1"/>
    </row>
    <row r="23" spans="1:11" ht="14.5" customHeight="1" x14ac:dyDescent="0.2">
      <c r="A23" s="1"/>
      <c r="B23" s="68" t="s">
        <v>36</v>
      </c>
      <c r="C23" s="55">
        <v>2.11</v>
      </c>
      <c r="D23" s="56" t="s">
        <v>37</v>
      </c>
      <c r="E23" s="54" t="s">
        <v>15</v>
      </c>
      <c r="F23" s="57">
        <v>12</v>
      </c>
      <c r="G23" s="58">
        <f>ROUND(42120.4742,0)</f>
        <v>42120</v>
      </c>
      <c r="H23" s="58">
        <f t="shared" si="0"/>
        <v>505440</v>
      </c>
      <c r="I23" s="1"/>
      <c r="J23" s="1"/>
      <c r="K23" s="1"/>
    </row>
    <row r="24" spans="1:11" ht="14.5" customHeight="1" x14ac:dyDescent="0.2">
      <c r="A24" s="1"/>
      <c r="B24" s="68" t="s">
        <v>38</v>
      </c>
      <c r="C24" s="55">
        <v>2.12</v>
      </c>
      <c r="D24" s="56" t="s">
        <v>39</v>
      </c>
      <c r="E24" s="54" t="s">
        <v>21</v>
      </c>
      <c r="F24" s="57">
        <v>72</v>
      </c>
      <c r="G24" s="58">
        <f>ROUND(40208.5025,0)</f>
        <v>40209</v>
      </c>
      <c r="H24" s="58">
        <f t="shared" si="0"/>
        <v>2895048</v>
      </c>
      <c r="I24" s="1"/>
      <c r="J24" s="1"/>
      <c r="K24" s="1"/>
    </row>
    <row r="25" spans="1:11" ht="14.5" customHeight="1" x14ac:dyDescent="0.2">
      <c r="A25" s="1"/>
      <c r="B25" s="68" t="s">
        <v>40</v>
      </c>
      <c r="C25" s="55">
        <v>2.13</v>
      </c>
      <c r="D25" s="56" t="s">
        <v>41</v>
      </c>
      <c r="E25" s="54" t="s">
        <v>15</v>
      </c>
      <c r="F25" s="57">
        <v>24</v>
      </c>
      <c r="G25" s="58">
        <f>ROUND(25766.1095,0)</f>
        <v>25766</v>
      </c>
      <c r="H25" s="58">
        <f t="shared" si="0"/>
        <v>618384</v>
      </c>
      <c r="I25" s="1"/>
      <c r="J25" s="1"/>
      <c r="K25" s="1"/>
    </row>
    <row r="26" spans="1:11" ht="14.5" customHeight="1" x14ac:dyDescent="0.2">
      <c r="A26" s="1"/>
      <c r="B26" s="67"/>
      <c r="C26" s="52">
        <v>3</v>
      </c>
      <c r="D26" s="53" t="s">
        <v>42</v>
      </c>
      <c r="E26" s="51"/>
      <c r="F26" s="51"/>
      <c r="G26" s="51"/>
      <c r="H26" s="51"/>
      <c r="I26" s="1"/>
      <c r="J26" s="1"/>
      <c r="K26" s="1"/>
    </row>
    <row r="27" spans="1:11" ht="14.5" customHeight="1" x14ac:dyDescent="0.2">
      <c r="A27" s="1"/>
      <c r="B27" s="68" t="s">
        <v>43</v>
      </c>
      <c r="C27" s="55">
        <v>3.01</v>
      </c>
      <c r="D27" s="56" t="s">
        <v>44</v>
      </c>
      <c r="E27" s="54" t="s">
        <v>45</v>
      </c>
      <c r="F27" s="57">
        <v>387.44</v>
      </c>
      <c r="G27" s="58">
        <f>ROUND(1119.69,0)</f>
        <v>1120</v>
      </c>
      <c r="H27" s="58">
        <f t="shared" ref="H27:H35" si="1">IFERROR(ROUND(F27*G27,0),0)</f>
        <v>433933</v>
      </c>
      <c r="I27" s="1"/>
      <c r="J27" s="1"/>
      <c r="K27" s="1"/>
    </row>
    <row r="28" spans="1:11" ht="14.5" customHeight="1" x14ac:dyDescent="0.2">
      <c r="A28" s="1"/>
      <c r="B28" s="68" t="s">
        <v>46</v>
      </c>
      <c r="C28" s="55">
        <v>3.02</v>
      </c>
      <c r="D28" s="56" t="s">
        <v>47</v>
      </c>
      <c r="E28" s="54" t="s">
        <v>45</v>
      </c>
      <c r="F28" s="57">
        <v>387.44</v>
      </c>
      <c r="G28" s="58">
        <f>ROUND(11760.0483,0)</f>
        <v>11760</v>
      </c>
      <c r="H28" s="58">
        <f t="shared" si="1"/>
        <v>4556294</v>
      </c>
      <c r="I28" s="1"/>
      <c r="J28" s="1"/>
      <c r="K28" s="1"/>
    </row>
    <row r="29" spans="1:11" ht="14.5" customHeight="1" x14ac:dyDescent="0.2">
      <c r="A29" s="1"/>
      <c r="B29" s="68" t="s">
        <v>22</v>
      </c>
      <c r="C29" s="55">
        <v>3.03</v>
      </c>
      <c r="D29" s="56" t="s">
        <v>23</v>
      </c>
      <c r="E29" s="54" t="s">
        <v>24</v>
      </c>
      <c r="F29" s="57">
        <v>5.81</v>
      </c>
      <c r="G29" s="58">
        <f>ROUND(9890.955,0)</f>
        <v>9891</v>
      </c>
      <c r="H29" s="58">
        <f t="shared" si="1"/>
        <v>57467</v>
      </c>
      <c r="I29" s="1"/>
      <c r="J29" s="1"/>
      <c r="K29" s="1"/>
    </row>
    <row r="30" spans="1:11" ht="14.5" customHeight="1" x14ac:dyDescent="0.2">
      <c r="A30" s="1"/>
      <c r="B30" s="68" t="s">
        <v>25</v>
      </c>
      <c r="C30" s="55">
        <v>3.04</v>
      </c>
      <c r="D30" s="56" t="s">
        <v>26</v>
      </c>
      <c r="E30" s="54" t="s">
        <v>24</v>
      </c>
      <c r="F30" s="57">
        <v>5.81</v>
      </c>
      <c r="G30" s="58">
        <f>ROUND(11898.4666,0)</f>
        <v>11898</v>
      </c>
      <c r="H30" s="58">
        <f t="shared" si="1"/>
        <v>69127</v>
      </c>
      <c r="I30" s="1"/>
      <c r="J30" s="1"/>
      <c r="K30" s="1"/>
    </row>
    <row r="31" spans="1:11" ht="26.5" customHeight="1" x14ac:dyDescent="0.2">
      <c r="A31" s="1"/>
      <c r="B31" s="68" t="s">
        <v>27</v>
      </c>
      <c r="C31" s="55">
        <v>3.05</v>
      </c>
      <c r="D31" s="56" t="s">
        <v>28</v>
      </c>
      <c r="E31" s="54" t="s">
        <v>29</v>
      </c>
      <c r="F31" s="57">
        <v>185.92</v>
      </c>
      <c r="G31" s="58">
        <f>ROUND(3610.62,0)</f>
        <v>3611</v>
      </c>
      <c r="H31" s="58">
        <f t="shared" si="1"/>
        <v>671357</v>
      </c>
      <c r="I31" s="1"/>
      <c r="J31" s="1"/>
      <c r="K31" s="1"/>
    </row>
    <row r="32" spans="1:11" ht="14.5" customHeight="1" x14ac:dyDescent="0.2">
      <c r="A32" s="1"/>
      <c r="B32" s="68" t="s">
        <v>48</v>
      </c>
      <c r="C32" s="55">
        <v>3.06</v>
      </c>
      <c r="D32" s="56" t="s">
        <v>49</v>
      </c>
      <c r="E32" s="54" t="s">
        <v>45</v>
      </c>
      <c r="F32" s="57">
        <v>387.44</v>
      </c>
      <c r="G32" s="58">
        <f>ROUND(75562.5896,0)</f>
        <v>75563</v>
      </c>
      <c r="H32" s="58">
        <f t="shared" si="1"/>
        <v>29276129</v>
      </c>
      <c r="I32" s="1"/>
      <c r="J32" s="1"/>
      <c r="K32" s="1"/>
    </row>
    <row r="33" spans="1:11" ht="14.5" customHeight="1" x14ac:dyDescent="0.2">
      <c r="A33" s="1"/>
      <c r="B33" s="68" t="s">
        <v>50</v>
      </c>
      <c r="C33" s="55">
        <v>3.07</v>
      </c>
      <c r="D33" s="56" t="s">
        <v>51</v>
      </c>
      <c r="E33" s="54" t="s">
        <v>45</v>
      </c>
      <c r="F33" s="57">
        <v>387.44</v>
      </c>
      <c r="G33" s="58">
        <f>ROUND(50109.586,0)</f>
        <v>50110</v>
      </c>
      <c r="H33" s="58">
        <f t="shared" si="1"/>
        <v>19414618</v>
      </c>
      <c r="I33" s="1"/>
      <c r="J33" s="1"/>
      <c r="K33" s="1"/>
    </row>
    <row r="34" spans="1:11" ht="14.5" customHeight="1" x14ac:dyDescent="0.2">
      <c r="A34" s="1"/>
      <c r="B34" s="68" t="s">
        <v>52</v>
      </c>
      <c r="C34" s="55">
        <v>3.08</v>
      </c>
      <c r="D34" s="56" t="s">
        <v>53</v>
      </c>
      <c r="E34" s="54" t="s">
        <v>21</v>
      </c>
      <c r="F34" s="57">
        <v>110</v>
      </c>
      <c r="G34" s="58">
        <f>ROUND(74703.3338,0)</f>
        <v>74703</v>
      </c>
      <c r="H34" s="58">
        <f t="shared" si="1"/>
        <v>8217330</v>
      </c>
      <c r="I34" s="1"/>
      <c r="J34" s="1"/>
      <c r="K34" s="1"/>
    </row>
    <row r="35" spans="1:11" ht="14.5" customHeight="1" x14ac:dyDescent="0.2">
      <c r="A35" s="1"/>
      <c r="B35" s="68" t="s">
        <v>54</v>
      </c>
      <c r="C35" s="55">
        <v>3.09</v>
      </c>
      <c r="D35" s="56" t="s">
        <v>55</v>
      </c>
      <c r="E35" s="54" t="s">
        <v>45</v>
      </c>
      <c r="F35" s="57">
        <v>110</v>
      </c>
      <c r="G35" s="58">
        <f>ROUND(73802.166,0)</f>
        <v>73802</v>
      </c>
      <c r="H35" s="58">
        <f t="shared" si="1"/>
        <v>8118220</v>
      </c>
      <c r="I35" s="1"/>
      <c r="J35" s="1"/>
      <c r="K35" s="1"/>
    </row>
    <row r="36" spans="1:11" ht="14.5" customHeight="1" x14ac:dyDescent="0.2">
      <c r="A36" s="1"/>
      <c r="B36" s="67"/>
      <c r="C36" s="52">
        <v>4</v>
      </c>
      <c r="D36" s="53" t="s">
        <v>56</v>
      </c>
      <c r="E36" s="51"/>
      <c r="F36" s="51"/>
      <c r="G36" s="51"/>
      <c r="H36" s="51"/>
      <c r="I36" s="1"/>
      <c r="J36" s="1"/>
      <c r="K36" s="1"/>
    </row>
    <row r="37" spans="1:11" ht="14.5" customHeight="1" x14ac:dyDescent="0.2">
      <c r="A37" s="1"/>
      <c r="B37" s="68" t="s">
        <v>57</v>
      </c>
      <c r="C37" s="55">
        <v>4.01</v>
      </c>
      <c r="D37" s="56" t="s">
        <v>58</v>
      </c>
      <c r="E37" s="54" t="s">
        <v>45</v>
      </c>
      <c r="F37" s="57">
        <v>720</v>
      </c>
      <c r="G37" s="58">
        <f>ROUND(10399.4344,0)</f>
        <v>10399</v>
      </c>
      <c r="H37" s="58">
        <f t="shared" ref="H37:H42" si="2">IFERROR(ROUND(F37*G37,0),0)</f>
        <v>7487280</v>
      </c>
      <c r="I37" s="1"/>
      <c r="J37" s="1"/>
      <c r="K37" s="1"/>
    </row>
    <row r="38" spans="1:11" ht="14.5" customHeight="1" x14ac:dyDescent="0.2">
      <c r="A38" s="1"/>
      <c r="B38" s="68" t="s">
        <v>22</v>
      </c>
      <c r="C38" s="55">
        <v>4.0199999999999996</v>
      </c>
      <c r="D38" s="56" t="s">
        <v>23</v>
      </c>
      <c r="E38" s="54" t="s">
        <v>24</v>
      </c>
      <c r="F38" s="57">
        <v>1</v>
      </c>
      <c r="G38" s="58">
        <f>ROUND(9890.955,0)</f>
        <v>9891</v>
      </c>
      <c r="H38" s="58">
        <f t="shared" si="2"/>
        <v>9891</v>
      </c>
      <c r="I38" s="1"/>
      <c r="J38" s="1"/>
      <c r="K38" s="1"/>
    </row>
    <row r="39" spans="1:11" ht="14.5" customHeight="1" x14ac:dyDescent="0.2">
      <c r="A39" s="1"/>
      <c r="B39" s="68" t="s">
        <v>25</v>
      </c>
      <c r="C39" s="55">
        <v>4.03</v>
      </c>
      <c r="D39" s="56" t="s">
        <v>26</v>
      </c>
      <c r="E39" s="54" t="s">
        <v>24</v>
      </c>
      <c r="F39" s="57">
        <v>1</v>
      </c>
      <c r="G39" s="58">
        <f>ROUND(11898.4666,0)</f>
        <v>11898</v>
      </c>
      <c r="H39" s="58">
        <f t="shared" si="2"/>
        <v>11898</v>
      </c>
      <c r="I39" s="1"/>
      <c r="J39" s="1"/>
      <c r="K39" s="1"/>
    </row>
    <row r="40" spans="1:11" ht="26.5" customHeight="1" x14ac:dyDescent="0.2">
      <c r="A40" s="1"/>
      <c r="B40" s="68" t="s">
        <v>27</v>
      </c>
      <c r="C40" s="55">
        <v>4.04</v>
      </c>
      <c r="D40" s="56" t="s">
        <v>28</v>
      </c>
      <c r="E40" s="54" t="s">
        <v>29</v>
      </c>
      <c r="F40" s="57">
        <v>32</v>
      </c>
      <c r="G40" s="58">
        <f>ROUND(3610.62,0)</f>
        <v>3611</v>
      </c>
      <c r="H40" s="58">
        <f t="shared" si="2"/>
        <v>115552</v>
      </c>
      <c r="I40" s="1"/>
      <c r="J40" s="1"/>
      <c r="K40" s="1"/>
    </row>
    <row r="41" spans="1:11" ht="14.5" customHeight="1" x14ac:dyDescent="0.2">
      <c r="A41" s="1"/>
      <c r="B41" s="68" t="s">
        <v>59</v>
      </c>
      <c r="C41" s="55">
        <v>4.05</v>
      </c>
      <c r="D41" s="56" t="s">
        <v>60</v>
      </c>
      <c r="E41" s="54" t="s">
        <v>45</v>
      </c>
      <c r="F41" s="57">
        <v>720</v>
      </c>
      <c r="G41" s="58">
        <f>ROUND(43874.7562,0)</f>
        <v>43875</v>
      </c>
      <c r="H41" s="58">
        <f t="shared" si="2"/>
        <v>31590000</v>
      </c>
      <c r="I41" s="1"/>
      <c r="J41" s="1"/>
      <c r="K41" s="1"/>
    </row>
    <row r="42" spans="1:11" ht="14.5" customHeight="1" x14ac:dyDescent="0.2">
      <c r="A42" s="1"/>
      <c r="B42" s="68" t="s">
        <v>52</v>
      </c>
      <c r="C42" s="55">
        <v>4.0599999999999996</v>
      </c>
      <c r="D42" s="56" t="s">
        <v>53</v>
      </c>
      <c r="E42" s="54" t="s">
        <v>21</v>
      </c>
      <c r="F42" s="57">
        <v>32</v>
      </c>
      <c r="G42" s="58">
        <f>ROUND(74703.3338,0)</f>
        <v>74703</v>
      </c>
      <c r="H42" s="58">
        <f t="shared" si="2"/>
        <v>2390496</v>
      </c>
      <c r="I42" s="1"/>
      <c r="J42" s="1"/>
      <c r="K42" s="1"/>
    </row>
    <row r="43" spans="1:11" ht="14.5" customHeight="1" x14ac:dyDescent="0.2">
      <c r="A43" s="1"/>
      <c r="B43" s="67"/>
      <c r="C43" s="52">
        <v>5</v>
      </c>
      <c r="D43" s="53" t="s">
        <v>61</v>
      </c>
      <c r="E43" s="51"/>
      <c r="F43" s="51"/>
      <c r="G43" s="51"/>
      <c r="H43" s="51"/>
      <c r="I43" s="1"/>
      <c r="J43" s="1"/>
      <c r="K43" s="1"/>
    </row>
    <row r="44" spans="1:11" ht="14.5" customHeight="1" x14ac:dyDescent="0.2">
      <c r="A44" s="1"/>
      <c r="B44" s="68" t="s">
        <v>62</v>
      </c>
      <c r="C44" s="55">
        <v>5.01</v>
      </c>
      <c r="D44" s="56" t="s">
        <v>63</v>
      </c>
      <c r="E44" s="54" t="s">
        <v>45</v>
      </c>
      <c r="F44" s="57">
        <v>20</v>
      </c>
      <c r="G44" s="58">
        <f>ROUND(2695.3986,0)</f>
        <v>2695</v>
      </c>
      <c r="H44" s="58">
        <f t="shared" ref="H44:H50" si="3">IFERROR(ROUND(F44*G44,0),0)</f>
        <v>53900</v>
      </c>
      <c r="I44" s="1"/>
      <c r="J44" s="1"/>
      <c r="K44" s="1"/>
    </row>
    <row r="45" spans="1:11" ht="14.5" customHeight="1" x14ac:dyDescent="0.2">
      <c r="A45" s="1"/>
      <c r="B45" s="68" t="s">
        <v>64</v>
      </c>
      <c r="C45" s="55">
        <v>5.0199999999999996</v>
      </c>
      <c r="D45" s="56" t="s">
        <v>65</v>
      </c>
      <c r="E45" s="54" t="s">
        <v>21</v>
      </c>
      <c r="F45" s="57">
        <v>20</v>
      </c>
      <c r="G45" s="58">
        <f>ROUND(8240.4,0)</f>
        <v>8240</v>
      </c>
      <c r="H45" s="58">
        <f t="shared" si="3"/>
        <v>164800</v>
      </c>
      <c r="I45" s="1"/>
      <c r="J45" s="1"/>
      <c r="K45" s="1"/>
    </row>
    <row r="46" spans="1:11" ht="14.5" customHeight="1" x14ac:dyDescent="0.2">
      <c r="A46" s="1"/>
      <c r="B46" s="68" t="s">
        <v>22</v>
      </c>
      <c r="C46" s="55">
        <v>5.03</v>
      </c>
      <c r="D46" s="56" t="s">
        <v>23</v>
      </c>
      <c r="E46" s="54" t="s">
        <v>24</v>
      </c>
      <c r="F46" s="57">
        <v>2</v>
      </c>
      <c r="G46" s="58">
        <f>ROUND(9890.955,0)</f>
        <v>9891</v>
      </c>
      <c r="H46" s="58">
        <f t="shared" si="3"/>
        <v>19782</v>
      </c>
      <c r="I46" s="1"/>
      <c r="J46" s="1"/>
      <c r="K46" s="1"/>
    </row>
    <row r="47" spans="1:11" ht="14.5" customHeight="1" x14ac:dyDescent="0.2">
      <c r="A47" s="1"/>
      <c r="B47" s="68" t="s">
        <v>25</v>
      </c>
      <c r="C47" s="55">
        <v>5.04</v>
      </c>
      <c r="D47" s="56" t="s">
        <v>26</v>
      </c>
      <c r="E47" s="54" t="s">
        <v>24</v>
      </c>
      <c r="F47" s="57">
        <v>2</v>
      </c>
      <c r="G47" s="58">
        <f>ROUND(11898.4666,0)</f>
        <v>11898</v>
      </c>
      <c r="H47" s="58">
        <f t="shared" si="3"/>
        <v>23796</v>
      </c>
      <c r="I47" s="1"/>
      <c r="J47" s="1"/>
      <c r="K47" s="1"/>
    </row>
    <row r="48" spans="1:11" ht="26.5" customHeight="1" x14ac:dyDescent="0.2">
      <c r="A48" s="1"/>
      <c r="B48" s="68" t="s">
        <v>27</v>
      </c>
      <c r="C48" s="55">
        <v>5.05</v>
      </c>
      <c r="D48" s="56" t="s">
        <v>28</v>
      </c>
      <c r="E48" s="54" t="s">
        <v>29</v>
      </c>
      <c r="F48" s="57">
        <v>64</v>
      </c>
      <c r="G48" s="58">
        <f>ROUND(3610.62,0)</f>
        <v>3611</v>
      </c>
      <c r="H48" s="58">
        <f t="shared" si="3"/>
        <v>231104</v>
      </c>
      <c r="I48" s="1"/>
      <c r="J48" s="1"/>
      <c r="K48" s="1"/>
    </row>
    <row r="49" spans="1:11" ht="14.5" customHeight="1" x14ac:dyDescent="0.2">
      <c r="A49" s="1"/>
      <c r="B49" s="68" t="s">
        <v>66</v>
      </c>
      <c r="C49" s="55">
        <v>5.0599999999999996</v>
      </c>
      <c r="D49" s="56" t="s">
        <v>67</v>
      </c>
      <c r="E49" s="54" t="s">
        <v>45</v>
      </c>
      <c r="F49" s="57">
        <v>20</v>
      </c>
      <c r="G49" s="58">
        <f>ROUND(36217.691,0)</f>
        <v>36218</v>
      </c>
      <c r="H49" s="58">
        <f t="shared" si="3"/>
        <v>724360</v>
      </c>
      <c r="I49" s="1"/>
      <c r="J49" s="1"/>
      <c r="K49" s="1"/>
    </row>
    <row r="50" spans="1:11" ht="14.5" customHeight="1" x14ac:dyDescent="0.2">
      <c r="A50" s="1"/>
      <c r="B50" s="68" t="s">
        <v>68</v>
      </c>
      <c r="C50" s="55">
        <v>5.07</v>
      </c>
      <c r="D50" s="56" t="s">
        <v>69</v>
      </c>
      <c r="E50" s="54" t="s">
        <v>45</v>
      </c>
      <c r="F50" s="57">
        <v>20</v>
      </c>
      <c r="G50" s="58">
        <f>ROUND(7166.04,0)</f>
        <v>7166</v>
      </c>
      <c r="H50" s="58">
        <f t="shared" si="3"/>
        <v>143320</v>
      </c>
      <c r="I50" s="1"/>
      <c r="J50" s="1"/>
      <c r="K50" s="1"/>
    </row>
    <row r="51" spans="1:11" ht="14.5" customHeight="1" x14ac:dyDescent="0.2">
      <c r="A51" s="1"/>
      <c r="B51" s="67"/>
      <c r="C51" s="52">
        <v>6</v>
      </c>
      <c r="D51" s="53" t="s">
        <v>70</v>
      </c>
      <c r="E51" s="51"/>
      <c r="F51" s="51"/>
      <c r="G51" s="51"/>
      <c r="H51" s="51"/>
      <c r="I51" s="1"/>
      <c r="J51" s="1"/>
      <c r="K51" s="1"/>
    </row>
    <row r="52" spans="1:11" ht="14.5" customHeight="1" x14ac:dyDescent="0.2">
      <c r="A52" s="1"/>
      <c r="B52" s="68" t="s">
        <v>71</v>
      </c>
      <c r="C52" s="55">
        <v>6.01</v>
      </c>
      <c r="D52" s="56" t="s">
        <v>72</v>
      </c>
      <c r="E52" s="54" t="s">
        <v>21</v>
      </c>
      <c r="F52" s="57">
        <v>2</v>
      </c>
      <c r="G52" s="58">
        <f>ROUND(4341.311,0)</f>
        <v>4341</v>
      </c>
      <c r="H52" s="58">
        <f>IFERROR(ROUND(F52*G52,0),0)</f>
        <v>8682</v>
      </c>
      <c r="I52" s="1"/>
      <c r="J52" s="1"/>
      <c r="K52" s="1"/>
    </row>
    <row r="53" spans="1:11" ht="14.5" customHeight="1" x14ac:dyDescent="0.2">
      <c r="A53" s="1"/>
      <c r="B53" s="68" t="s">
        <v>22</v>
      </c>
      <c r="C53" s="55">
        <v>6.02</v>
      </c>
      <c r="D53" s="56" t="s">
        <v>23</v>
      </c>
      <c r="E53" s="54" t="s">
        <v>24</v>
      </c>
      <c r="F53" s="57">
        <v>1</v>
      </c>
      <c r="G53" s="58">
        <f>ROUND(9890.955,0)</f>
        <v>9891</v>
      </c>
      <c r="H53" s="58">
        <f>IFERROR(ROUND(F53*G53,0),0)</f>
        <v>9891</v>
      </c>
      <c r="I53" s="1"/>
      <c r="J53" s="1"/>
      <c r="K53" s="1"/>
    </row>
    <row r="54" spans="1:11" ht="14.5" customHeight="1" x14ac:dyDescent="0.2">
      <c r="A54" s="1"/>
      <c r="B54" s="68" t="s">
        <v>25</v>
      </c>
      <c r="C54" s="55">
        <v>6.03</v>
      </c>
      <c r="D54" s="56" t="s">
        <v>26</v>
      </c>
      <c r="E54" s="54" t="s">
        <v>24</v>
      </c>
      <c r="F54" s="57">
        <v>1</v>
      </c>
      <c r="G54" s="58">
        <f>ROUND(11898.4666,0)</f>
        <v>11898</v>
      </c>
      <c r="H54" s="58">
        <f>IFERROR(ROUND(F54*G54,0),0)</f>
        <v>11898</v>
      </c>
      <c r="I54" s="1"/>
      <c r="J54" s="1"/>
      <c r="K54" s="1"/>
    </row>
    <row r="55" spans="1:11" ht="26.5" customHeight="1" x14ac:dyDescent="0.2">
      <c r="A55" s="1"/>
      <c r="B55" s="68" t="s">
        <v>27</v>
      </c>
      <c r="C55" s="55">
        <v>6.04</v>
      </c>
      <c r="D55" s="56" t="s">
        <v>28</v>
      </c>
      <c r="E55" s="54" t="s">
        <v>29</v>
      </c>
      <c r="F55" s="57">
        <v>32</v>
      </c>
      <c r="G55" s="58">
        <f>ROUND(3610.62,0)</f>
        <v>3611</v>
      </c>
      <c r="H55" s="58">
        <f>IFERROR(ROUND(F55*G55,0),0)</f>
        <v>115552</v>
      </c>
      <c r="I55" s="1"/>
      <c r="J55" s="1"/>
      <c r="K55" s="1"/>
    </row>
    <row r="56" spans="1:11" ht="14.5" customHeight="1" x14ac:dyDescent="0.2">
      <c r="A56" s="1"/>
      <c r="B56" s="68" t="s">
        <v>73</v>
      </c>
      <c r="C56" s="55">
        <v>6.05</v>
      </c>
      <c r="D56" s="56" t="s">
        <v>74</v>
      </c>
      <c r="E56" s="54" t="s">
        <v>21</v>
      </c>
      <c r="F56" s="57">
        <v>5</v>
      </c>
      <c r="G56" s="58">
        <f>ROUND(13688.52,0)</f>
        <v>13689</v>
      </c>
      <c r="H56" s="58">
        <f>IFERROR(ROUND(F56*G56,0),0)</f>
        <v>68445</v>
      </c>
      <c r="I56" s="1"/>
      <c r="J56" s="1"/>
      <c r="K56" s="1"/>
    </row>
    <row r="57" spans="1:11" ht="14.5" customHeight="1" x14ac:dyDescent="0.2">
      <c r="A57" s="1"/>
      <c r="B57" s="67"/>
      <c r="C57" s="52">
        <v>7</v>
      </c>
      <c r="D57" s="53" t="s">
        <v>75</v>
      </c>
      <c r="E57" s="51"/>
      <c r="F57" s="51"/>
      <c r="G57" s="51"/>
      <c r="H57" s="51"/>
      <c r="I57" s="1"/>
      <c r="J57" s="1"/>
      <c r="K57" s="1"/>
    </row>
    <row r="58" spans="1:11" ht="14.5" customHeight="1" x14ac:dyDescent="0.2">
      <c r="A58" s="1"/>
      <c r="B58" s="68" t="s">
        <v>76</v>
      </c>
      <c r="C58" s="55">
        <v>7.01</v>
      </c>
      <c r="D58" s="56" t="s">
        <v>77</v>
      </c>
      <c r="E58" s="54" t="s">
        <v>45</v>
      </c>
      <c r="F58" s="57">
        <v>300</v>
      </c>
      <c r="G58" s="58">
        <f>ROUND(4495.6112,0)</f>
        <v>4496</v>
      </c>
      <c r="H58" s="58">
        <f>IFERROR(ROUND(F58*G58,0),0)</f>
        <v>1348800</v>
      </c>
      <c r="I58" s="1"/>
      <c r="J58" s="1"/>
      <c r="K58" s="1"/>
    </row>
    <row r="59" spans="1:11" ht="14.5" customHeight="1" x14ac:dyDescent="0.2">
      <c r="A59" s="1"/>
      <c r="B59" s="68" t="s">
        <v>78</v>
      </c>
      <c r="C59" s="55">
        <v>7.02</v>
      </c>
      <c r="D59" s="56" t="s">
        <v>79</v>
      </c>
      <c r="E59" s="54" t="s">
        <v>21</v>
      </c>
      <c r="F59" s="57">
        <v>300</v>
      </c>
      <c r="G59" s="58">
        <f>ROUND(12853.368,0)</f>
        <v>12853</v>
      </c>
      <c r="H59" s="58">
        <f>IFERROR(ROUND(F59*G59,0),0)</f>
        <v>3855900</v>
      </c>
      <c r="I59" s="1"/>
      <c r="J59" s="1"/>
      <c r="K59" s="1"/>
    </row>
    <row r="60" spans="1:11" ht="14.5" customHeight="1" x14ac:dyDescent="0.2">
      <c r="A60" s="1"/>
      <c r="B60" s="68" t="s">
        <v>80</v>
      </c>
      <c r="C60" s="55">
        <v>7.03</v>
      </c>
      <c r="D60" s="56" t="s">
        <v>81</v>
      </c>
      <c r="E60" s="54" t="s">
        <v>45</v>
      </c>
      <c r="F60" s="57">
        <v>300</v>
      </c>
      <c r="G60" s="58">
        <f>ROUND(17452.5471,0)</f>
        <v>17453</v>
      </c>
      <c r="H60" s="58">
        <f>IFERROR(ROUND(F60*G60,0),0)</f>
        <v>5235900</v>
      </c>
      <c r="I60" s="1"/>
      <c r="J60" s="1"/>
      <c r="K60" s="1"/>
    </row>
    <row r="61" spans="1:11" ht="14.5" customHeight="1" x14ac:dyDescent="0.2">
      <c r="A61" s="1"/>
      <c r="B61" s="68" t="s">
        <v>82</v>
      </c>
      <c r="C61" s="55">
        <v>7.04</v>
      </c>
      <c r="D61" s="56" t="s">
        <v>83</v>
      </c>
      <c r="E61" s="54" t="s">
        <v>45</v>
      </c>
      <c r="F61" s="57">
        <v>300</v>
      </c>
      <c r="G61" s="58">
        <f>ROUND(11284.1963,0)</f>
        <v>11284</v>
      </c>
      <c r="H61" s="58">
        <f>IFERROR(ROUND(F61*G61,0),0)</f>
        <v>3385200</v>
      </c>
      <c r="I61" s="1"/>
      <c r="J61" s="1"/>
      <c r="K61" s="1"/>
    </row>
    <row r="62" spans="1:11" ht="14.5" customHeight="1" x14ac:dyDescent="0.2">
      <c r="A62" s="1"/>
      <c r="B62" s="68" t="s">
        <v>84</v>
      </c>
      <c r="C62" s="55">
        <v>7.05</v>
      </c>
      <c r="D62" s="56" t="s">
        <v>85</v>
      </c>
      <c r="E62" s="54" t="s">
        <v>45</v>
      </c>
      <c r="F62" s="57">
        <v>650</v>
      </c>
      <c r="G62" s="58">
        <f>2687100/1.42/650</f>
        <v>2911.2676056338032</v>
      </c>
      <c r="H62" s="58">
        <f>IFERROR(ROUND(F62*G62,0),0)</f>
        <v>1892324</v>
      </c>
      <c r="I62" s="1"/>
      <c r="J62" s="1"/>
      <c r="K62" s="1"/>
    </row>
    <row r="63" spans="1:11" ht="14.5" customHeight="1" x14ac:dyDescent="0.2">
      <c r="A63" s="1"/>
      <c r="B63" s="67"/>
      <c r="C63" s="52">
        <v>8</v>
      </c>
      <c r="D63" s="53" t="s">
        <v>86</v>
      </c>
      <c r="E63" s="51"/>
      <c r="F63" s="51"/>
      <c r="G63" s="51"/>
      <c r="H63" s="51"/>
      <c r="I63" s="1"/>
      <c r="J63" s="1"/>
      <c r="K63" s="1"/>
    </row>
    <row r="64" spans="1:11" ht="14.5" customHeight="1" x14ac:dyDescent="0.2">
      <c r="A64" s="1"/>
      <c r="B64" s="68" t="s">
        <v>87</v>
      </c>
      <c r="C64" s="55">
        <v>8.01</v>
      </c>
      <c r="D64" s="56" t="s">
        <v>88</v>
      </c>
      <c r="E64" s="54" t="s">
        <v>15</v>
      </c>
      <c r="F64" s="57">
        <v>6</v>
      </c>
      <c r="G64" s="58">
        <f>ROUND(524387.325,0)</f>
        <v>524387</v>
      </c>
      <c r="H64" s="58">
        <f>IFERROR(ROUND(F64*G64,0),0)</f>
        <v>3146322</v>
      </c>
      <c r="I64" s="1"/>
      <c r="J64" s="1"/>
      <c r="K64" s="1"/>
    </row>
    <row r="65" spans="1:11" ht="14.5" customHeight="1" x14ac:dyDescent="0.2">
      <c r="A65" s="1"/>
      <c r="B65" s="67"/>
      <c r="C65" s="52">
        <v>9</v>
      </c>
      <c r="D65" s="53" t="s">
        <v>89</v>
      </c>
      <c r="E65" s="51"/>
      <c r="F65" s="51"/>
      <c r="G65" s="51"/>
      <c r="H65" s="51"/>
      <c r="I65" s="1"/>
      <c r="J65" s="1"/>
      <c r="K65" s="1"/>
    </row>
    <row r="66" spans="1:11" ht="14.5" customHeight="1" x14ac:dyDescent="0.2">
      <c r="A66" s="1"/>
      <c r="B66" s="68" t="s">
        <v>90</v>
      </c>
      <c r="C66" s="55">
        <v>9.01</v>
      </c>
      <c r="D66" s="56" t="s">
        <v>91</v>
      </c>
      <c r="E66" s="54" t="s">
        <v>15</v>
      </c>
      <c r="F66" s="57">
        <v>8</v>
      </c>
      <c r="G66" s="58">
        <f>ROUND(58403.89,0)</f>
        <v>58404</v>
      </c>
      <c r="H66" s="58">
        <f>IFERROR(ROUND(F66*G66,0),0)</f>
        <v>467232</v>
      </c>
      <c r="I66" s="1"/>
      <c r="J66" s="1"/>
      <c r="K66" s="1"/>
    </row>
    <row r="67" spans="1:11" ht="14.5" customHeight="1" x14ac:dyDescent="0.2">
      <c r="A67" s="1"/>
      <c r="B67" s="67"/>
      <c r="C67" s="52">
        <v>10</v>
      </c>
      <c r="D67" s="53" t="s">
        <v>92</v>
      </c>
      <c r="E67" s="51"/>
      <c r="F67" s="51"/>
      <c r="G67" s="51"/>
      <c r="H67" s="51"/>
      <c r="I67" s="1"/>
      <c r="J67" s="1"/>
      <c r="K67" s="1"/>
    </row>
    <row r="68" spans="1:11" ht="14.5" customHeight="1" x14ac:dyDescent="0.2">
      <c r="A68" s="1"/>
      <c r="B68" s="68">
        <v>200713</v>
      </c>
      <c r="C68" s="55">
        <v>10.01</v>
      </c>
      <c r="D68" s="63" t="s">
        <v>93</v>
      </c>
      <c r="E68" s="54" t="s">
        <v>45</v>
      </c>
      <c r="F68" s="57">
        <v>350</v>
      </c>
      <c r="G68" s="58">
        <f>ROUND(99253.2,0)</f>
        <v>99253</v>
      </c>
      <c r="H68" s="58">
        <f>IFERROR(ROUND(F68*G68,0),0)</f>
        <v>34738550</v>
      </c>
      <c r="I68" s="1"/>
      <c r="J68" s="1"/>
      <c r="K68" s="1"/>
    </row>
    <row r="69" spans="1:11" ht="14.5" customHeight="1" x14ac:dyDescent="0.2">
      <c r="A69" s="1"/>
      <c r="B69" s="68">
        <v>200714</v>
      </c>
      <c r="C69" s="55">
        <v>10.02</v>
      </c>
      <c r="D69" s="56" t="s">
        <v>94</v>
      </c>
      <c r="E69" s="54" t="s">
        <v>45</v>
      </c>
      <c r="F69" s="57">
        <f>(350*148880-6040)/148880</f>
        <v>349.95943041375602</v>
      </c>
      <c r="G69" s="58">
        <f>ROUND(148879.8,0)</f>
        <v>148880</v>
      </c>
      <c r="H69" s="58">
        <f>IFERROR(ROUND(F69*G69,0),0)</f>
        <v>52101960</v>
      </c>
      <c r="I69" s="1"/>
      <c r="J69" s="1"/>
      <c r="K69" s="1"/>
    </row>
    <row r="70" spans="1:11" ht="14.5" customHeight="1" x14ac:dyDescent="0.2">
      <c r="A70" s="1"/>
      <c r="B70" s="68">
        <v>200715</v>
      </c>
      <c r="C70" s="55">
        <v>10.029999999999999</v>
      </c>
      <c r="D70" s="56" t="s">
        <v>95</v>
      </c>
      <c r="E70" s="54" t="s">
        <v>45</v>
      </c>
      <c r="F70" s="57">
        <v>350</v>
      </c>
      <c r="G70" s="58">
        <f>ROUND(99253.2,0)</f>
        <v>99253</v>
      </c>
      <c r="H70" s="58">
        <f>IFERROR(ROUND(F70*G70,0),0)</f>
        <v>34738550</v>
      </c>
      <c r="I70" s="1"/>
      <c r="J70" s="1"/>
      <c r="K70" s="1"/>
    </row>
    <row r="71" spans="1:11" ht="14.5" customHeight="1" x14ac:dyDescent="0.2">
      <c r="A71" s="1"/>
      <c r="B71" s="68">
        <v>200716</v>
      </c>
      <c r="C71" s="55">
        <v>10.039999999999999</v>
      </c>
      <c r="D71" s="56" t="s">
        <v>96</v>
      </c>
      <c r="E71" s="54" t="s">
        <v>45</v>
      </c>
      <c r="F71" s="57">
        <v>350</v>
      </c>
      <c r="G71" s="58">
        <f>ROUND(74439.9,0)</f>
        <v>74440</v>
      </c>
      <c r="H71" s="58">
        <f>IFERROR(ROUND(F71*G71,0),0)</f>
        <v>26054000</v>
      </c>
      <c r="I71" s="1"/>
      <c r="J71" s="1"/>
      <c r="K71" s="1"/>
    </row>
    <row r="72" spans="1:11" ht="14.5" customHeight="1" x14ac:dyDescent="0.2">
      <c r="A72" s="1"/>
      <c r="B72" s="68">
        <v>200717</v>
      </c>
      <c r="C72" s="55">
        <v>10.050000000000001</v>
      </c>
      <c r="D72" s="56" t="s">
        <v>97</v>
      </c>
      <c r="E72" s="54" t="s">
        <v>45</v>
      </c>
      <c r="F72" s="57">
        <v>350</v>
      </c>
      <c r="G72" s="58">
        <f>ROUND(74439.9,0)</f>
        <v>74440</v>
      </c>
      <c r="H72" s="58">
        <f>IFERROR(ROUND(F72*G72,0),0)</f>
        <v>26054000</v>
      </c>
      <c r="I72" s="1"/>
      <c r="J72" s="1"/>
      <c r="K72" s="1"/>
    </row>
    <row r="73" spans="1:11" ht="14.5" customHeight="1" x14ac:dyDescent="0.2">
      <c r="A73" s="1"/>
      <c r="B73" s="67"/>
      <c r="C73" s="52">
        <v>11</v>
      </c>
      <c r="D73" s="53" t="s">
        <v>98</v>
      </c>
      <c r="E73" s="51"/>
      <c r="F73" s="51"/>
      <c r="G73" s="51"/>
      <c r="H73" s="51"/>
      <c r="I73" s="1"/>
      <c r="J73" s="1"/>
      <c r="K73" s="1"/>
    </row>
    <row r="74" spans="1:11" ht="39.5" customHeight="1" x14ac:dyDescent="0.2">
      <c r="A74" s="1"/>
      <c r="B74" s="68" t="s">
        <v>99</v>
      </c>
      <c r="C74" s="55">
        <v>11.01</v>
      </c>
      <c r="D74" s="56" t="s">
        <v>100</v>
      </c>
      <c r="E74" s="54" t="s">
        <v>15</v>
      </c>
      <c r="F74" s="57">
        <v>2</v>
      </c>
      <c r="G74" s="58">
        <f>ROUND(14792785.7,0)</f>
        <v>14792786</v>
      </c>
      <c r="H74" s="58">
        <f>IFERROR(ROUND(F74*G74,0),0)</f>
        <v>29585572</v>
      </c>
      <c r="I74" s="1"/>
      <c r="J74" s="1"/>
      <c r="K74" s="1"/>
    </row>
    <row r="75" spans="1:11" ht="14.5" customHeight="1" x14ac:dyDescent="0.2">
      <c r="A75" s="1"/>
      <c r="B75" s="67"/>
      <c r="C75" s="52">
        <v>12</v>
      </c>
      <c r="D75" s="53" t="s">
        <v>101</v>
      </c>
      <c r="E75" s="51"/>
      <c r="F75" s="51"/>
      <c r="G75" s="51"/>
      <c r="H75" s="51"/>
      <c r="I75" s="1"/>
      <c r="J75" s="1"/>
      <c r="K75" s="1"/>
    </row>
    <row r="76" spans="1:11" ht="26.5" customHeight="1" x14ac:dyDescent="0.2">
      <c r="A76" s="1"/>
      <c r="B76" s="68">
        <v>180450</v>
      </c>
      <c r="C76" s="55">
        <v>12.01</v>
      </c>
      <c r="D76" s="56" t="s">
        <v>102</v>
      </c>
      <c r="E76" s="54" t="s">
        <v>45</v>
      </c>
      <c r="F76" s="57">
        <v>1</v>
      </c>
      <c r="G76" s="58">
        <f>ROUND(45000,0)</f>
        <v>45000</v>
      </c>
      <c r="H76" s="58">
        <f t="shared" ref="H76:H82" si="4">IFERROR(ROUND(F76*G76,0),0)</f>
        <v>45000</v>
      </c>
      <c r="I76" s="1"/>
      <c r="J76" s="1"/>
      <c r="K76" s="1"/>
    </row>
    <row r="77" spans="1:11" ht="14.5" customHeight="1" x14ac:dyDescent="0.2">
      <c r="A77" s="1"/>
      <c r="B77" s="68" t="s">
        <v>103</v>
      </c>
      <c r="C77" s="55">
        <v>12.02</v>
      </c>
      <c r="D77" s="56" t="s">
        <v>104</v>
      </c>
      <c r="E77" s="54" t="s">
        <v>45</v>
      </c>
      <c r="F77" s="57">
        <v>1</v>
      </c>
      <c r="G77" s="58">
        <f>ROUND(123668.5991,0)</f>
        <v>123669</v>
      </c>
      <c r="H77" s="58">
        <f t="shared" si="4"/>
        <v>123669</v>
      </c>
      <c r="I77" s="1"/>
      <c r="J77" s="1"/>
      <c r="K77" s="1"/>
    </row>
    <row r="78" spans="1:11" ht="14.5" customHeight="1" x14ac:dyDescent="0.2">
      <c r="A78" s="1"/>
      <c r="B78" s="68" t="s">
        <v>103</v>
      </c>
      <c r="C78" s="55">
        <v>12.03</v>
      </c>
      <c r="D78" s="56" t="s">
        <v>104</v>
      </c>
      <c r="E78" s="54" t="s">
        <v>45</v>
      </c>
      <c r="F78" s="57">
        <v>1</v>
      </c>
      <c r="G78" s="58">
        <f>ROUND(123668.5991,0)</f>
        <v>123669</v>
      </c>
      <c r="H78" s="58">
        <f t="shared" si="4"/>
        <v>123669</v>
      </c>
      <c r="I78" s="1"/>
      <c r="J78" s="1"/>
      <c r="K78" s="1"/>
    </row>
    <row r="79" spans="1:11" ht="14.5" customHeight="1" x14ac:dyDescent="0.2">
      <c r="A79" s="1"/>
      <c r="B79" s="68" t="s">
        <v>105</v>
      </c>
      <c r="C79" s="55">
        <v>12.04</v>
      </c>
      <c r="D79" s="56" t="s">
        <v>106</v>
      </c>
      <c r="E79" s="54" t="s">
        <v>45</v>
      </c>
      <c r="F79" s="57">
        <v>387.44</v>
      </c>
      <c r="G79" s="58">
        <f>2380431/1.42/387.44</f>
        <v>4326.7599090308941</v>
      </c>
      <c r="H79" s="58">
        <f t="shared" si="4"/>
        <v>1676360</v>
      </c>
      <c r="I79" s="1"/>
      <c r="J79" s="1"/>
      <c r="K79" s="1"/>
    </row>
    <row r="80" spans="1:11" ht="14.5" customHeight="1" x14ac:dyDescent="0.2">
      <c r="A80" s="1"/>
      <c r="B80" s="68" t="s">
        <v>107</v>
      </c>
      <c r="C80" s="55">
        <v>12.05</v>
      </c>
      <c r="D80" s="56" t="s">
        <v>108</v>
      </c>
      <c r="E80" s="54" t="s">
        <v>21</v>
      </c>
      <c r="F80" s="57">
        <v>100</v>
      </c>
      <c r="G80" s="58">
        <f>ROUND(12853.368,0)</f>
        <v>12853</v>
      </c>
      <c r="H80" s="58">
        <f t="shared" si="4"/>
        <v>1285300</v>
      </c>
      <c r="I80" s="1"/>
      <c r="J80" s="1"/>
      <c r="K80" s="1"/>
    </row>
    <row r="81" spans="1:11" ht="14.5" customHeight="1" x14ac:dyDescent="0.2">
      <c r="A81" s="1"/>
      <c r="B81" s="68" t="s">
        <v>109</v>
      </c>
      <c r="C81" s="55">
        <v>12.06</v>
      </c>
      <c r="D81" s="56" t="s">
        <v>110</v>
      </c>
      <c r="E81" s="54" t="s">
        <v>45</v>
      </c>
      <c r="F81" s="57">
        <v>387.44</v>
      </c>
      <c r="G81" s="58">
        <f>ROUND(22412.6417,0)</f>
        <v>22413</v>
      </c>
      <c r="H81" s="58">
        <f t="shared" si="4"/>
        <v>8683693</v>
      </c>
      <c r="I81" s="1"/>
      <c r="J81" s="1"/>
      <c r="K81" s="1"/>
    </row>
    <row r="82" spans="1:11" ht="14.5" customHeight="1" x14ac:dyDescent="0.2">
      <c r="A82" s="1"/>
      <c r="B82" s="68" t="s">
        <v>111</v>
      </c>
      <c r="C82" s="55">
        <v>12.07</v>
      </c>
      <c r="D82" s="56" t="s">
        <v>112</v>
      </c>
      <c r="E82" s="54" t="s">
        <v>45</v>
      </c>
      <c r="F82" s="57">
        <v>387.44</v>
      </c>
      <c r="G82" s="58">
        <f>ROUND(18631.3031,0)</f>
        <v>18631</v>
      </c>
      <c r="H82" s="58">
        <f t="shared" si="4"/>
        <v>7218395</v>
      </c>
      <c r="I82" s="1"/>
      <c r="J82" s="1"/>
      <c r="K82" s="1"/>
    </row>
    <row r="83" spans="1:11" ht="14.5" customHeight="1" x14ac:dyDescent="0.2">
      <c r="A83" s="1"/>
      <c r="B83" s="67"/>
      <c r="C83" s="52">
        <v>13</v>
      </c>
      <c r="D83" s="53" t="s">
        <v>113</v>
      </c>
      <c r="E83" s="51"/>
      <c r="F83" s="51"/>
      <c r="G83" s="51"/>
      <c r="H83" s="51"/>
      <c r="I83" s="1"/>
      <c r="J83" s="1"/>
      <c r="K83" s="1"/>
    </row>
    <row r="84" spans="1:11" ht="14.5" customHeight="1" x14ac:dyDescent="0.2">
      <c r="A84" s="1"/>
      <c r="B84" s="68" t="s">
        <v>76</v>
      </c>
      <c r="C84" s="55">
        <v>13.01</v>
      </c>
      <c r="D84" s="56" t="s">
        <v>114</v>
      </c>
      <c r="E84" s="54" t="s">
        <v>45</v>
      </c>
      <c r="F84" s="57">
        <v>157</v>
      </c>
      <c r="G84" s="58">
        <f>ROUND(4495.6112,0)</f>
        <v>4496</v>
      </c>
      <c r="H84" s="58">
        <f t="shared" ref="H84:H91" si="5">IFERROR(ROUND(F84*G84,0),0)</f>
        <v>705872</v>
      </c>
      <c r="I84" s="1"/>
      <c r="J84" s="1"/>
      <c r="K84" s="1"/>
    </row>
    <row r="85" spans="1:11" ht="14.5" customHeight="1" x14ac:dyDescent="0.2">
      <c r="A85" s="1"/>
      <c r="B85" s="68" t="s">
        <v>78</v>
      </c>
      <c r="C85" s="55">
        <v>13.02</v>
      </c>
      <c r="D85" s="56" t="s">
        <v>115</v>
      </c>
      <c r="E85" s="54" t="s">
        <v>21</v>
      </c>
      <c r="F85" s="57">
        <v>50</v>
      </c>
      <c r="G85" s="58">
        <f>ROUND(12853.368,0)</f>
        <v>12853</v>
      </c>
      <c r="H85" s="58">
        <f t="shared" si="5"/>
        <v>642650</v>
      </c>
      <c r="I85" s="1"/>
      <c r="J85" s="1"/>
      <c r="K85" s="1"/>
    </row>
    <row r="86" spans="1:11" ht="14.5" customHeight="1" x14ac:dyDescent="0.2">
      <c r="A86" s="1"/>
      <c r="B86" s="68" t="s">
        <v>80</v>
      </c>
      <c r="C86" s="55">
        <v>13.03</v>
      </c>
      <c r="D86" s="56" t="s">
        <v>81</v>
      </c>
      <c r="E86" s="54" t="s">
        <v>45</v>
      </c>
      <c r="F86" s="57">
        <v>157</v>
      </c>
      <c r="G86" s="58">
        <f>ROUND(17452.5471,0)</f>
        <v>17453</v>
      </c>
      <c r="H86" s="58">
        <f t="shared" si="5"/>
        <v>2740121</v>
      </c>
      <c r="I86" s="1"/>
      <c r="J86" s="1"/>
      <c r="K86" s="1"/>
    </row>
    <row r="87" spans="1:11" ht="14.5" customHeight="1" x14ac:dyDescent="0.2">
      <c r="A87" s="1"/>
      <c r="B87" s="68" t="s">
        <v>82</v>
      </c>
      <c r="C87" s="55">
        <v>13.04</v>
      </c>
      <c r="D87" s="56" t="s">
        <v>83</v>
      </c>
      <c r="E87" s="54" t="s">
        <v>45</v>
      </c>
      <c r="F87" s="57">
        <v>157</v>
      </c>
      <c r="G87" s="58">
        <f>ROUND(11284.1963,0)</f>
        <v>11284</v>
      </c>
      <c r="H87" s="58">
        <f t="shared" si="5"/>
        <v>1771588</v>
      </c>
      <c r="I87" s="1"/>
      <c r="J87" s="1"/>
      <c r="K87" s="1"/>
    </row>
    <row r="88" spans="1:11" ht="14.5" customHeight="1" x14ac:dyDescent="0.2">
      <c r="A88" s="1"/>
      <c r="B88" s="68" t="s">
        <v>76</v>
      </c>
      <c r="C88" s="55">
        <v>13.05</v>
      </c>
      <c r="D88" s="56" t="s">
        <v>114</v>
      </c>
      <c r="E88" s="54" t="s">
        <v>45</v>
      </c>
      <c r="F88" s="57">
        <v>556</v>
      </c>
      <c r="G88" s="58">
        <f>ROUND(4495.6112,0)</f>
        <v>4496</v>
      </c>
      <c r="H88" s="58">
        <f t="shared" si="5"/>
        <v>2499776</v>
      </c>
      <c r="I88" s="1"/>
      <c r="J88" s="1"/>
      <c r="K88" s="1"/>
    </row>
    <row r="89" spans="1:11" ht="14.5" customHeight="1" x14ac:dyDescent="0.2">
      <c r="A89" s="1"/>
      <c r="B89" s="68" t="s">
        <v>78</v>
      </c>
      <c r="C89" s="55">
        <v>13.06</v>
      </c>
      <c r="D89" s="56" t="s">
        <v>115</v>
      </c>
      <c r="E89" s="54" t="s">
        <v>21</v>
      </c>
      <c r="F89" s="57">
        <v>10</v>
      </c>
      <c r="G89" s="58">
        <f>ROUND(12853.368,0)</f>
        <v>12853</v>
      </c>
      <c r="H89" s="58">
        <f t="shared" si="5"/>
        <v>128530</v>
      </c>
      <c r="I89" s="1"/>
      <c r="J89" s="1"/>
      <c r="K89" s="1"/>
    </row>
    <row r="90" spans="1:11" ht="14.5" customHeight="1" x14ac:dyDescent="0.2">
      <c r="A90" s="1"/>
      <c r="B90" s="68" t="s">
        <v>80</v>
      </c>
      <c r="C90" s="55">
        <v>13.07</v>
      </c>
      <c r="D90" s="56" t="s">
        <v>81</v>
      </c>
      <c r="E90" s="54" t="s">
        <v>45</v>
      </c>
      <c r="F90" s="57">
        <v>556</v>
      </c>
      <c r="G90" s="58">
        <f>ROUND(17452.5471,0)</f>
        <v>17453</v>
      </c>
      <c r="H90" s="58">
        <f t="shared" si="5"/>
        <v>9703868</v>
      </c>
      <c r="I90" s="1"/>
      <c r="J90" s="1"/>
      <c r="K90" s="1"/>
    </row>
    <row r="91" spans="1:11" ht="14.5" customHeight="1" x14ac:dyDescent="0.2">
      <c r="A91" s="1"/>
      <c r="B91" s="68" t="s">
        <v>82</v>
      </c>
      <c r="C91" s="55">
        <v>13.08</v>
      </c>
      <c r="D91" s="56" t="s">
        <v>83</v>
      </c>
      <c r="E91" s="54" t="s">
        <v>45</v>
      </c>
      <c r="F91" s="57">
        <v>556</v>
      </c>
      <c r="G91" s="58">
        <f>ROUND(11284.1963,0)</f>
        <v>11284</v>
      </c>
      <c r="H91" s="58">
        <f t="shared" si="5"/>
        <v>6273904</v>
      </c>
      <c r="I91" s="1"/>
      <c r="J91" s="1"/>
      <c r="K91" s="1"/>
    </row>
    <row r="92" spans="1:11" ht="14.5" customHeight="1" x14ac:dyDescent="0.2">
      <c r="A92" s="1"/>
      <c r="B92" s="67"/>
      <c r="C92" s="52">
        <v>14</v>
      </c>
      <c r="D92" s="53" t="s">
        <v>116</v>
      </c>
      <c r="E92" s="51"/>
      <c r="F92" s="51"/>
      <c r="G92" s="51"/>
      <c r="H92" s="51"/>
      <c r="I92" s="1"/>
      <c r="J92" s="1"/>
      <c r="K92" s="1"/>
    </row>
    <row r="93" spans="1:11" ht="39.5" customHeight="1" x14ac:dyDescent="0.2">
      <c r="A93" s="1"/>
      <c r="B93" s="68">
        <v>220377</v>
      </c>
      <c r="C93" s="55">
        <v>14.01</v>
      </c>
      <c r="D93" s="56" t="s">
        <v>117</v>
      </c>
      <c r="E93" s="54" t="s">
        <v>15</v>
      </c>
      <c r="F93" s="57">
        <v>30</v>
      </c>
      <c r="G93" s="58">
        <f>ROUND(250000,0)</f>
        <v>250000</v>
      </c>
      <c r="H93" s="58">
        <f t="shared" ref="H93:H99" si="6">IFERROR(ROUND(F93*G93,0),0)</f>
        <v>7500000</v>
      </c>
      <c r="I93" s="1"/>
      <c r="J93" s="1"/>
      <c r="K93" s="1"/>
    </row>
    <row r="94" spans="1:11" ht="26.5" customHeight="1" x14ac:dyDescent="0.2">
      <c r="A94" s="1"/>
      <c r="B94" s="68">
        <v>301330</v>
      </c>
      <c r="C94" s="55">
        <v>14.02</v>
      </c>
      <c r="D94" s="56" t="s">
        <v>118</v>
      </c>
      <c r="E94" s="54" t="s">
        <v>15</v>
      </c>
      <c r="F94" s="57">
        <v>1</v>
      </c>
      <c r="G94" s="58">
        <f>ROUND(1200000,0)</f>
        <v>1200000</v>
      </c>
      <c r="H94" s="58">
        <f t="shared" si="6"/>
        <v>1200000</v>
      </c>
      <c r="I94" s="1"/>
      <c r="J94" s="1"/>
      <c r="K94" s="1"/>
    </row>
    <row r="95" spans="1:11" ht="14.5" customHeight="1" x14ac:dyDescent="0.2">
      <c r="A95" s="1"/>
      <c r="B95" s="68" t="s">
        <v>119</v>
      </c>
      <c r="C95" s="55">
        <v>14.03</v>
      </c>
      <c r="D95" s="56" t="s">
        <v>120</v>
      </c>
      <c r="E95" s="54" t="s">
        <v>15</v>
      </c>
      <c r="F95" s="57">
        <v>1</v>
      </c>
      <c r="G95" s="58">
        <f>ROUND(24625.9642,0)</f>
        <v>24626</v>
      </c>
      <c r="H95" s="58">
        <f t="shared" si="6"/>
        <v>24626</v>
      </c>
      <c r="I95" s="1"/>
      <c r="J95" s="1"/>
      <c r="K95" s="1"/>
    </row>
    <row r="96" spans="1:11" ht="14.5" customHeight="1" x14ac:dyDescent="0.2">
      <c r="A96" s="1"/>
      <c r="B96" s="68" t="s">
        <v>22</v>
      </c>
      <c r="C96" s="55">
        <v>14.04</v>
      </c>
      <c r="D96" s="56" t="s">
        <v>23</v>
      </c>
      <c r="E96" s="54" t="s">
        <v>24</v>
      </c>
      <c r="F96" s="57">
        <v>1</v>
      </c>
      <c r="G96" s="58">
        <f>ROUND(9890.955,0)</f>
        <v>9891</v>
      </c>
      <c r="H96" s="58">
        <f t="shared" si="6"/>
        <v>9891</v>
      </c>
      <c r="I96" s="1"/>
      <c r="J96" s="1"/>
      <c r="K96" s="1"/>
    </row>
    <row r="97" spans="1:11" ht="14.5" customHeight="1" x14ac:dyDescent="0.2">
      <c r="A97" s="1"/>
      <c r="B97" s="68" t="s">
        <v>25</v>
      </c>
      <c r="C97" s="55">
        <v>14.05</v>
      </c>
      <c r="D97" s="56" t="s">
        <v>26</v>
      </c>
      <c r="E97" s="54" t="s">
        <v>24</v>
      </c>
      <c r="F97" s="57">
        <v>1</v>
      </c>
      <c r="G97" s="58">
        <f>ROUND(11898.4666,0)</f>
        <v>11898</v>
      </c>
      <c r="H97" s="58">
        <f t="shared" si="6"/>
        <v>11898</v>
      </c>
      <c r="I97" s="1"/>
      <c r="J97" s="1"/>
      <c r="K97" s="1"/>
    </row>
    <row r="98" spans="1:11" ht="26.5" customHeight="1" x14ac:dyDescent="0.2">
      <c r="A98" s="1"/>
      <c r="B98" s="68" t="s">
        <v>27</v>
      </c>
      <c r="C98" s="55">
        <v>14.06</v>
      </c>
      <c r="D98" s="56" t="s">
        <v>28</v>
      </c>
      <c r="E98" s="54" t="s">
        <v>29</v>
      </c>
      <c r="F98" s="57">
        <v>32</v>
      </c>
      <c r="G98" s="58">
        <f>ROUND(3610.62,0)</f>
        <v>3611</v>
      </c>
      <c r="H98" s="58">
        <f t="shared" si="6"/>
        <v>115552</v>
      </c>
      <c r="I98" s="1"/>
      <c r="J98" s="1"/>
      <c r="K98" s="1"/>
    </row>
    <row r="99" spans="1:11" ht="14.5" customHeight="1" x14ac:dyDescent="0.2">
      <c r="A99" s="1"/>
      <c r="B99" s="68" t="s">
        <v>121</v>
      </c>
      <c r="C99" s="55">
        <v>14.07</v>
      </c>
      <c r="D99" s="56" t="s">
        <v>122</v>
      </c>
      <c r="E99" s="54" t="s">
        <v>45</v>
      </c>
      <c r="F99" s="57">
        <v>1</v>
      </c>
      <c r="G99" s="58">
        <f>ROUND(125116.825,0)</f>
        <v>125117</v>
      </c>
      <c r="H99" s="58">
        <f t="shared" si="6"/>
        <v>125117</v>
      </c>
      <c r="I99" s="1"/>
      <c r="J99" s="1"/>
      <c r="K99" s="1"/>
    </row>
    <row r="100" spans="1:11" ht="14.5" customHeight="1" x14ac:dyDescent="0.2">
      <c r="A100" s="1"/>
      <c r="B100" s="67"/>
      <c r="C100" s="52">
        <v>15</v>
      </c>
      <c r="D100" s="53" t="s">
        <v>123</v>
      </c>
      <c r="E100" s="51"/>
      <c r="F100" s="51"/>
      <c r="G100" s="51"/>
      <c r="H100" s="51"/>
      <c r="I100" s="1"/>
      <c r="J100" s="1"/>
      <c r="K100" s="1"/>
    </row>
    <row r="101" spans="1:11" ht="14.5" customHeight="1" x14ac:dyDescent="0.2">
      <c r="A101" s="1"/>
      <c r="B101" s="68" t="s">
        <v>76</v>
      </c>
      <c r="C101" s="55">
        <v>15.01</v>
      </c>
      <c r="D101" s="56" t="s">
        <v>114</v>
      </c>
      <c r="E101" s="54" t="s">
        <v>45</v>
      </c>
      <c r="F101" s="57">
        <v>80</v>
      </c>
      <c r="G101" s="58">
        <f>ROUND(4495.6112,0)</f>
        <v>4496</v>
      </c>
      <c r="H101" s="58">
        <f>IFERROR(ROUND(F101*G101,0),0)</f>
        <v>359680</v>
      </c>
      <c r="I101" s="1"/>
      <c r="J101" s="1"/>
      <c r="K101" s="1"/>
    </row>
    <row r="102" spans="1:11" ht="14.5" customHeight="1" x14ac:dyDescent="0.2">
      <c r="A102" s="1"/>
      <c r="B102" s="68" t="s">
        <v>124</v>
      </c>
      <c r="C102" s="55">
        <v>15.02</v>
      </c>
      <c r="D102" s="56" t="s">
        <v>125</v>
      </c>
      <c r="E102" s="54" t="s">
        <v>45</v>
      </c>
      <c r="F102" s="57">
        <v>80</v>
      </c>
      <c r="G102" s="58">
        <f>ROUND(17368.8487,0)</f>
        <v>17369</v>
      </c>
      <c r="H102" s="58">
        <f>IFERROR(ROUND(F102*G102,0),0)</f>
        <v>1389520</v>
      </c>
      <c r="I102" s="1"/>
      <c r="J102" s="1"/>
      <c r="K102" s="1"/>
    </row>
    <row r="103" spans="1:11" ht="39.5" customHeight="1" x14ac:dyDescent="0.2">
      <c r="A103" s="1"/>
      <c r="B103" s="68" t="s">
        <v>126</v>
      </c>
      <c r="C103" s="55">
        <v>15.03</v>
      </c>
      <c r="D103" s="56" t="s">
        <v>127</v>
      </c>
      <c r="E103" s="54" t="s">
        <v>45</v>
      </c>
      <c r="F103" s="57">
        <v>80</v>
      </c>
      <c r="G103" s="58">
        <f>ROUND(48470.548,0)</f>
        <v>48471</v>
      </c>
      <c r="H103" s="58">
        <f>IFERROR(ROUND(F103*G103,0),0)</f>
        <v>3877680</v>
      </c>
      <c r="I103" s="1"/>
      <c r="J103" s="1"/>
      <c r="K103" s="1"/>
    </row>
    <row r="104" spans="1:11" ht="14.5" customHeight="1" x14ac:dyDescent="0.2">
      <c r="A104" s="1"/>
      <c r="B104" s="67"/>
      <c r="C104" s="52">
        <v>16</v>
      </c>
      <c r="D104" s="53" t="s">
        <v>128</v>
      </c>
      <c r="E104" s="51"/>
      <c r="F104" s="51"/>
      <c r="G104" s="51"/>
      <c r="H104" s="51"/>
      <c r="I104" s="1"/>
      <c r="J104" s="1"/>
      <c r="K104" s="1"/>
    </row>
    <row r="105" spans="1:11" ht="14.5" customHeight="1" x14ac:dyDescent="0.2">
      <c r="A105" s="1"/>
      <c r="B105" s="68" t="s">
        <v>76</v>
      </c>
      <c r="C105" s="55">
        <v>16.010000000000002</v>
      </c>
      <c r="D105" s="56" t="s">
        <v>114</v>
      </c>
      <c r="E105" s="54" t="s">
        <v>45</v>
      </c>
      <c r="F105" s="57">
        <v>500</v>
      </c>
      <c r="G105" s="58">
        <f>ROUND(4495.6112,0)</f>
        <v>4496</v>
      </c>
      <c r="H105" s="58">
        <f>IFERROR(ROUND(F105*G105,0),0)</f>
        <v>2248000</v>
      </c>
      <c r="I105" s="1"/>
      <c r="J105" s="1"/>
      <c r="K105" s="1"/>
    </row>
    <row r="106" spans="1:11" ht="14.5" customHeight="1" x14ac:dyDescent="0.2">
      <c r="A106" s="1"/>
      <c r="B106" s="68" t="s">
        <v>124</v>
      </c>
      <c r="C106" s="55">
        <v>16.02</v>
      </c>
      <c r="D106" s="56" t="s">
        <v>125</v>
      </c>
      <c r="E106" s="54" t="s">
        <v>45</v>
      </c>
      <c r="F106" s="57">
        <v>500</v>
      </c>
      <c r="G106" s="58">
        <f>ROUND(17368.8487,0)</f>
        <v>17369</v>
      </c>
      <c r="H106" s="58">
        <f>IFERROR(ROUND(F106*G106,0),0)</f>
        <v>8684500</v>
      </c>
      <c r="I106" s="1"/>
      <c r="J106" s="1"/>
      <c r="K106" s="1"/>
    </row>
    <row r="107" spans="1:11" ht="39.5" customHeight="1" x14ac:dyDescent="0.2">
      <c r="A107" s="1"/>
      <c r="B107" s="68" t="s">
        <v>126</v>
      </c>
      <c r="C107" s="55">
        <v>16.03</v>
      </c>
      <c r="D107" s="56" t="s">
        <v>127</v>
      </c>
      <c r="E107" s="54" t="s">
        <v>45</v>
      </c>
      <c r="F107" s="57">
        <v>500</v>
      </c>
      <c r="G107" s="58">
        <f>ROUND(48470.548,0)</f>
        <v>48471</v>
      </c>
      <c r="H107" s="58">
        <f>IFERROR(ROUND(F107*G107,0),0)</f>
        <v>24235500</v>
      </c>
      <c r="I107" s="1"/>
      <c r="J107" s="1"/>
      <c r="K107" s="1"/>
    </row>
    <row r="108" spans="1:11" ht="14.5" customHeight="1" x14ac:dyDescent="0.2">
      <c r="A108" s="1"/>
      <c r="B108" s="67"/>
      <c r="C108" s="52">
        <v>17</v>
      </c>
      <c r="D108" s="53" t="s">
        <v>129</v>
      </c>
      <c r="E108" s="51"/>
      <c r="F108" s="51"/>
      <c r="G108" s="51"/>
      <c r="H108" s="51"/>
      <c r="I108" s="1"/>
      <c r="J108" s="1"/>
      <c r="K108" s="1"/>
    </row>
    <row r="109" spans="1:11" ht="14.5" customHeight="1" x14ac:dyDescent="0.2">
      <c r="A109" s="1"/>
      <c r="B109" s="68" t="s">
        <v>130</v>
      </c>
      <c r="C109" s="55">
        <v>17.010000000000002</v>
      </c>
      <c r="D109" s="56" t="s">
        <v>131</v>
      </c>
      <c r="E109" s="54" t="s">
        <v>21</v>
      </c>
      <c r="F109" s="57">
        <v>200</v>
      </c>
      <c r="G109" s="58">
        <f>ROUND(2553.497,0)</f>
        <v>2553</v>
      </c>
      <c r="H109" s="58">
        <f>IFERROR(ROUND(F109*G109,0),0)</f>
        <v>510600</v>
      </c>
      <c r="I109" s="1"/>
      <c r="J109" s="1"/>
      <c r="K109" s="1"/>
    </row>
    <row r="110" spans="1:11" ht="14.5" customHeight="1" x14ac:dyDescent="0.2">
      <c r="A110" s="1"/>
      <c r="B110" s="67"/>
      <c r="C110" s="52">
        <v>18</v>
      </c>
      <c r="D110" s="53" t="s">
        <v>132</v>
      </c>
      <c r="E110" s="51"/>
      <c r="F110" s="51"/>
      <c r="G110" s="51"/>
      <c r="H110" s="51"/>
      <c r="I110" s="1"/>
      <c r="J110" s="1"/>
      <c r="K110" s="1"/>
    </row>
    <row r="111" spans="1:11" ht="14.5" customHeight="1" x14ac:dyDescent="0.2">
      <c r="A111" s="1"/>
      <c r="B111" s="68" t="s">
        <v>133</v>
      </c>
      <c r="C111" s="55">
        <v>18.010000000000002</v>
      </c>
      <c r="D111" s="56" t="s">
        <v>134</v>
      </c>
      <c r="E111" s="54" t="s">
        <v>45</v>
      </c>
      <c r="F111" s="57">
        <v>1.5</v>
      </c>
      <c r="G111" s="58">
        <f>ROUND(8808.7785,0)</f>
        <v>8809</v>
      </c>
      <c r="H111" s="58">
        <f>IFERROR(ROUND(F111*G111,0),0)</f>
        <v>13214</v>
      </c>
      <c r="I111" s="1"/>
      <c r="J111" s="1"/>
      <c r="K111" s="1"/>
    </row>
    <row r="112" spans="1:11" ht="14.5" customHeight="1" x14ac:dyDescent="0.2">
      <c r="A112" s="1"/>
      <c r="B112" s="68" t="s">
        <v>22</v>
      </c>
      <c r="C112" s="55">
        <v>18.02</v>
      </c>
      <c r="D112" s="56" t="s">
        <v>23</v>
      </c>
      <c r="E112" s="54" t="s">
        <v>24</v>
      </c>
      <c r="F112" s="57">
        <v>1.5</v>
      </c>
      <c r="G112" s="58">
        <f>ROUND(9890.955,0)</f>
        <v>9891</v>
      </c>
      <c r="H112" s="58">
        <f>IFERROR(ROUND(F112*G112,0),0)</f>
        <v>14837</v>
      </c>
      <c r="I112" s="1"/>
      <c r="J112" s="1"/>
      <c r="K112" s="1"/>
    </row>
    <row r="113" spans="1:11" ht="14.5" customHeight="1" x14ac:dyDescent="0.2">
      <c r="A113" s="1"/>
      <c r="B113" s="68" t="s">
        <v>25</v>
      </c>
      <c r="C113" s="55">
        <v>18.03</v>
      </c>
      <c r="D113" s="56" t="s">
        <v>26</v>
      </c>
      <c r="E113" s="54" t="s">
        <v>24</v>
      </c>
      <c r="F113" s="57">
        <v>1.5</v>
      </c>
      <c r="G113" s="58">
        <f>ROUND(11898.4666,0)</f>
        <v>11898</v>
      </c>
      <c r="H113" s="58">
        <f>IFERROR(ROUND(F113*G113,0),0)</f>
        <v>17847</v>
      </c>
      <c r="I113" s="1"/>
      <c r="J113" s="1"/>
      <c r="K113" s="1"/>
    </row>
    <row r="114" spans="1:11" ht="26.5" customHeight="1" x14ac:dyDescent="0.2">
      <c r="A114" s="1"/>
      <c r="B114" s="68" t="s">
        <v>27</v>
      </c>
      <c r="C114" s="55">
        <v>18.04</v>
      </c>
      <c r="D114" s="56" t="s">
        <v>28</v>
      </c>
      <c r="E114" s="54" t="s">
        <v>29</v>
      </c>
      <c r="F114" s="57">
        <v>48</v>
      </c>
      <c r="G114" s="58">
        <f>ROUND(3610.62,0)</f>
        <v>3611</v>
      </c>
      <c r="H114" s="58">
        <f>IFERROR(ROUND(F114*G114,0),0)</f>
        <v>173328</v>
      </c>
      <c r="I114" s="1"/>
      <c r="J114" s="1"/>
      <c r="K114" s="1"/>
    </row>
    <row r="115" spans="1:11" ht="14.5" customHeight="1" x14ac:dyDescent="0.2">
      <c r="A115" s="1"/>
      <c r="B115" s="67"/>
      <c r="C115" s="52">
        <v>19</v>
      </c>
      <c r="D115" s="53" t="s">
        <v>135</v>
      </c>
      <c r="E115" s="51"/>
      <c r="F115" s="51"/>
      <c r="G115" s="51"/>
      <c r="H115" s="51"/>
      <c r="I115" s="1"/>
      <c r="J115" s="1"/>
      <c r="K115" s="1"/>
    </row>
    <row r="116" spans="1:11" ht="14.5" customHeight="1" x14ac:dyDescent="0.2">
      <c r="A116" s="1"/>
      <c r="B116" s="68" t="s">
        <v>136</v>
      </c>
      <c r="C116" s="55">
        <v>19.010000000000002</v>
      </c>
      <c r="D116" s="56" t="s">
        <v>137</v>
      </c>
      <c r="E116" s="54" t="s">
        <v>15</v>
      </c>
      <c r="F116" s="57">
        <v>10</v>
      </c>
      <c r="G116" s="58">
        <f>ROUND(159613.4071,0)</f>
        <v>159613</v>
      </c>
      <c r="H116" s="58">
        <f>IFERROR(ROUND(F116*G116,0),0)</f>
        <v>1596130</v>
      </c>
      <c r="I116" s="1"/>
      <c r="J116" s="1"/>
      <c r="K116" s="1"/>
    </row>
    <row r="117" spans="1:11" ht="14.5" customHeight="1" x14ac:dyDescent="0.2">
      <c r="A117" s="1"/>
      <c r="B117" s="67"/>
      <c r="C117" s="52">
        <v>20</v>
      </c>
      <c r="D117" s="53" t="s">
        <v>138</v>
      </c>
      <c r="E117" s="51"/>
      <c r="F117" s="51"/>
      <c r="G117" s="51"/>
      <c r="H117" s="51"/>
      <c r="I117" s="1"/>
      <c r="J117" s="1"/>
      <c r="K117" s="1"/>
    </row>
    <row r="118" spans="1:11" ht="14.5" customHeight="1" x14ac:dyDescent="0.2">
      <c r="A118" s="1"/>
      <c r="B118" s="68" t="s">
        <v>139</v>
      </c>
      <c r="C118" s="55">
        <v>20.010000000000002</v>
      </c>
      <c r="D118" s="56" t="s">
        <v>140</v>
      </c>
      <c r="E118" s="54" t="s">
        <v>15</v>
      </c>
      <c r="F118" s="57">
        <v>10</v>
      </c>
      <c r="G118" s="58">
        <f>ROUND(39511.2025,0)</f>
        <v>39511</v>
      </c>
      <c r="H118" s="58">
        <f t="shared" ref="H118:H134" si="7">IFERROR(ROUND(F118*G118,0),0)</f>
        <v>395110</v>
      </c>
      <c r="I118" s="1"/>
      <c r="J118" s="1"/>
      <c r="K118" s="1"/>
    </row>
    <row r="119" spans="1:11" ht="14.5" customHeight="1" x14ac:dyDescent="0.2">
      <c r="A119" s="1"/>
      <c r="B119" s="68" t="s">
        <v>22</v>
      </c>
      <c r="C119" s="55">
        <v>20.02</v>
      </c>
      <c r="D119" s="56" t="s">
        <v>23</v>
      </c>
      <c r="E119" s="54" t="s">
        <v>24</v>
      </c>
      <c r="F119" s="57">
        <v>10</v>
      </c>
      <c r="G119" s="58">
        <f>ROUND(9890.955,0)</f>
        <v>9891</v>
      </c>
      <c r="H119" s="58">
        <f t="shared" si="7"/>
        <v>98910</v>
      </c>
      <c r="I119" s="1"/>
      <c r="J119" s="1"/>
      <c r="K119" s="1"/>
    </row>
    <row r="120" spans="1:11" ht="14.5" customHeight="1" x14ac:dyDescent="0.2">
      <c r="A120" s="1"/>
      <c r="B120" s="68" t="s">
        <v>25</v>
      </c>
      <c r="C120" s="55">
        <v>20.03</v>
      </c>
      <c r="D120" s="56" t="s">
        <v>26</v>
      </c>
      <c r="E120" s="54" t="s">
        <v>24</v>
      </c>
      <c r="F120" s="57">
        <v>10</v>
      </c>
      <c r="G120" s="58">
        <f>ROUND(11898.4666,0)</f>
        <v>11898</v>
      </c>
      <c r="H120" s="58">
        <f t="shared" si="7"/>
        <v>118980</v>
      </c>
      <c r="I120" s="1"/>
      <c r="J120" s="1"/>
      <c r="K120" s="1"/>
    </row>
    <row r="121" spans="1:11" ht="26.5" customHeight="1" x14ac:dyDescent="0.2">
      <c r="A121" s="1"/>
      <c r="B121" s="68" t="s">
        <v>27</v>
      </c>
      <c r="C121" s="55">
        <v>20.04</v>
      </c>
      <c r="D121" s="56" t="s">
        <v>28</v>
      </c>
      <c r="E121" s="54" t="s">
        <v>29</v>
      </c>
      <c r="F121" s="57">
        <v>320</v>
      </c>
      <c r="G121" s="58">
        <f>ROUND(3610.62,0)</f>
        <v>3611</v>
      </c>
      <c r="H121" s="58">
        <f t="shared" si="7"/>
        <v>1155520</v>
      </c>
      <c r="I121" s="1"/>
      <c r="J121" s="1"/>
      <c r="K121" s="1"/>
    </row>
    <row r="122" spans="1:11" ht="14.5" customHeight="1" x14ac:dyDescent="0.2">
      <c r="A122" s="1"/>
      <c r="B122" s="68" t="s">
        <v>141</v>
      </c>
      <c r="C122" s="55">
        <v>20.05</v>
      </c>
      <c r="D122" s="56" t="s">
        <v>142</v>
      </c>
      <c r="E122" s="54" t="s">
        <v>15</v>
      </c>
      <c r="F122" s="57">
        <v>10</v>
      </c>
      <c r="G122" s="58">
        <f>ROUND(536397.875,0)</f>
        <v>536398</v>
      </c>
      <c r="H122" s="58">
        <f t="shared" si="7"/>
        <v>5363980</v>
      </c>
      <c r="I122" s="1"/>
      <c r="J122" s="1"/>
      <c r="K122" s="1"/>
    </row>
    <row r="123" spans="1:11" ht="14.5" customHeight="1" x14ac:dyDescent="0.2">
      <c r="A123" s="1"/>
      <c r="B123" s="68" t="s">
        <v>139</v>
      </c>
      <c r="C123" s="55">
        <v>20.059999999999999</v>
      </c>
      <c r="D123" s="56" t="s">
        <v>140</v>
      </c>
      <c r="E123" s="54" t="s">
        <v>15</v>
      </c>
      <c r="F123" s="57">
        <v>16</v>
      </c>
      <c r="G123" s="58">
        <f>ROUND(39511.2025,0)</f>
        <v>39511</v>
      </c>
      <c r="H123" s="58">
        <f t="shared" si="7"/>
        <v>632176</v>
      </c>
      <c r="I123" s="1"/>
      <c r="J123" s="1"/>
      <c r="K123" s="1"/>
    </row>
    <row r="124" spans="1:11" ht="14.5" customHeight="1" x14ac:dyDescent="0.2">
      <c r="A124" s="1"/>
      <c r="B124" s="68" t="s">
        <v>22</v>
      </c>
      <c r="C124" s="55">
        <v>20.07</v>
      </c>
      <c r="D124" s="56" t="s">
        <v>23</v>
      </c>
      <c r="E124" s="54" t="s">
        <v>24</v>
      </c>
      <c r="F124" s="57">
        <v>16</v>
      </c>
      <c r="G124" s="58">
        <f>ROUND(9890.955,0)</f>
        <v>9891</v>
      </c>
      <c r="H124" s="58">
        <f t="shared" si="7"/>
        <v>158256</v>
      </c>
      <c r="I124" s="1"/>
      <c r="J124" s="1"/>
      <c r="K124" s="1"/>
    </row>
    <row r="125" spans="1:11" ht="14.5" customHeight="1" x14ac:dyDescent="0.2">
      <c r="A125" s="1"/>
      <c r="B125" s="68" t="s">
        <v>25</v>
      </c>
      <c r="C125" s="55">
        <v>20.079999999999998</v>
      </c>
      <c r="D125" s="56" t="s">
        <v>26</v>
      </c>
      <c r="E125" s="54" t="s">
        <v>24</v>
      </c>
      <c r="F125" s="57">
        <v>16</v>
      </c>
      <c r="G125" s="58">
        <f>ROUND(11898.4666,0)</f>
        <v>11898</v>
      </c>
      <c r="H125" s="58">
        <f t="shared" si="7"/>
        <v>190368</v>
      </c>
      <c r="I125" s="1"/>
      <c r="J125" s="1"/>
      <c r="K125" s="1"/>
    </row>
    <row r="126" spans="1:11" ht="26.5" customHeight="1" x14ac:dyDescent="0.2">
      <c r="A126" s="1"/>
      <c r="B126" s="68" t="s">
        <v>27</v>
      </c>
      <c r="C126" s="55">
        <v>20.09</v>
      </c>
      <c r="D126" s="56" t="s">
        <v>28</v>
      </c>
      <c r="E126" s="54" t="s">
        <v>29</v>
      </c>
      <c r="F126" s="57">
        <v>512</v>
      </c>
      <c r="G126" s="58">
        <f>ROUND(3610.62,0)</f>
        <v>3611</v>
      </c>
      <c r="H126" s="58">
        <f t="shared" si="7"/>
        <v>1848832</v>
      </c>
      <c r="I126" s="1"/>
      <c r="J126" s="1"/>
      <c r="K126" s="1"/>
    </row>
    <row r="127" spans="1:11" ht="14.5" customHeight="1" x14ac:dyDescent="0.2">
      <c r="A127" s="1"/>
      <c r="B127" s="68" t="s">
        <v>141</v>
      </c>
      <c r="C127" s="55">
        <v>20.100000000000001</v>
      </c>
      <c r="D127" s="56" t="s">
        <v>142</v>
      </c>
      <c r="E127" s="54" t="s">
        <v>15</v>
      </c>
      <c r="F127" s="57">
        <v>16</v>
      </c>
      <c r="G127" s="58">
        <f>ROUND(536397.875,0)</f>
        <v>536398</v>
      </c>
      <c r="H127" s="58">
        <f t="shared" si="7"/>
        <v>8582368</v>
      </c>
      <c r="I127" s="1"/>
      <c r="J127" s="1"/>
      <c r="K127" s="1"/>
    </row>
    <row r="128" spans="1:11" ht="14.5" customHeight="1" x14ac:dyDescent="0.2">
      <c r="A128" s="1"/>
      <c r="B128" s="68" t="s">
        <v>139</v>
      </c>
      <c r="C128" s="55">
        <v>20.11</v>
      </c>
      <c r="D128" s="56" t="s">
        <v>140</v>
      </c>
      <c r="E128" s="54" t="s">
        <v>15</v>
      </c>
      <c r="F128" s="57">
        <v>68</v>
      </c>
      <c r="G128" s="58">
        <f>ROUND(39511.2025,0)</f>
        <v>39511</v>
      </c>
      <c r="H128" s="58">
        <f t="shared" si="7"/>
        <v>2686748</v>
      </c>
      <c r="I128" s="1"/>
      <c r="J128" s="1"/>
      <c r="K128" s="1"/>
    </row>
    <row r="129" spans="1:11" ht="14.5" customHeight="1" x14ac:dyDescent="0.2">
      <c r="A129" s="1"/>
      <c r="B129" s="68" t="s">
        <v>22</v>
      </c>
      <c r="C129" s="55">
        <v>20.12</v>
      </c>
      <c r="D129" s="56" t="s">
        <v>23</v>
      </c>
      <c r="E129" s="54" t="s">
        <v>24</v>
      </c>
      <c r="F129" s="57">
        <v>68</v>
      </c>
      <c r="G129" s="58">
        <f>ROUND(9890.955,0)</f>
        <v>9891</v>
      </c>
      <c r="H129" s="58">
        <f t="shared" si="7"/>
        <v>672588</v>
      </c>
      <c r="I129" s="1"/>
      <c r="J129" s="1"/>
      <c r="K129" s="1"/>
    </row>
    <row r="130" spans="1:11" ht="14.5" customHeight="1" x14ac:dyDescent="0.2">
      <c r="A130" s="1"/>
      <c r="B130" s="68" t="s">
        <v>25</v>
      </c>
      <c r="C130" s="55">
        <v>20.13</v>
      </c>
      <c r="D130" s="56" t="s">
        <v>26</v>
      </c>
      <c r="E130" s="54" t="s">
        <v>24</v>
      </c>
      <c r="F130" s="57">
        <v>68</v>
      </c>
      <c r="G130" s="58">
        <f>ROUND(11898.4666,0)</f>
        <v>11898</v>
      </c>
      <c r="H130" s="58">
        <f t="shared" si="7"/>
        <v>809064</v>
      </c>
      <c r="I130" s="1"/>
      <c r="J130" s="1"/>
      <c r="K130" s="1"/>
    </row>
    <row r="131" spans="1:11" ht="26.5" customHeight="1" x14ac:dyDescent="0.2">
      <c r="A131" s="1"/>
      <c r="B131" s="68" t="s">
        <v>27</v>
      </c>
      <c r="C131" s="55">
        <v>20.14</v>
      </c>
      <c r="D131" s="56" t="s">
        <v>28</v>
      </c>
      <c r="E131" s="54" t="s">
        <v>29</v>
      </c>
      <c r="F131" s="57">
        <v>2176</v>
      </c>
      <c r="G131" s="58">
        <f>ROUND(3610.62,0)</f>
        <v>3611</v>
      </c>
      <c r="H131" s="58">
        <f t="shared" si="7"/>
        <v>7857536</v>
      </c>
      <c r="I131" s="1"/>
      <c r="J131" s="1"/>
      <c r="K131" s="1"/>
    </row>
    <row r="132" spans="1:11" ht="14.5" customHeight="1" x14ac:dyDescent="0.2">
      <c r="A132" s="1"/>
      <c r="B132" s="68" t="s">
        <v>143</v>
      </c>
      <c r="C132" s="55">
        <v>20.149999999999999</v>
      </c>
      <c r="D132" s="56" t="s">
        <v>144</v>
      </c>
      <c r="E132" s="54" t="s">
        <v>15</v>
      </c>
      <c r="F132" s="57">
        <v>20</v>
      </c>
      <c r="G132" s="58">
        <f>ROUND(47401.05,0)</f>
        <v>47401</v>
      </c>
      <c r="H132" s="58">
        <f t="shared" si="7"/>
        <v>948020</v>
      </c>
      <c r="I132" s="1"/>
      <c r="J132" s="1"/>
      <c r="K132" s="1"/>
    </row>
    <row r="133" spans="1:11" ht="14.5" customHeight="1" x14ac:dyDescent="0.2">
      <c r="A133" s="1"/>
      <c r="B133" s="68" t="s">
        <v>145</v>
      </c>
      <c r="C133" s="55">
        <v>20.16</v>
      </c>
      <c r="D133" s="56" t="s">
        <v>146</v>
      </c>
      <c r="E133" s="54" t="s">
        <v>15</v>
      </c>
      <c r="F133" s="57">
        <v>20</v>
      </c>
      <c r="G133" s="58">
        <f>ROUND(266899.83,0)</f>
        <v>266900</v>
      </c>
      <c r="H133" s="58">
        <f t="shared" si="7"/>
        <v>5338000</v>
      </c>
      <c r="I133" s="1"/>
      <c r="J133" s="1"/>
      <c r="K133" s="1"/>
    </row>
    <row r="134" spans="1:11" ht="14.5" customHeight="1" x14ac:dyDescent="0.2">
      <c r="A134" s="1"/>
      <c r="B134" s="68">
        <v>170660</v>
      </c>
      <c r="C134" s="55">
        <v>20.170000000000002</v>
      </c>
      <c r="D134" s="56" t="s">
        <v>147</v>
      </c>
      <c r="E134" s="54" t="s">
        <v>15</v>
      </c>
      <c r="F134" s="57">
        <v>10</v>
      </c>
      <c r="G134" s="58">
        <f>ROUND(295000,0)</f>
        <v>295000</v>
      </c>
      <c r="H134" s="58">
        <f t="shared" si="7"/>
        <v>2950000</v>
      </c>
      <c r="I134" s="1"/>
      <c r="J134" s="1"/>
      <c r="K134" s="1"/>
    </row>
    <row r="135" spans="1:11" ht="14.5" customHeight="1" x14ac:dyDescent="0.2">
      <c r="A135" s="1"/>
      <c r="B135" s="67"/>
      <c r="C135" s="52">
        <v>21</v>
      </c>
      <c r="D135" s="53" t="s">
        <v>148</v>
      </c>
      <c r="E135" s="51"/>
      <c r="F135" s="51"/>
      <c r="G135" s="51"/>
      <c r="H135" s="51"/>
      <c r="I135" s="1"/>
      <c r="J135" s="1"/>
      <c r="K135" s="1"/>
    </row>
    <row r="136" spans="1:11" ht="39.5" customHeight="1" x14ac:dyDescent="0.2">
      <c r="A136" s="1"/>
      <c r="B136" s="69" t="s">
        <v>149</v>
      </c>
      <c r="C136" s="55">
        <v>21.01</v>
      </c>
      <c r="D136" s="56" t="s">
        <v>150</v>
      </c>
      <c r="E136" s="54" t="s">
        <v>15</v>
      </c>
      <c r="F136" s="57">
        <v>4</v>
      </c>
      <c r="G136" s="58">
        <f>ROUND(20000,0)</f>
        <v>20000</v>
      </c>
      <c r="H136" s="58">
        <f>IFERROR(ROUND(F136*G136,0),0)</f>
        <v>80000</v>
      </c>
      <c r="I136" s="1"/>
      <c r="J136" s="1"/>
      <c r="K136" s="1"/>
    </row>
    <row r="137" spans="1:11" ht="26.5" customHeight="1" x14ac:dyDescent="0.2">
      <c r="A137" s="1"/>
      <c r="B137" s="69" t="s">
        <v>151</v>
      </c>
      <c r="C137" s="55">
        <v>21.02</v>
      </c>
      <c r="D137" s="56" t="s">
        <v>152</v>
      </c>
      <c r="E137" s="54" t="s">
        <v>15</v>
      </c>
      <c r="F137" s="57">
        <v>10</v>
      </c>
      <c r="G137" s="58">
        <f>ROUND(320000,0)</f>
        <v>320000</v>
      </c>
      <c r="H137" s="58">
        <f>IFERROR(ROUND(F137*G137,0),0)</f>
        <v>3200000</v>
      </c>
      <c r="I137" s="1"/>
      <c r="J137" s="1"/>
      <c r="K137" s="1"/>
    </row>
    <row r="138" spans="1:11" ht="39.5" customHeight="1" x14ac:dyDescent="0.2">
      <c r="A138" s="1"/>
      <c r="B138" s="69" t="s">
        <v>153</v>
      </c>
      <c r="C138" s="55">
        <v>21.03</v>
      </c>
      <c r="D138" s="56" t="s">
        <v>154</v>
      </c>
      <c r="E138" s="54" t="s">
        <v>15</v>
      </c>
      <c r="F138" s="57">
        <v>8</v>
      </c>
      <c r="G138" s="58">
        <f>ROUND(155000,0)</f>
        <v>155000</v>
      </c>
      <c r="H138" s="58">
        <f>IFERROR(ROUND(F138*G138,0),0)</f>
        <v>1240000</v>
      </c>
      <c r="I138" s="1"/>
      <c r="J138" s="1"/>
      <c r="K138" s="1"/>
    </row>
    <row r="139" spans="1:11" ht="14.5" customHeight="1" x14ac:dyDescent="0.2">
      <c r="A139" s="1"/>
      <c r="B139" s="67"/>
      <c r="C139" s="52">
        <v>22</v>
      </c>
      <c r="D139" s="53" t="s">
        <v>155</v>
      </c>
      <c r="E139" s="51"/>
      <c r="F139" s="51"/>
      <c r="G139" s="51"/>
      <c r="H139" s="51"/>
      <c r="I139" s="1"/>
      <c r="J139" s="1"/>
      <c r="K139" s="1"/>
    </row>
    <row r="140" spans="1:11" ht="14.5" customHeight="1" x14ac:dyDescent="0.2">
      <c r="A140" s="1"/>
      <c r="B140" s="68" t="s">
        <v>156</v>
      </c>
      <c r="C140" s="55">
        <v>22.01</v>
      </c>
      <c r="D140" s="56" t="s">
        <v>157</v>
      </c>
      <c r="E140" s="54" t="s">
        <v>45</v>
      </c>
      <c r="F140" s="57">
        <v>400</v>
      </c>
      <c r="G140" s="58">
        <f>ROUND(39333.575,0)</f>
        <v>39334</v>
      </c>
      <c r="H140" s="58">
        <f>IFERROR(ROUND(F140*G140,0),0)</f>
        <v>15733600</v>
      </c>
      <c r="I140" s="1"/>
      <c r="J140" s="1"/>
      <c r="K140" s="1"/>
    </row>
    <row r="141" spans="1:11" ht="26.5" customHeight="1" x14ac:dyDescent="0.2">
      <c r="A141" s="1"/>
      <c r="B141" s="68">
        <v>200180</v>
      </c>
      <c r="C141" s="55">
        <v>22.02</v>
      </c>
      <c r="D141" s="56" t="s">
        <v>158</v>
      </c>
      <c r="E141" s="54" t="s">
        <v>45</v>
      </c>
      <c r="F141" s="57">
        <v>1600</v>
      </c>
      <c r="G141" s="58">
        <f>ROUND(8000,0)</f>
        <v>8000</v>
      </c>
      <c r="H141" s="58">
        <f>IFERROR(ROUND(F141*G141,0),0)</f>
        <v>12800000</v>
      </c>
      <c r="I141" s="1"/>
      <c r="J141" s="1"/>
      <c r="K141" s="1"/>
    </row>
    <row r="142" spans="1:11" ht="14.5" customHeight="1" x14ac:dyDescent="0.2">
      <c r="A142" s="1"/>
      <c r="B142" s="67"/>
      <c r="C142" s="52">
        <v>23</v>
      </c>
      <c r="D142" s="53" t="s">
        <v>159</v>
      </c>
      <c r="E142" s="51"/>
      <c r="F142" s="51"/>
      <c r="G142" s="51"/>
      <c r="H142" s="51"/>
      <c r="I142" s="1"/>
      <c r="J142" s="1"/>
      <c r="K142" s="1"/>
    </row>
    <row r="143" spans="1:11" ht="14.5" customHeight="1" x14ac:dyDescent="0.2">
      <c r="A143" s="1"/>
      <c r="B143" s="68" t="s">
        <v>160</v>
      </c>
      <c r="C143" s="55">
        <v>23.01</v>
      </c>
      <c r="D143" s="56" t="s">
        <v>161</v>
      </c>
      <c r="E143" s="54" t="s">
        <v>45</v>
      </c>
      <c r="F143" s="57">
        <v>150</v>
      </c>
      <c r="G143" s="58">
        <f>ROUND(14423.3605,0)</f>
        <v>14423</v>
      </c>
      <c r="H143" s="58">
        <f>IFERROR(ROUND(F143*G143,0),0)</f>
        <v>2163450</v>
      </c>
      <c r="I143" s="1"/>
      <c r="J143" s="1"/>
      <c r="K143" s="1"/>
    </row>
    <row r="144" spans="1:11" ht="14.5" customHeight="1" x14ac:dyDescent="0.2">
      <c r="A144" s="1"/>
      <c r="B144" s="68" t="s">
        <v>22</v>
      </c>
      <c r="C144" s="55">
        <v>23.02</v>
      </c>
      <c r="D144" s="56" t="s">
        <v>23</v>
      </c>
      <c r="E144" s="54" t="s">
        <v>24</v>
      </c>
      <c r="F144" s="57">
        <v>1</v>
      </c>
      <c r="G144" s="58">
        <f>ROUND(9890.955,0)</f>
        <v>9891</v>
      </c>
      <c r="H144" s="58">
        <f>IFERROR(ROUND(F144*G144,0),0)</f>
        <v>9891</v>
      </c>
      <c r="I144" s="1"/>
      <c r="J144" s="1"/>
      <c r="K144" s="1"/>
    </row>
    <row r="145" spans="1:11" ht="14.5" customHeight="1" x14ac:dyDescent="0.2">
      <c r="A145" s="1"/>
      <c r="B145" s="68" t="s">
        <v>25</v>
      </c>
      <c r="C145" s="55">
        <v>23.03</v>
      </c>
      <c r="D145" s="56" t="s">
        <v>26</v>
      </c>
      <c r="E145" s="54" t="s">
        <v>24</v>
      </c>
      <c r="F145" s="57">
        <v>1</v>
      </c>
      <c r="G145" s="58">
        <f>ROUND(11898.4666,0)</f>
        <v>11898</v>
      </c>
      <c r="H145" s="58">
        <f>IFERROR(ROUND(F145*G145,0),0)</f>
        <v>11898</v>
      </c>
      <c r="I145" s="1"/>
      <c r="J145" s="1"/>
      <c r="K145" s="1"/>
    </row>
    <row r="146" spans="1:11" ht="26.5" customHeight="1" x14ac:dyDescent="0.2">
      <c r="A146" s="1"/>
      <c r="B146" s="68" t="s">
        <v>27</v>
      </c>
      <c r="C146" s="55">
        <v>23.04</v>
      </c>
      <c r="D146" s="56" t="s">
        <v>28</v>
      </c>
      <c r="E146" s="54" t="s">
        <v>29</v>
      </c>
      <c r="F146" s="57">
        <v>32</v>
      </c>
      <c r="G146" s="58">
        <f>ROUND(3610.62,0)</f>
        <v>3611</v>
      </c>
      <c r="H146" s="58">
        <f>IFERROR(ROUND(F146*G146,0),0)</f>
        <v>115552</v>
      </c>
      <c r="I146" s="1"/>
      <c r="J146" s="1"/>
      <c r="K146" s="1"/>
    </row>
    <row r="147" spans="1:11" ht="14.5" customHeight="1" x14ac:dyDescent="0.2">
      <c r="A147" s="1"/>
      <c r="B147" s="67"/>
      <c r="C147" s="52">
        <v>24</v>
      </c>
      <c r="D147" s="53" t="s">
        <v>162</v>
      </c>
      <c r="E147" s="51"/>
      <c r="F147" s="51"/>
      <c r="G147" s="51"/>
      <c r="H147" s="51"/>
      <c r="I147" s="1"/>
      <c r="J147" s="1"/>
      <c r="K147" s="1"/>
    </row>
    <row r="148" spans="1:11" ht="14.5" customHeight="1" x14ac:dyDescent="0.2">
      <c r="A148" s="1"/>
      <c r="B148" s="68" t="s">
        <v>163</v>
      </c>
      <c r="C148" s="55">
        <v>24.01</v>
      </c>
      <c r="D148" s="56" t="s">
        <v>164</v>
      </c>
      <c r="E148" s="54" t="s">
        <v>45</v>
      </c>
      <c r="F148" s="57">
        <v>150</v>
      </c>
      <c r="G148" s="58">
        <f>ROUND(1230.5,0)</f>
        <v>1231</v>
      </c>
      <c r="H148" s="58">
        <f t="shared" ref="H148:H155" si="8">IFERROR(ROUND(F148*G148,0),0)</f>
        <v>184650</v>
      </c>
      <c r="I148" s="1"/>
      <c r="J148" s="1"/>
      <c r="K148" s="1"/>
    </row>
    <row r="149" spans="1:11" ht="14.5" customHeight="1" x14ac:dyDescent="0.2">
      <c r="A149" s="1"/>
      <c r="B149" s="68">
        <v>320611</v>
      </c>
      <c r="C149" s="55">
        <v>24.02</v>
      </c>
      <c r="D149" s="56" t="s">
        <v>165</v>
      </c>
      <c r="E149" s="54" t="s">
        <v>45</v>
      </c>
      <c r="F149" s="57">
        <v>80</v>
      </c>
      <c r="G149" s="58">
        <f>ROUND(46000,0)</f>
        <v>46000</v>
      </c>
      <c r="H149" s="58">
        <f t="shared" si="8"/>
        <v>3680000</v>
      </c>
      <c r="I149" s="1"/>
      <c r="J149" s="1"/>
      <c r="K149" s="1"/>
    </row>
    <row r="150" spans="1:11" ht="14.5" customHeight="1" x14ac:dyDescent="0.2">
      <c r="A150" s="1"/>
      <c r="B150" s="68" t="s">
        <v>166</v>
      </c>
      <c r="C150" s="55">
        <v>24.03</v>
      </c>
      <c r="D150" s="56" t="s">
        <v>167</v>
      </c>
      <c r="E150" s="54" t="s">
        <v>45</v>
      </c>
      <c r="F150" s="57">
        <v>80</v>
      </c>
      <c r="G150" s="58">
        <f>ROUND(85745.42,0)</f>
        <v>85745</v>
      </c>
      <c r="H150" s="58">
        <f t="shared" si="8"/>
        <v>6859600</v>
      </c>
      <c r="I150" s="1"/>
      <c r="J150" s="1"/>
      <c r="K150" s="1"/>
    </row>
    <row r="151" spans="1:11" ht="14.5" customHeight="1" x14ac:dyDescent="0.2">
      <c r="A151" s="1"/>
      <c r="B151" s="68" t="s">
        <v>156</v>
      </c>
      <c r="C151" s="55">
        <v>24.04</v>
      </c>
      <c r="D151" s="56" t="s">
        <v>157</v>
      </c>
      <c r="E151" s="54" t="s">
        <v>45</v>
      </c>
      <c r="F151" s="57">
        <v>80</v>
      </c>
      <c r="G151" s="58">
        <f>ROUND(39333.575,0)</f>
        <v>39334</v>
      </c>
      <c r="H151" s="58">
        <f t="shared" si="8"/>
        <v>3146720</v>
      </c>
      <c r="I151" s="1"/>
      <c r="J151" s="1"/>
      <c r="K151" s="1"/>
    </row>
    <row r="152" spans="1:11" ht="79.25" customHeight="1" x14ac:dyDescent="0.2">
      <c r="A152" s="1"/>
      <c r="B152" s="68" t="s">
        <v>168</v>
      </c>
      <c r="C152" s="55">
        <v>24.05</v>
      </c>
      <c r="D152" s="56" t="s">
        <v>169</v>
      </c>
      <c r="E152" s="54" t="s">
        <v>45</v>
      </c>
      <c r="F152" s="57">
        <v>60</v>
      </c>
      <c r="G152" s="58">
        <f>ROUND(170520.13,0)</f>
        <v>170520</v>
      </c>
      <c r="H152" s="58">
        <f t="shared" si="8"/>
        <v>10231200</v>
      </c>
      <c r="I152" s="1"/>
      <c r="J152" s="1"/>
      <c r="K152" s="1"/>
    </row>
    <row r="153" spans="1:11" ht="14.5" customHeight="1" x14ac:dyDescent="0.2">
      <c r="A153" s="1"/>
      <c r="B153" s="68" t="s">
        <v>76</v>
      </c>
      <c r="C153" s="55">
        <v>24.06</v>
      </c>
      <c r="D153" s="56" t="s">
        <v>114</v>
      </c>
      <c r="E153" s="54" t="s">
        <v>45</v>
      </c>
      <c r="F153" s="57">
        <v>50</v>
      </c>
      <c r="G153" s="58">
        <f>ROUND(4495.6112,0)</f>
        <v>4496</v>
      </c>
      <c r="H153" s="58">
        <f t="shared" si="8"/>
        <v>224800</v>
      </c>
      <c r="I153" s="1"/>
      <c r="J153" s="1"/>
      <c r="K153" s="1"/>
    </row>
    <row r="154" spans="1:11" ht="14.5" customHeight="1" x14ac:dyDescent="0.2">
      <c r="A154" s="1"/>
      <c r="B154" s="68" t="s">
        <v>78</v>
      </c>
      <c r="C154" s="55">
        <v>24.07</v>
      </c>
      <c r="D154" s="56" t="s">
        <v>115</v>
      </c>
      <c r="E154" s="54" t="s">
        <v>21</v>
      </c>
      <c r="F154" s="57">
        <v>50</v>
      </c>
      <c r="G154" s="58">
        <f>ROUND(12853.368,0)</f>
        <v>12853</v>
      </c>
      <c r="H154" s="58">
        <f t="shared" si="8"/>
        <v>642650</v>
      </c>
      <c r="I154" s="1"/>
      <c r="J154" s="1"/>
      <c r="K154" s="1"/>
    </row>
    <row r="155" spans="1:11" ht="26.5" customHeight="1" x14ac:dyDescent="0.2">
      <c r="A155" s="1"/>
      <c r="B155" s="68" t="s">
        <v>170</v>
      </c>
      <c r="C155" s="55">
        <v>24.08</v>
      </c>
      <c r="D155" s="56" t="s">
        <v>171</v>
      </c>
      <c r="E155" s="54" t="s">
        <v>45</v>
      </c>
      <c r="F155" s="57">
        <v>50</v>
      </c>
      <c r="G155" s="58">
        <f>ROUND(60376.8,0)</f>
        <v>60377</v>
      </c>
      <c r="H155" s="58">
        <f t="shared" si="8"/>
        <v>3018850</v>
      </c>
      <c r="I155" s="1"/>
      <c r="J155" s="1"/>
      <c r="K155" s="1"/>
    </row>
    <row r="156" spans="1:11" ht="14.5" customHeight="1" x14ac:dyDescent="0.2">
      <c r="A156" s="1"/>
      <c r="B156" s="67"/>
      <c r="C156" s="52">
        <v>25</v>
      </c>
      <c r="D156" s="53" t="s">
        <v>172</v>
      </c>
      <c r="E156" s="51"/>
      <c r="F156" s="51"/>
      <c r="G156" s="51"/>
      <c r="H156" s="51"/>
      <c r="I156" s="1"/>
      <c r="J156" s="1"/>
      <c r="K156" s="1"/>
    </row>
    <row r="157" spans="1:11" ht="14.5" customHeight="1" x14ac:dyDescent="0.2">
      <c r="A157" s="1"/>
      <c r="B157" s="68" t="s">
        <v>173</v>
      </c>
      <c r="C157" s="55">
        <v>25.01</v>
      </c>
      <c r="D157" s="56" t="s">
        <v>174</v>
      </c>
      <c r="E157" s="54" t="s">
        <v>15</v>
      </c>
      <c r="F157" s="57">
        <v>1</v>
      </c>
      <c r="G157" s="58">
        <f>ROUND(680989.4562,0)</f>
        <v>680989</v>
      </c>
      <c r="H157" s="58">
        <f t="shared" ref="H157:H164" si="9">IFERROR(ROUND(F157*G157,0),0)</f>
        <v>680989</v>
      </c>
      <c r="I157" s="1"/>
      <c r="J157" s="1"/>
      <c r="K157" s="1"/>
    </row>
    <row r="158" spans="1:11" ht="14.5" customHeight="1" x14ac:dyDescent="0.2">
      <c r="A158" s="1"/>
      <c r="B158" s="68" t="s">
        <v>175</v>
      </c>
      <c r="C158" s="55">
        <v>25.02</v>
      </c>
      <c r="D158" s="56" t="s">
        <v>176</v>
      </c>
      <c r="E158" s="54" t="s">
        <v>15</v>
      </c>
      <c r="F158" s="57">
        <v>2</v>
      </c>
      <c r="G158" s="58">
        <f>ROUND(656213.705,0)</f>
        <v>656214</v>
      </c>
      <c r="H158" s="58">
        <f t="shared" si="9"/>
        <v>1312428</v>
      </c>
      <c r="I158" s="1"/>
      <c r="J158" s="1"/>
      <c r="K158" s="1"/>
    </row>
    <row r="159" spans="1:11" ht="14.5" customHeight="1" x14ac:dyDescent="0.2">
      <c r="A159" s="1"/>
      <c r="B159" s="68" t="s">
        <v>177</v>
      </c>
      <c r="C159" s="55">
        <v>25.03</v>
      </c>
      <c r="D159" s="56" t="s">
        <v>178</v>
      </c>
      <c r="E159" s="54" t="s">
        <v>15</v>
      </c>
      <c r="F159" s="57">
        <v>1</v>
      </c>
      <c r="G159" s="58">
        <f>ROUND(24340.3444,0)</f>
        <v>24340</v>
      </c>
      <c r="H159" s="58">
        <f t="shared" si="9"/>
        <v>24340</v>
      </c>
      <c r="I159" s="1"/>
      <c r="J159" s="1"/>
      <c r="K159" s="1"/>
    </row>
    <row r="160" spans="1:11" ht="14.5" customHeight="1" x14ac:dyDescent="0.2">
      <c r="A160" s="1"/>
      <c r="B160" s="68" t="s">
        <v>22</v>
      </c>
      <c r="C160" s="55">
        <v>25.04</v>
      </c>
      <c r="D160" s="56" t="s">
        <v>23</v>
      </c>
      <c r="E160" s="54" t="s">
        <v>24</v>
      </c>
      <c r="F160" s="57">
        <v>1</v>
      </c>
      <c r="G160" s="58">
        <f>ROUND(9890.955,0)</f>
        <v>9891</v>
      </c>
      <c r="H160" s="58">
        <f t="shared" si="9"/>
        <v>9891</v>
      </c>
      <c r="I160" s="1"/>
      <c r="J160" s="1"/>
      <c r="K160" s="1"/>
    </row>
    <row r="161" spans="1:11" ht="14.5" customHeight="1" x14ac:dyDescent="0.2">
      <c r="A161" s="1"/>
      <c r="B161" s="68" t="s">
        <v>25</v>
      </c>
      <c r="C161" s="55">
        <v>25.05</v>
      </c>
      <c r="D161" s="56" t="s">
        <v>26</v>
      </c>
      <c r="E161" s="54" t="s">
        <v>24</v>
      </c>
      <c r="F161" s="57">
        <v>1</v>
      </c>
      <c r="G161" s="58">
        <f>ROUND(11898.4666,0)</f>
        <v>11898</v>
      </c>
      <c r="H161" s="58">
        <f t="shared" si="9"/>
        <v>11898</v>
      </c>
      <c r="I161" s="1"/>
      <c r="J161" s="1"/>
      <c r="K161" s="1"/>
    </row>
    <row r="162" spans="1:11" ht="26.5" customHeight="1" x14ac:dyDescent="0.2">
      <c r="A162" s="1"/>
      <c r="B162" s="68" t="s">
        <v>27</v>
      </c>
      <c r="C162" s="55">
        <v>25.06</v>
      </c>
      <c r="D162" s="56" t="s">
        <v>28</v>
      </c>
      <c r="E162" s="54" t="s">
        <v>29</v>
      </c>
      <c r="F162" s="57">
        <v>32</v>
      </c>
      <c r="G162" s="58">
        <f>ROUND(3610.62,0)</f>
        <v>3611</v>
      </c>
      <c r="H162" s="58">
        <f t="shared" si="9"/>
        <v>115552</v>
      </c>
      <c r="I162" s="1"/>
      <c r="J162" s="1"/>
      <c r="K162" s="1"/>
    </row>
    <row r="163" spans="1:11" ht="26.5" customHeight="1" x14ac:dyDescent="0.2">
      <c r="A163" s="1"/>
      <c r="B163" s="68" t="s">
        <v>179</v>
      </c>
      <c r="C163" s="55">
        <v>25.07</v>
      </c>
      <c r="D163" s="56" t="s">
        <v>180</v>
      </c>
      <c r="E163" s="54" t="s">
        <v>15</v>
      </c>
      <c r="F163" s="57">
        <v>1</v>
      </c>
      <c r="G163" s="58">
        <f>ROUND(598294.7636,0)</f>
        <v>598295</v>
      </c>
      <c r="H163" s="58">
        <f t="shared" si="9"/>
        <v>598295</v>
      </c>
      <c r="I163" s="1"/>
      <c r="J163" s="1"/>
      <c r="K163" s="1"/>
    </row>
    <row r="164" spans="1:11" ht="26.5" customHeight="1" x14ac:dyDescent="0.2">
      <c r="A164" s="1"/>
      <c r="B164" s="68" t="s">
        <v>179</v>
      </c>
      <c r="C164" s="55">
        <v>25.08</v>
      </c>
      <c r="D164" s="56" t="s">
        <v>180</v>
      </c>
      <c r="E164" s="54" t="s">
        <v>15</v>
      </c>
      <c r="F164" s="57">
        <v>2</v>
      </c>
      <c r="G164" s="58">
        <f>ROUND(598294.7636,0)</f>
        <v>598295</v>
      </c>
      <c r="H164" s="58">
        <f t="shared" si="9"/>
        <v>1196590</v>
      </c>
      <c r="I164" s="1"/>
      <c r="J164" s="1"/>
      <c r="K164" s="1"/>
    </row>
    <row r="165" spans="1:11" ht="14.5" customHeight="1" x14ac:dyDescent="0.2">
      <c r="A165" s="1"/>
      <c r="B165" s="67"/>
      <c r="C165" s="52">
        <v>26</v>
      </c>
      <c r="D165" s="53" t="s">
        <v>181</v>
      </c>
      <c r="E165" s="51"/>
      <c r="F165" s="51"/>
      <c r="G165" s="51"/>
      <c r="H165" s="51"/>
      <c r="I165" s="1"/>
      <c r="J165" s="1"/>
      <c r="K165" s="1"/>
    </row>
    <row r="166" spans="1:11" ht="14.5" customHeight="1" x14ac:dyDescent="0.2">
      <c r="A166" s="1"/>
      <c r="B166" s="68" t="s">
        <v>182</v>
      </c>
      <c r="C166" s="55">
        <v>26.01</v>
      </c>
      <c r="D166" s="56" t="s">
        <v>183</v>
      </c>
      <c r="E166" s="54" t="s">
        <v>15</v>
      </c>
      <c r="F166" s="57">
        <v>10</v>
      </c>
      <c r="G166" s="58">
        <f>ROUND(172694.62,0)</f>
        <v>172695</v>
      </c>
      <c r="H166" s="58">
        <f t="shared" ref="H166:H171" si="10">IFERROR(ROUND(F166*G166,0),0)</f>
        <v>1726950</v>
      </c>
      <c r="I166" s="1"/>
      <c r="J166" s="1"/>
      <c r="K166" s="1"/>
    </row>
    <row r="167" spans="1:11" ht="14.5" customHeight="1" x14ac:dyDescent="0.2">
      <c r="A167" s="1"/>
      <c r="B167" s="68" t="s">
        <v>184</v>
      </c>
      <c r="C167" s="55">
        <v>26.02</v>
      </c>
      <c r="D167" s="56" t="s">
        <v>185</v>
      </c>
      <c r="E167" s="54" t="s">
        <v>45</v>
      </c>
      <c r="F167" s="57">
        <v>32.4</v>
      </c>
      <c r="G167" s="58">
        <f>ROUND((136969.4938+19726.6937),0)</f>
        <v>156696</v>
      </c>
      <c r="H167" s="58">
        <f t="shared" si="10"/>
        <v>5076950</v>
      </c>
      <c r="I167" s="1"/>
      <c r="J167" s="1"/>
      <c r="K167" s="1"/>
    </row>
    <row r="168" spans="1:11" ht="14.5" customHeight="1" x14ac:dyDescent="0.2">
      <c r="A168" s="1"/>
      <c r="B168" s="68" t="s">
        <v>186</v>
      </c>
      <c r="C168" s="55">
        <v>26.03</v>
      </c>
      <c r="D168" s="56" t="s">
        <v>187</v>
      </c>
      <c r="E168" s="54" t="s">
        <v>15</v>
      </c>
      <c r="F168" s="57">
        <v>10</v>
      </c>
      <c r="G168" s="58">
        <f>ROUND(68035.1702,0)</f>
        <v>68035</v>
      </c>
      <c r="H168" s="58">
        <f t="shared" si="10"/>
        <v>680350</v>
      </c>
      <c r="I168" s="1"/>
      <c r="J168" s="1"/>
      <c r="K168" s="1"/>
    </row>
    <row r="169" spans="1:11" ht="14.5" customHeight="1" x14ac:dyDescent="0.2">
      <c r="A169" s="1"/>
      <c r="B169" s="68" t="s">
        <v>188</v>
      </c>
      <c r="C169" s="55">
        <v>26.04</v>
      </c>
      <c r="D169" s="56" t="s">
        <v>189</v>
      </c>
      <c r="E169" s="54" t="s">
        <v>15</v>
      </c>
      <c r="F169" s="57">
        <v>10</v>
      </c>
      <c r="G169" s="58">
        <f>ROUND(503822.82,0)</f>
        <v>503823</v>
      </c>
      <c r="H169" s="58">
        <f t="shared" si="10"/>
        <v>5038230</v>
      </c>
      <c r="I169" s="1"/>
      <c r="J169" s="1"/>
      <c r="K169" s="1"/>
    </row>
    <row r="170" spans="1:11" ht="26.5" customHeight="1" x14ac:dyDescent="0.2">
      <c r="A170" s="1"/>
      <c r="B170" s="68" t="s">
        <v>190</v>
      </c>
      <c r="C170" s="55">
        <v>26.05</v>
      </c>
      <c r="D170" s="56" t="s">
        <v>191</v>
      </c>
      <c r="E170" s="54" t="s">
        <v>15</v>
      </c>
      <c r="F170" s="57">
        <v>15</v>
      </c>
      <c r="G170" s="58">
        <f>ROUND(123754.92,0)</f>
        <v>123755</v>
      </c>
      <c r="H170" s="58">
        <f t="shared" si="10"/>
        <v>1856325</v>
      </c>
      <c r="I170" s="1"/>
      <c r="J170" s="1"/>
      <c r="K170" s="1"/>
    </row>
    <row r="171" spans="1:11" ht="14.5" customHeight="1" x14ac:dyDescent="0.2">
      <c r="A171" s="1"/>
      <c r="B171" s="68" t="s">
        <v>184</v>
      </c>
      <c r="C171" s="55">
        <v>26.06</v>
      </c>
      <c r="D171" s="56" t="s">
        <v>185</v>
      </c>
      <c r="E171" s="54" t="s">
        <v>45</v>
      </c>
      <c r="F171" s="57">
        <v>2</v>
      </c>
      <c r="G171" s="58">
        <f>(ROUND((136969.4938+19726.6937),0))*4</f>
        <v>626784</v>
      </c>
      <c r="H171" s="58">
        <f t="shared" si="10"/>
        <v>1253568</v>
      </c>
      <c r="I171" s="1"/>
      <c r="J171" s="1"/>
      <c r="K171" s="1"/>
    </row>
    <row r="172" spans="1:11" ht="14.5" customHeight="1" x14ac:dyDescent="0.2">
      <c r="A172" s="1"/>
      <c r="B172" s="67"/>
      <c r="C172" s="52">
        <v>27</v>
      </c>
      <c r="D172" s="53" t="s">
        <v>192</v>
      </c>
      <c r="E172" s="51"/>
      <c r="F172" s="51"/>
      <c r="G172" s="51"/>
      <c r="H172" s="51"/>
      <c r="I172" s="1"/>
      <c r="J172" s="1"/>
      <c r="K172" s="1"/>
    </row>
    <row r="173" spans="1:11" ht="14.5" customHeight="1" x14ac:dyDescent="0.2">
      <c r="A173" s="1"/>
      <c r="B173" s="68" t="s">
        <v>193</v>
      </c>
      <c r="C173" s="55">
        <v>27.01</v>
      </c>
      <c r="D173" s="56" t="s">
        <v>194</v>
      </c>
      <c r="E173" s="54" t="s">
        <v>21</v>
      </c>
      <c r="F173" s="57">
        <v>3</v>
      </c>
      <c r="G173" s="58">
        <f>ROUND(7670.443,0)</f>
        <v>7670</v>
      </c>
      <c r="H173" s="58">
        <f>IFERROR(ROUND(F173*G173,0),0)</f>
        <v>23010</v>
      </c>
      <c r="I173" s="1"/>
      <c r="J173" s="1"/>
      <c r="K173" s="1"/>
    </row>
    <row r="174" spans="1:11" ht="14.5" customHeight="1" x14ac:dyDescent="0.2">
      <c r="A174" s="1"/>
      <c r="B174" s="68" t="s">
        <v>195</v>
      </c>
      <c r="C174" s="55">
        <v>27.02</v>
      </c>
      <c r="D174" s="56" t="s">
        <v>196</v>
      </c>
      <c r="E174" s="54" t="s">
        <v>21</v>
      </c>
      <c r="F174" s="57">
        <v>2</v>
      </c>
      <c r="G174" s="58">
        <f>ROUND(9568.388,0)</f>
        <v>9568</v>
      </c>
      <c r="H174" s="58">
        <f>IFERROR(ROUND(F174*G174,0),0)</f>
        <v>19136</v>
      </c>
      <c r="I174" s="1"/>
      <c r="J174" s="1"/>
      <c r="K174" s="1"/>
    </row>
    <row r="175" spans="1:11" ht="14.5" customHeight="1" x14ac:dyDescent="0.2">
      <c r="A175" s="1"/>
      <c r="B175" s="68" t="s">
        <v>197</v>
      </c>
      <c r="C175" s="55">
        <v>27.03</v>
      </c>
      <c r="D175" s="56" t="s">
        <v>198</v>
      </c>
      <c r="E175" s="54" t="s">
        <v>199</v>
      </c>
      <c r="F175" s="57">
        <v>5</v>
      </c>
      <c r="G175" s="58">
        <f>ROUND(67734.3185,0)</f>
        <v>67734</v>
      </c>
      <c r="H175" s="58">
        <f>IFERROR(ROUND(F175*G175,0),0)</f>
        <v>338670</v>
      </c>
      <c r="I175" s="1"/>
      <c r="J175" s="1"/>
      <c r="K175" s="1"/>
    </row>
    <row r="176" spans="1:11" ht="14.5" customHeight="1" x14ac:dyDescent="0.2">
      <c r="A176" s="1"/>
      <c r="B176" s="68" t="s">
        <v>200</v>
      </c>
      <c r="C176" s="55">
        <v>27.04</v>
      </c>
      <c r="D176" s="56" t="s">
        <v>201</v>
      </c>
      <c r="E176" s="54" t="s">
        <v>199</v>
      </c>
      <c r="F176" s="57">
        <v>1</v>
      </c>
      <c r="G176" s="58">
        <f>ROUND(104338.434,0)</f>
        <v>104338</v>
      </c>
      <c r="H176" s="58">
        <f>IFERROR(ROUND(F176*G176,0),0)</f>
        <v>104338</v>
      </c>
      <c r="I176" s="1"/>
      <c r="J176" s="1"/>
      <c r="K176" s="1"/>
    </row>
    <row r="177" spans="1:11" ht="14.5" customHeight="1" x14ac:dyDescent="0.2">
      <c r="A177" s="1"/>
      <c r="B177" s="67"/>
      <c r="C177" s="52">
        <v>28</v>
      </c>
      <c r="D177" s="53" t="s">
        <v>202</v>
      </c>
      <c r="E177" s="51"/>
      <c r="F177" s="51"/>
      <c r="G177" s="51"/>
      <c r="H177" s="51"/>
      <c r="I177" s="1"/>
      <c r="J177" s="1"/>
      <c r="K177" s="1"/>
    </row>
    <row r="178" spans="1:11" ht="14.5" customHeight="1" x14ac:dyDescent="0.2">
      <c r="A178" s="1"/>
      <c r="B178" s="68" t="s">
        <v>139</v>
      </c>
      <c r="C178" s="55">
        <v>28.01</v>
      </c>
      <c r="D178" s="56" t="s">
        <v>140</v>
      </c>
      <c r="E178" s="54" t="s">
        <v>15</v>
      </c>
      <c r="F178" s="57">
        <v>10</v>
      </c>
      <c r="G178" s="58">
        <f>ROUND(39511.2025,0)</f>
        <v>39511</v>
      </c>
      <c r="H178" s="58">
        <f t="shared" ref="H178:H183" si="11">IFERROR(ROUND(F178*G178,0),0)</f>
        <v>395110</v>
      </c>
      <c r="I178" s="1"/>
      <c r="J178" s="1"/>
      <c r="K178" s="1"/>
    </row>
    <row r="179" spans="1:11" ht="14.5" customHeight="1" x14ac:dyDescent="0.2">
      <c r="A179" s="1"/>
      <c r="B179" s="68" t="s">
        <v>22</v>
      </c>
      <c r="C179" s="55">
        <v>28.02</v>
      </c>
      <c r="D179" s="56" t="s">
        <v>23</v>
      </c>
      <c r="E179" s="54" t="s">
        <v>24</v>
      </c>
      <c r="F179" s="57">
        <v>1</v>
      </c>
      <c r="G179" s="58">
        <f>ROUND(9890.955,0)</f>
        <v>9891</v>
      </c>
      <c r="H179" s="58">
        <f t="shared" si="11"/>
        <v>9891</v>
      </c>
      <c r="I179" s="1"/>
      <c r="J179" s="1"/>
      <c r="K179" s="1"/>
    </row>
    <row r="180" spans="1:11" ht="14.5" customHeight="1" x14ac:dyDescent="0.2">
      <c r="A180" s="1"/>
      <c r="B180" s="68" t="s">
        <v>25</v>
      </c>
      <c r="C180" s="55">
        <v>28.03</v>
      </c>
      <c r="D180" s="56" t="s">
        <v>26</v>
      </c>
      <c r="E180" s="54" t="s">
        <v>24</v>
      </c>
      <c r="F180" s="57">
        <v>1</v>
      </c>
      <c r="G180" s="58">
        <f>ROUND(11898.4666,0)</f>
        <v>11898</v>
      </c>
      <c r="H180" s="58">
        <f t="shared" si="11"/>
        <v>11898</v>
      </c>
      <c r="I180" s="1"/>
      <c r="J180" s="1"/>
      <c r="K180" s="1"/>
    </row>
    <row r="181" spans="1:11" ht="26.5" customHeight="1" x14ac:dyDescent="0.2">
      <c r="A181" s="1"/>
      <c r="B181" s="68" t="s">
        <v>27</v>
      </c>
      <c r="C181" s="55">
        <v>28.04</v>
      </c>
      <c r="D181" s="56" t="s">
        <v>28</v>
      </c>
      <c r="E181" s="54" t="s">
        <v>29</v>
      </c>
      <c r="F181" s="57">
        <v>32</v>
      </c>
      <c r="G181" s="58">
        <f>ROUND(3610.62,0)</f>
        <v>3611</v>
      </c>
      <c r="H181" s="58">
        <f t="shared" si="11"/>
        <v>115552</v>
      </c>
      <c r="I181" s="1"/>
      <c r="J181" s="1"/>
      <c r="K181" s="1"/>
    </row>
    <row r="182" spans="1:11" ht="14.5" customHeight="1" x14ac:dyDescent="0.2">
      <c r="A182" s="1"/>
      <c r="B182" s="68" t="s">
        <v>203</v>
      </c>
      <c r="C182" s="55">
        <v>28.05</v>
      </c>
      <c r="D182" s="56" t="s">
        <v>204</v>
      </c>
      <c r="E182" s="54" t="s">
        <v>15</v>
      </c>
      <c r="F182" s="57">
        <v>10</v>
      </c>
      <c r="G182" s="58">
        <f>ROUND(56431.75,0)</f>
        <v>56432</v>
      </c>
      <c r="H182" s="58">
        <f t="shared" si="11"/>
        <v>564320</v>
      </c>
      <c r="I182" s="1"/>
      <c r="J182" s="1"/>
      <c r="K182" s="1"/>
    </row>
    <row r="183" spans="1:11" ht="14.5" customHeight="1" x14ac:dyDescent="0.2">
      <c r="A183" s="1"/>
      <c r="B183" s="68" t="s">
        <v>205</v>
      </c>
      <c r="C183" s="55">
        <v>28.06</v>
      </c>
      <c r="D183" s="56" t="s">
        <v>206</v>
      </c>
      <c r="E183" s="54" t="s">
        <v>15</v>
      </c>
      <c r="F183" s="57">
        <v>1</v>
      </c>
      <c r="G183" s="58">
        <f>ROUND(142457.9798,0)</f>
        <v>142458</v>
      </c>
      <c r="H183" s="58">
        <f t="shared" si="11"/>
        <v>142458</v>
      </c>
      <c r="I183" s="1"/>
      <c r="J183" s="1"/>
      <c r="K183" s="1"/>
    </row>
    <row r="184" spans="1:11" ht="14.5" customHeight="1" x14ac:dyDescent="0.2">
      <c r="A184" s="1"/>
      <c r="B184" s="67"/>
      <c r="C184" s="52">
        <v>29</v>
      </c>
      <c r="D184" s="53" t="s">
        <v>44</v>
      </c>
      <c r="E184" s="51"/>
      <c r="F184" s="51"/>
      <c r="G184" s="51"/>
      <c r="H184" s="51"/>
      <c r="I184" s="1"/>
      <c r="J184" s="1"/>
      <c r="K184" s="1"/>
    </row>
    <row r="185" spans="1:11" ht="14.5" customHeight="1" x14ac:dyDescent="0.2">
      <c r="A185" s="1"/>
      <c r="B185" s="68" t="s">
        <v>43</v>
      </c>
      <c r="C185" s="55">
        <v>29.01</v>
      </c>
      <c r="D185" s="56" t="s">
        <v>44</v>
      </c>
      <c r="E185" s="54" t="s">
        <v>45</v>
      </c>
      <c r="F185" s="57">
        <v>5900</v>
      </c>
      <c r="G185" s="58">
        <f>ROUND(1119.69,0)</f>
        <v>1120</v>
      </c>
      <c r="H185" s="58">
        <f>IFERROR(ROUND(F185*G185,0),0)</f>
        <v>6608000</v>
      </c>
      <c r="I185" s="1"/>
      <c r="J185" s="1"/>
      <c r="K185" s="1"/>
    </row>
    <row r="186" spans="1:11" ht="14.5" customHeight="1" x14ac:dyDescent="0.2">
      <c r="A186" s="1"/>
      <c r="B186" s="67"/>
      <c r="C186" s="52">
        <v>30</v>
      </c>
      <c r="D186" s="53" t="s">
        <v>207</v>
      </c>
      <c r="E186" s="51"/>
      <c r="F186" s="51"/>
      <c r="G186" s="51"/>
      <c r="H186" s="51"/>
      <c r="I186" s="1"/>
      <c r="J186" s="1"/>
      <c r="K186" s="1"/>
    </row>
    <row r="187" spans="1:11" ht="14.5" customHeight="1" x14ac:dyDescent="0.2">
      <c r="A187" s="1"/>
      <c r="B187" s="68" t="s">
        <v>208</v>
      </c>
      <c r="C187" s="55">
        <v>30.01</v>
      </c>
      <c r="D187" s="56" t="s">
        <v>209</v>
      </c>
      <c r="E187" s="54" t="s">
        <v>210</v>
      </c>
      <c r="F187" s="57">
        <v>4</v>
      </c>
      <c r="G187" s="58">
        <f>ROUND(681395,0)</f>
        <v>681395</v>
      </c>
      <c r="H187" s="58">
        <f>IFERROR(ROUND(F187*G187,0),0)</f>
        <v>2725580</v>
      </c>
      <c r="I187" s="1"/>
      <c r="J187" s="1"/>
      <c r="K187" s="1"/>
    </row>
    <row r="188" spans="1:11" ht="14.5" customHeight="1" x14ac:dyDescent="0.2">
      <c r="A188" s="1"/>
      <c r="B188" s="68" t="s">
        <v>211</v>
      </c>
      <c r="C188" s="55">
        <v>30.02</v>
      </c>
      <c r="D188" s="56" t="s">
        <v>212</v>
      </c>
      <c r="E188" s="54" t="s">
        <v>15</v>
      </c>
      <c r="F188" s="57">
        <v>1</v>
      </c>
      <c r="G188" s="58">
        <f>ROUND(109474.3375,0)</f>
        <v>109474</v>
      </c>
      <c r="H188" s="58">
        <f>IFERROR(ROUND(F188*G188,0),0)</f>
        <v>109474</v>
      </c>
      <c r="I188" s="1"/>
      <c r="J188" s="1"/>
      <c r="K188" s="1"/>
    </row>
    <row r="189" spans="1:11" ht="26.5" customHeight="1" x14ac:dyDescent="0.2">
      <c r="A189" s="1"/>
      <c r="B189" s="68" t="s">
        <v>213</v>
      </c>
      <c r="C189" s="55">
        <v>30.03</v>
      </c>
      <c r="D189" s="56" t="s">
        <v>214</v>
      </c>
      <c r="E189" s="54" t="s">
        <v>210</v>
      </c>
      <c r="F189" s="57">
        <v>4</v>
      </c>
      <c r="G189" s="58">
        <f>ROUND(1390320,0)</f>
        <v>1390320</v>
      </c>
      <c r="H189" s="58">
        <f>IFERROR(ROUND(F189*G189,0),0)</f>
        <v>5561280</v>
      </c>
      <c r="I189" s="1"/>
      <c r="J189" s="1"/>
      <c r="K189" s="1"/>
    </row>
    <row r="190" spans="1:11" ht="26.5" customHeight="1" x14ac:dyDescent="0.2">
      <c r="A190" s="1"/>
      <c r="B190" s="68" t="s">
        <v>215</v>
      </c>
      <c r="C190" s="55">
        <v>30.04</v>
      </c>
      <c r="D190" s="59" t="s">
        <v>216</v>
      </c>
      <c r="E190" s="54" t="s">
        <v>24</v>
      </c>
      <c r="F190" s="57">
        <v>3</v>
      </c>
      <c r="G190" s="58">
        <f>ROUND(4851.9225,0)</f>
        <v>4852</v>
      </c>
      <c r="H190" s="58">
        <f>IFERROR(ROUND(F190*G190,0),0)</f>
        <v>14556</v>
      </c>
      <c r="I190" s="1"/>
      <c r="J190" s="1"/>
      <c r="K190" s="1"/>
    </row>
    <row r="191" spans="1:11" ht="14.5" customHeight="1" x14ac:dyDescent="0.2">
      <c r="A191" s="1"/>
      <c r="B191" s="70">
        <v>2</v>
      </c>
      <c r="C191" s="61"/>
      <c r="D191" s="62" t="s">
        <v>217</v>
      </c>
      <c r="E191" s="60"/>
      <c r="F191" s="60"/>
      <c r="G191" s="60"/>
      <c r="H191" s="60"/>
      <c r="I191" s="1"/>
      <c r="J191" s="1"/>
      <c r="K191" s="1"/>
    </row>
    <row r="192" spans="1:11" ht="14.5" customHeight="1" x14ac:dyDescent="0.2">
      <c r="A192" s="1"/>
      <c r="B192" s="67"/>
      <c r="C192" s="52">
        <v>1</v>
      </c>
      <c r="D192" s="53" t="s">
        <v>12</v>
      </c>
      <c r="E192" s="51"/>
      <c r="F192" s="51"/>
      <c r="G192" s="51"/>
      <c r="H192" s="51"/>
      <c r="I192" s="1"/>
      <c r="J192" s="1"/>
      <c r="K192" s="1"/>
    </row>
    <row r="193" spans="1:11" ht="14.5" customHeight="1" x14ac:dyDescent="0.2">
      <c r="A193" s="1"/>
      <c r="B193" s="68" t="s">
        <v>13</v>
      </c>
      <c r="C193" s="55">
        <v>1.01</v>
      </c>
      <c r="D193" s="56" t="s">
        <v>14</v>
      </c>
      <c r="E193" s="54" t="s">
        <v>15</v>
      </c>
      <c r="F193" s="57">
        <v>1</v>
      </c>
      <c r="G193" s="58">
        <f>ROUND(1974686.15,0)</f>
        <v>1974686</v>
      </c>
      <c r="H193" s="58">
        <f>IFERROR(ROUND(F193*G193,0),0)</f>
        <v>1974686</v>
      </c>
      <c r="I193" s="1"/>
      <c r="J193" s="1"/>
      <c r="K193" s="1"/>
    </row>
    <row r="194" spans="1:11" ht="26.5" customHeight="1" x14ac:dyDescent="0.2">
      <c r="A194" s="1"/>
      <c r="B194" s="68" t="s">
        <v>16</v>
      </c>
      <c r="C194" s="55">
        <v>1.02</v>
      </c>
      <c r="D194" s="56" t="s">
        <v>17</v>
      </c>
      <c r="E194" s="54" t="s">
        <v>15</v>
      </c>
      <c r="F194" s="57">
        <v>1</v>
      </c>
      <c r="G194" s="58">
        <f>ROUND(57696,0)</f>
        <v>57696</v>
      </c>
      <c r="H194" s="58">
        <f>IFERROR(ROUND(F194*G194,0),0)</f>
        <v>57696</v>
      </c>
      <c r="I194" s="1"/>
      <c r="J194" s="1"/>
      <c r="K194" s="1"/>
    </row>
    <row r="195" spans="1:11" ht="14.5" customHeight="1" x14ac:dyDescent="0.2">
      <c r="A195" s="1"/>
      <c r="B195" s="67"/>
      <c r="C195" s="52">
        <v>2</v>
      </c>
      <c r="D195" s="53" t="s">
        <v>218</v>
      </c>
      <c r="E195" s="51"/>
      <c r="F195" s="51"/>
      <c r="G195" s="51"/>
      <c r="H195" s="51"/>
      <c r="I195" s="1"/>
      <c r="J195" s="1"/>
      <c r="K195" s="1"/>
    </row>
    <row r="196" spans="1:11" ht="39.5" customHeight="1" x14ac:dyDescent="0.2">
      <c r="A196" s="1"/>
      <c r="B196" s="68">
        <v>180712</v>
      </c>
      <c r="C196" s="55">
        <v>2.0099999999999998</v>
      </c>
      <c r="D196" s="56" t="s">
        <v>219</v>
      </c>
      <c r="E196" s="54" t="s">
        <v>45</v>
      </c>
      <c r="F196" s="57">
        <v>2</v>
      </c>
      <c r="G196" s="58">
        <f>ROUND(11999,0)</f>
        <v>11999</v>
      </c>
      <c r="H196" s="58">
        <f>IFERROR(ROUND(F196*G196,0),0)</f>
        <v>23998</v>
      </c>
      <c r="I196" s="1"/>
      <c r="J196" s="1"/>
      <c r="K196" s="1"/>
    </row>
    <row r="197" spans="1:11" ht="14.5" customHeight="1" x14ac:dyDescent="0.2">
      <c r="A197" s="1"/>
      <c r="B197" s="67"/>
      <c r="C197" s="52">
        <v>3</v>
      </c>
      <c r="D197" s="53" t="s">
        <v>220</v>
      </c>
      <c r="E197" s="51"/>
      <c r="F197" s="51"/>
      <c r="G197" s="51"/>
      <c r="H197" s="51"/>
      <c r="I197" s="1"/>
      <c r="J197" s="1"/>
      <c r="K197" s="1"/>
    </row>
    <row r="198" spans="1:11" ht="14.5" customHeight="1" x14ac:dyDescent="0.2">
      <c r="A198" s="1"/>
      <c r="B198" s="68">
        <v>181108</v>
      </c>
      <c r="C198" s="55">
        <v>3.01</v>
      </c>
      <c r="D198" s="56" t="s">
        <v>221</v>
      </c>
      <c r="E198" s="54" t="s">
        <v>15</v>
      </c>
      <c r="F198" s="57">
        <v>10</v>
      </c>
      <c r="G198" s="58">
        <f>ROUND(285000,0)</f>
        <v>285000</v>
      </c>
      <c r="H198" s="58">
        <f>IFERROR(ROUND(F198*G198,0),0)</f>
        <v>2850000</v>
      </c>
      <c r="I198" s="1"/>
      <c r="J198" s="1"/>
      <c r="K198" s="1"/>
    </row>
    <row r="199" spans="1:11" ht="14.5" customHeight="1" x14ac:dyDescent="0.2">
      <c r="A199" s="1"/>
      <c r="B199" s="68" t="s">
        <v>222</v>
      </c>
      <c r="C199" s="55">
        <v>3.02</v>
      </c>
      <c r="D199" s="56" t="s">
        <v>223</v>
      </c>
      <c r="E199" s="54" t="s">
        <v>21</v>
      </c>
      <c r="F199" s="57">
        <v>75</v>
      </c>
      <c r="G199" s="58">
        <f>ROUND(3930.5925,0)</f>
        <v>3931</v>
      </c>
      <c r="H199" s="58">
        <f>IFERROR(ROUND(F199*G199,0),0)</f>
        <v>294825</v>
      </c>
      <c r="I199" s="1"/>
      <c r="J199" s="1"/>
      <c r="K199" s="1"/>
    </row>
    <row r="200" spans="1:11" ht="14.5" customHeight="1" x14ac:dyDescent="0.2">
      <c r="A200" s="1"/>
      <c r="B200" s="68" t="s">
        <v>224</v>
      </c>
      <c r="C200" s="55">
        <v>3.03</v>
      </c>
      <c r="D200" s="56" t="s">
        <v>225</v>
      </c>
      <c r="E200" s="54" t="s">
        <v>21</v>
      </c>
      <c r="F200" s="57">
        <v>75</v>
      </c>
      <c r="G200" s="58">
        <f>ROUND(39392.1383,0)</f>
        <v>39392</v>
      </c>
      <c r="H200" s="58">
        <f>IFERROR(ROUND(F200*G200,0),0)</f>
        <v>2954400</v>
      </c>
      <c r="I200" s="1"/>
      <c r="J200" s="1"/>
      <c r="K200" s="1"/>
    </row>
    <row r="201" spans="1:11" ht="14.5" customHeight="1" x14ac:dyDescent="0.2">
      <c r="A201" s="1"/>
      <c r="B201" s="68" t="s">
        <v>52</v>
      </c>
      <c r="C201" s="55">
        <v>3.04</v>
      </c>
      <c r="D201" s="56" t="s">
        <v>53</v>
      </c>
      <c r="E201" s="54" t="s">
        <v>21</v>
      </c>
      <c r="F201" s="57">
        <v>75</v>
      </c>
      <c r="G201" s="58">
        <f>ROUND(74703.3338,0)</f>
        <v>74703</v>
      </c>
      <c r="H201" s="58">
        <f>IFERROR(ROUND(F201*G201,0),0)</f>
        <v>5602725</v>
      </c>
      <c r="I201" s="1"/>
      <c r="J201" s="1"/>
      <c r="K201" s="1"/>
    </row>
    <row r="202" spans="1:11" ht="14.5" customHeight="1" x14ac:dyDescent="0.2">
      <c r="A202" s="1"/>
      <c r="B202" s="67"/>
      <c r="C202" s="52">
        <v>4</v>
      </c>
      <c r="D202" s="53" t="s">
        <v>226</v>
      </c>
      <c r="E202" s="51"/>
      <c r="F202" s="51"/>
      <c r="G202" s="51"/>
      <c r="H202" s="51"/>
      <c r="I202" s="1"/>
      <c r="J202" s="1"/>
      <c r="K202" s="1"/>
    </row>
    <row r="203" spans="1:11" ht="14.5" customHeight="1" x14ac:dyDescent="0.2">
      <c r="A203" s="1"/>
      <c r="B203" s="68" t="s">
        <v>227</v>
      </c>
      <c r="C203" s="55">
        <v>4.01</v>
      </c>
      <c r="D203" s="56" t="s">
        <v>228</v>
      </c>
      <c r="E203" s="54" t="s">
        <v>45</v>
      </c>
      <c r="F203" s="57">
        <v>10</v>
      </c>
      <c r="G203" s="58">
        <f>ROUND(9310.1521,0)</f>
        <v>9310</v>
      </c>
      <c r="H203" s="58">
        <f>IFERROR(ROUND(F203*G203,0),0)</f>
        <v>93100</v>
      </c>
      <c r="I203" s="1"/>
      <c r="J203" s="1"/>
      <c r="K203" s="1"/>
    </row>
    <row r="204" spans="1:11" ht="14.5" customHeight="1" x14ac:dyDescent="0.2">
      <c r="A204" s="1"/>
      <c r="B204" s="68" t="s">
        <v>22</v>
      </c>
      <c r="C204" s="55">
        <v>4.0199999999999996</v>
      </c>
      <c r="D204" s="56" t="s">
        <v>23</v>
      </c>
      <c r="E204" s="54" t="s">
        <v>24</v>
      </c>
      <c r="F204" s="57">
        <v>1</v>
      </c>
      <c r="G204" s="58">
        <f>ROUND(9890.955,0)</f>
        <v>9891</v>
      </c>
      <c r="H204" s="58">
        <f>IFERROR(ROUND(F204*G204,0),0)</f>
        <v>9891</v>
      </c>
      <c r="I204" s="1"/>
      <c r="J204" s="1"/>
      <c r="K204" s="1"/>
    </row>
    <row r="205" spans="1:11" ht="14.5" customHeight="1" x14ac:dyDescent="0.2">
      <c r="A205" s="1"/>
      <c r="B205" s="68" t="s">
        <v>25</v>
      </c>
      <c r="C205" s="55">
        <v>4.03</v>
      </c>
      <c r="D205" s="56" t="s">
        <v>26</v>
      </c>
      <c r="E205" s="54" t="s">
        <v>24</v>
      </c>
      <c r="F205" s="57">
        <v>1</v>
      </c>
      <c r="G205" s="58">
        <f>ROUND(11898.4666,0)</f>
        <v>11898</v>
      </c>
      <c r="H205" s="58">
        <f>IFERROR(ROUND(F205*G205,0),0)</f>
        <v>11898</v>
      </c>
      <c r="I205" s="1"/>
      <c r="J205" s="1"/>
      <c r="K205" s="1"/>
    </row>
    <row r="206" spans="1:11" ht="26.5" customHeight="1" x14ac:dyDescent="0.2">
      <c r="A206" s="1"/>
      <c r="B206" s="68" t="s">
        <v>27</v>
      </c>
      <c r="C206" s="55">
        <v>4.04</v>
      </c>
      <c r="D206" s="56" t="s">
        <v>28</v>
      </c>
      <c r="E206" s="54" t="s">
        <v>29</v>
      </c>
      <c r="F206" s="57">
        <v>32</v>
      </c>
      <c r="G206" s="58">
        <f>ROUND(3610.62,0)</f>
        <v>3611</v>
      </c>
      <c r="H206" s="58">
        <f>IFERROR(ROUND(F206*G206,0),0)</f>
        <v>115552</v>
      </c>
      <c r="I206" s="1"/>
      <c r="J206" s="1"/>
      <c r="K206" s="1"/>
    </row>
    <row r="207" spans="1:11" ht="14.5" customHeight="1" x14ac:dyDescent="0.2">
      <c r="A207" s="1"/>
      <c r="B207" s="68" t="s">
        <v>229</v>
      </c>
      <c r="C207" s="55">
        <v>4.05</v>
      </c>
      <c r="D207" s="56" t="s">
        <v>230</v>
      </c>
      <c r="E207" s="54" t="s">
        <v>45</v>
      </c>
      <c r="F207" s="57">
        <v>30</v>
      </c>
      <c r="G207" s="58">
        <f>ROUND(189399.8585,0)</f>
        <v>189400</v>
      </c>
      <c r="H207" s="58">
        <f>IFERROR(ROUND(F207*G207,0),0)</f>
        <v>5682000</v>
      </c>
      <c r="I207" s="1"/>
      <c r="J207" s="1"/>
      <c r="K207" s="1"/>
    </row>
    <row r="208" spans="1:11" ht="14.5" customHeight="1" x14ac:dyDescent="0.2">
      <c r="A208" s="1"/>
      <c r="B208" s="67"/>
      <c r="C208" s="52">
        <v>5</v>
      </c>
      <c r="D208" s="53" t="s">
        <v>231</v>
      </c>
      <c r="E208" s="51"/>
      <c r="F208" s="51"/>
      <c r="G208" s="51"/>
      <c r="H208" s="51"/>
      <c r="I208" s="1"/>
      <c r="J208" s="1"/>
      <c r="K208" s="1"/>
    </row>
    <row r="209" spans="1:11" ht="14.5" customHeight="1" x14ac:dyDescent="0.2">
      <c r="A209" s="1"/>
      <c r="B209" s="68" t="s">
        <v>232</v>
      </c>
      <c r="C209" s="55">
        <v>5.01</v>
      </c>
      <c r="D209" s="56" t="s">
        <v>233</v>
      </c>
      <c r="E209" s="54" t="s">
        <v>45</v>
      </c>
      <c r="F209" s="57">
        <v>50</v>
      </c>
      <c r="G209" s="58">
        <f>ROUND(4449.825,0)</f>
        <v>4450</v>
      </c>
      <c r="H209" s="58">
        <f>IFERROR(ROUND(F209*G209,0),0)</f>
        <v>222500</v>
      </c>
      <c r="I209" s="1"/>
      <c r="J209" s="1"/>
      <c r="K209" s="1"/>
    </row>
    <row r="210" spans="1:11" ht="14.5" customHeight="1" x14ac:dyDescent="0.2">
      <c r="A210" s="1"/>
      <c r="B210" s="68">
        <v>220378</v>
      </c>
      <c r="C210" s="55">
        <v>5.0199999999999996</v>
      </c>
      <c r="D210" s="56" t="s">
        <v>234</v>
      </c>
      <c r="E210" s="54" t="s">
        <v>15</v>
      </c>
      <c r="F210" s="57">
        <v>2</v>
      </c>
      <c r="G210" s="58">
        <f>ROUND(350000,0)</f>
        <v>350000</v>
      </c>
      <c r="H210" s="58">
        <f>IFERROR(ROUND(F210*G210,0),0)</f>
        <v>700000</v>
      </c>
      <c r="I210" s="1"/>
      <c r="J210" s="1"/>
      <c r="K210" s="1"/>
    </row>
    <row r="211" spans="1:11" ht="26.5" customHeight="1" x14ac:dyDescent="0.2">
      <c r="A211" s="1"/>
      <c r="B211" s="68">
        <v>220379</v>
      </c>
      <c r="C211" s="55">
        <v>5.03</v>
      </c>
      <c r="D211" s="56" t="s">
        <v>235</v>
      </c>
      <c r="E211" s="54" t="s">
        <v>15</v>
      </c>
      <c r="F211" s="57">
        <v>2</v>
      </c>
      <c r="G211" s="58">
        <f>ROUND(750000,0)</f>
        <v>750000</v>
      </c>
      <c r="H211" s="58">
        <f>IFERROR(ROUND(F211*G211,0),0)</f>
        <v>1500000</v>
      </c>
      <c r="I211" s="1"/>
      <c r="J211" s="1"/>
      <c r="K211" s="1"/>
    </row>
    <row r="212" spans="1:11" ht="14.5" customHeight="1" x14ac:dyDescent="0.2">
      <c r="A212" s="1"/>
      <c r="B212" s="67"/>
      <c r="C212" s="52">
        <v>6</v>
      </c>
      <c r="D212" s="53" t="s">
        <v>236</v>
      </c>
      <c r="E212" s="51"/>
      <c r="F212" s="51"/>
      <c r="G212" s="51"/>
      <c r="H212" s="51"/>
      <c r="I212" s="1"/>
      <c r="J212" s="1"/>
      <c r="K212" s="1"/>
    </row>
    <row r="213" spans="1:11" ht="14.5" customHeight="1" x14ac:dyDescent="0.2">
      <c r="A213" s="1"/>
      <c r="B213" s="68" t="s">
        <v>76</v>
      </c>
      <c r="C213" s="55">
        <v>6.01</v>
      </c>
      <c r="D213" s="56" t="s">
        <v>114</v>
      </c>
      <c r="E213" s="54" t="s">
        <v>45</v>
      </c>
      <c r="F213" s="57">
        <v>3000</v>
      </c>
      <c r="G213" s="58">
        <f>ROUND(4495.6112,0)</f>
        <v>4496</v>
      </c>
      <c r="H213" s="58">
        <f t="shared" ref="H213:H221" si="12">IFERROR(ROUND(F213*G213,0),0)</f>
        <v>13488000</v>
      </c>
      <c r="I213" s="1"/>
      <c r="J213" s="1"/>
      <c r="K213" s="1"/>
    </row>
    <row r="214" spans="1:11" ht="14.5" customHeight="1" x14ac:dyDescent="0.2">
      <c r="A214" s="1"/>
      <c r="B214" s="68" t="s">
        <v>78</v>
      </c>
      <c r="C214" s="55">
        <v>6.02</v>
      </c>
      <c r="D214" s="56" t="s">
        <v>115</v>
      </c>
      <c r="E214" s="54" t="s">
        <v>21</v>
      </c>
      <c r="F214" s="57">
        <v>3000</v>
      </c>
      <c r="G214" s="58">
        <f>ROUND(12853.368,0)</f>
        <v>12853</v>
      </c>
      <c r="H214" s="58">
        <f t="shared" si="12"/>
        <v>38559000</v>
      </c>
      <c r="I214" s="1"/>
      <c r="J214" s="1"/>
      <c r="K214" s="1"/>
    </row>
    <row r="215" spans="1:11" ht="14.5" customHeight="1" x14ac:dyDescent="0.2">
      <c r="A215" s="1"/>
      <c r="B215" s="68" t="s">
        <v>80</v>
      </c>
      <c r="C215" s="55">
        <v>6.03</v>
      </c>
      <c r="D215" s="56" t="s">
        <v>81</v>
      </c>
      <c r="E215" s="54" t="s">
        <v>45</v>
      </c>
      <c r="F215" s="57">
        <v>3000</v>
      </c>
      <c r="G215" s="58">
        <f>ROUND(17452.5471,0)</f>
        <v>17453</v>
      </c>
      <c r="H215" s="58">
        <f t="shared" si="12"/>
        <v>52359000</v>
      </c>
      <c r="I215" s="1"/>
      <c r="J215" s="1"/>
      <c r="K215" s="1"/>
    </row>
    <row r="216" spans="1:11" ht="14.5" customHeight="1" x14ac:dyDescent="0.2">
      <c r="A216" s="1"/>
      <c r="B216" s="68" t="s">
        <v>82</v>
      </c>
      <c r="C216" s="55">
        <v>6.04</v>
      </c>
      <c r="D216" s="56" t="s">
        <v>83</v>
      </c>
      <c r="E216" s="54" t="s">
        <v>45</v>
      </c>
      <c r="F216" s="57">
        <v>3000</v>
      </c>
      <c r="G216" s="58">
        <f>ROUND(11284.1963,0)</f>
        <v>11284</v>
      </c>
      <c r="H216" s="58">
        <f t="shared" si="12"/>
        <v>33852000</v>
      </c>
      <c r="I216" s="1"/>
      <c r="J216" s="1"/>
      <c r="K216" s="1"/>
    </row>
    <row r="217" spans="1:11" ht="14.5" customHeight="1" x14ac:dyDescent="0.2">
      <c r="A217" s="1"/>
      <c r="B217" s="68" t="s">
        <v>76</v>
      </c>
      <c r="C217" s="55">
        <v>6.05</v>
      </c>
      <c r="D217" s="56" t="s">
        <v>114</v>
      </c>
      <c r="E217" s="54" t="s">
        <v>45</v>
      </c>
      <c r="F217" s="57">
        <v>500</v>
      </c>
      <c r="G217" s="58">
        <f>ROUND(4495.6112,0)</f>
        <v>4496</v>
      </c>
      <c r="H217" s="58">
        <f t="shared" si="12"/>
        <v>2248000</v>
      </c>
      <c r="I217" s="1"/>
      <c r="J217" s="1"/>
      <c r="K217" s="1"/>
    </row>
    <row r="218" spans="1:11" ht="14.5" customHeight="1" x14ac:dyDescent="0.2">
      <c r="A218" s="1"/>
      <c r="B218" s="68" t="s">
        <v>78</v>
      </c>
      <c r="C218" s="55">
        <v>6.06</v>
      </c>
      <c r="D218" s="56" t="s">
        <v>115</v>
      </c>
      <c r="E218" s="54" t="s">
        <v>21</v>
      </c>
      <c r="F218" s="57">
        <v>500</v>
      </c>
      <c r="G218" s="58">
        <f>ROUND(12853.368,0)</f>
        <v>12853</v>
      </c>
      <c r="H218" s="58">
        <f t="shared" si="12"/>
        <v>6426500</v>
      </c>
      <c r="I218" s="1"/>
      <c r="J218" s="1"/>
      <c r="K218" s="1"/>
    </row>
    <row r="219" spans="1:11" ht="14.5" customHeight="1" x14ac:dyDescent="0.2">
      <c r="A219" s="1"/>
      <c r="B219" s="68" t="s">
        <v>80</v>
      </c>
      <c r="C219" s="55">
        <v>6.07</v>
      </c>
      <c r="D219" s="56" t="s">
        <v>81</v>
      </c>
      <c r="E219" s="54" t="s">
        <v>45</v>
      </c>
      <c r="F219" s="57">
        <v>500</v>
      </c>
      <c r="G219" s="58">
        <f>ROUND(17452.5471,0)</f>
        <v>17453</v>
      </c>
      <c r="H219" s="58">
        <f t="shared" si="12"/>
        <v>8726500</v>
      </c>
      <c r="I219" s="1"/>
      <c r="J219" s="1"/>
      <c r="K219" s="1"/>
    </row>
    <row r="220" spans="1:11" ht="14.5" customHeight="1" x14ac:dyDescent="0.2">
      <c r="A220" s="1"/>
      <c r="B220" s="68" t="s">
        <v>82</v>
      </c>
      <c r="C220" s="55">
        <v>6.08</v>
      </c>
      <c r="D220" s="56" t="s">
        <v>83</v>
      </c>
      <c r="E220" s="54" t="s">
        <v>45</v>
      </c>
      <c r="F220" s="57">
        <v>500</v>
      </c>
      <c r="G220" s="58">
        <f>ROUND(11284.1963,0)</f>
        <v>11284</v>
      </c>
      <c r="H220" s="58">
        <f t="shared" si="12"/>
        <v>5642000</v>
      </c>
      <c r="I220" s="1"/>
      <c r="J220" s="1"/>
      <c r="K220" s="1"/>
    </row>
    <row r="221" spans="1:11" ht="14.5" customHeight="1" x14ac:dyDescent="0.2">
      <c r="A221" s="1"/>
      <c r="B221" s="68" t="s">
        <v>84</v>
      </c>
      <c r="C221" s="55">
        <v>6.09</v>
      </c>
      <c r="D221" s="56" t="s">
        <v>85</v>
      </c>
      <c r="E221" s="54" t="s">
        <v>45</v>
      </c>
      <c r="F221" s="57">
        <v>5000</v>
      </c>
      <c r="G221" s="58">
        <f>ROUND(2589.6266,0)</f>
        <v>2590</v>
      </c>
      <c r="H221" s="58">
        <f t="shared" si="12"/>
        <v>12950000</v>
      </c>
      <c r="I221" s="1"/>
      <c r="J221" s="1"/>
      <c r="K221" s="1"/>
    </row>
    <row r="222" spans="1:11" ht="14.5" customHeight="1" x14ac:dyDescent="0.2">
      <c r="A222" s="1"/>
      <c r="B222" s="67"/>
      <c r="C222" s="52">
        <v>7</v>
      </c>
      <c r="D222" s="53" t="s">
        <v>237</v>
      </c>
      <c r="E222" s="51"/>
      <c r="F222" s="51"/>
      <c r="G222" s="51"/>
      <c r="H222" s="51"/>
      <c r="I222" s="1"/>
      <c r="J222" s="1"/>
      <c r="K222" s="1"/>
    </row>
    <row r="223" spans="1:11" ht="14.5" customHeight="1" x14ac:dyDescent="0.2">
      <c r="A223" s="1"/>
      <c r="B223" s="68" t="s">
        <v>76</v>
      </c>
      <c r="C223" s="55">
        <v>7.01</v>
      </c>
      <c r="D223" s="56" t="s">
        <v>114</v>
      </c>
      <c r="E223" s="54" t="s">
        <v>45</v>
      </c>
      <c r="F223" s="57">
        <v>500</v>
      </c>
      <c r="G223" s="58">
        <f>ROUND(4495.6112,0)</f>
        <v>4496</v>
      </c>
      <c r="H223" s="58">
        <f>IFERROR(ROUND(F223*G223,0),0)</f>
        <v>2248000</v>
      </c>
      <c r="I223" s="1"/>
      <c r="J223" s="1"/>
      <c r="K223" s="1"/>
    </row>
    <row r="224" spans="1:11" ht="14.5" customHeight="1" x14ac:dyDescent="0.2">
      <c r="A224" s="1"/>
      <c r="B224" s="68" t="s">
        <v>238</v>
      </c>
      <c r="C224" s="55">
        <v>7.02</v>
      </c>
      <c r="D224" s="56" t="s">
        <v>239</v>
      </c>
      <c r="E224" s="54" t="s">
        <v>240</v>
      </c>
      <c r="F224" s="57">
        <v>500</v>
      </c>
      <c r="G224" s="58">
        <f>ROUND(8013.1377,0)</f>
        <v>8013</v>
      </c>
      <c r="H224" s="58">
        <f>IFERROR(ROUND(F224*G224,0),0)</f>
        <v>4006500</v>
      </c>
      <c r="I224" s="1"/>
      <c r="J224" s="1"/>
      <c r="K224" s="1"/>
    </row>
    <row r="225" spans="1:11" ht="14.5" customHeight="1" x14ac:dyDescent="0.2">
      <c r="A225" s="1"/>
      <c r="B225" s="68" t="s">
        <v>241</v>
      </c>
      <c r="C225" s="55">
        <v>7.03</v>
      </c>
      <c r="D225" s="56" t="s">
        <v>242</v>
      </c>
      <c r="E225" s="54" t="s">
        <v>21</v>
      </c>
      <c r="F225" s="57">
        <v>500</v>
      </c>
      <c r="G225" s="58">
        <f>ROUND(19721.16,0)</f>
        <v>19721</v>
      </c>
      <c r="H225" s="58">
        <f>IFERROR(ROUND(F225*G225,0),0)</f>
        <v>9860500</v>
      </c>
      <c r="I225" s="1"/>
      <c r="J225" s="1"/>
      <c r="K225" s="1"/>
    </row>
    <row r="226" spans="1:11" ht="14.5" customHeight="1" x14ac:dyDescent="0.2">
      <c r="A226" s="1"/>
      <c r="B226" s="67"/>
      <c r="C226" s="52">
        <v>8</v>
      </c>
      <c r="D226" s="53" t="s">
        <v>243</v>
      </c>
      <c r="E226" s="51"/>
      <c r="F226" s="51"/>
      <c r="G226" s="51"/>
      <c r="H226" s="51"/>
      <c r="I226" s="1"/>
      <c r="J226" s="1"/>
      <c r="K226" s="1"/>
    </row>
    <row r="227" spans="1:11" ht="14.5" customHeight="1" x14ac:dyDescent="0.2">
      <c r="A227" s="1"/>
      <c r="B227" s="68" t="s">
        <v>84</v>
      </c>
      <c r="C227" s="55">
        <v>8.01</v>
      </c>
      <c r="D227" s="56" t="s">
        <v>85</v>
      </c>
      <c r="E227" s="54" t="s">
        <v>45</v>
      </c>
      <c r="F227" s="57">
        <v>3000</v>
      </c>
      <c r="G227" s="58">
        <f>ROUND(2589.6266,0)</f>
        <v>2590</v>
      </c>
      <c r="H227" s="58">
        <f>IFERROR(ROUND(F227*G227,0),0)</f>
        <v>7770000</v>
      </c>
      <c r="I227" s="1"/>
      <c r="J227" s="1"/>
      <c r="K227" s="1"/>
    </row>
    <row r="228" spans="1:11" ht="14.5" customHeight="1" x14ac:dyDescent="0.2">
      <c r="A228" s="1"/>
      <c r="B228" s="68" t="s">
        <v>244</v>
      </c>
      <c r="C228" s="55">
        <v>8.02</v>
      </c>
      <c r="D228" s="56" t="s">
        <v>245</v>
      </c>
      <c r="E228" s="54" t="s">
        <v>45</v>
      </c>
      <c r="F228" s="57">
        <v>3000</v>
      </c>
      <c r="G228" s="58">
        <f>ROUND(20782.4662,0)</f>
        <v>20782</v>
      </c>
      <c r="H228" s="58">
        <f>IFERROR(ROUND(F228*G228,0),0)</f>
        <v>62346000</v>
      </c>
      <c r="I228" s="1"/>
      <c r="J228" s="1"/>
      <c r="K228" s="1"/>
    </row>
    <row r="229" spans="1:11" ht="14.5" customHeight="1" x14ac:dyDescent="0.2">
      <c r="A229" s="1"/>
      <c r="B229" s="67"/>
      <c r="C229" s="52">
        <v>9</v>
      </c>
      <c r="D229" s="53" t="s">
        <v>246</v>
      </c>
      <c r="E229" s="51"/>
      <c r="F229" s="51"/>
      <c r="G229" s="51"/>
      <c r="H229" s="51"/>
      <c r="I229" s="1"/>
      <c r="J229" s="1"/>
      <c r="K229" s="1"/>
    </row>
    <row r="230" spans="1:11" ht="14.5" customHeight="1" x14ac:dyDescent="0.2">
      <c r="A230" s="1"/>
      <c r="B230" s="68" t="s">
        <v>247</v>
      </c>
      <c r="C230" s="55">
        <v>9.01</v>
      </c>
      <c r="D230" s="56" t="s">
        <v>248</v>
      </c>
      <c r="E230" s="54" t="s">
        <v>199</v>
      </c>
      <c r="F230" s="57">
        <v>5</v>
      </c>
      <c r="G230" s="58">
        <f>ROUND(65277.5204,0)</f>
        <v>65278</v>
      </c>
      <c r="H230" s="58">
        <f>IFERROR(ROUND(F230*G230,0),0)</f>
        <v>326390</v>
      </c>
      <c r="I230" s="1"/>
      <c r="J230" s="1"/>
      <c r="K230" s="1"/>
    </row>
    <row r="231" spans="1:11" ht="14.5" customHeight="1" x14ac:dyDescent="0.2">
      <c r="A231" s="1"/>
      <c r="B231" s="67"/>
      <c r="C231" s="52">
        <v>10</v>
      </c>
      <c r="D231" s="53" t="s">
        <v>249</v>
      </c>
      <c r="E231" s="51"/>
      <c r="F231" s="51"/>
      <c r="G231" s="51"/>
      <c r="H231" s="51"/>
      <c r="I231" s="1"/>
      <c r="J231" s="1"/>
      <c r="K231" s="1"/>
    </row>
    <row r="232" spans="1:11" ht="14.5" customHeight="1" x14ac:dyDescent="0.2">
      <c r="A232" s="1"/>
      <c r="B232" s="68" t="s">
        <v>76</v>
      </c>
      <c r="C232" s="55">
        <v>10.01</v>
      </c>
      <c r="D232" s="56" t="s">
        <v>114</v>
      </c>
      <c r="E232" s="54" t="s">
        <v>45</v>
      </c>
      <c r="F232" s="57">
        <v>1</v>
      </c>
      <c r="G232" s="58">
        <f>ROUND(4495.6112,0)</f>
        <v>4496</v>
      </c>
      <c r="H232" s="58">
        <f>IFERROR(ROUND(F232*G232,0),0)</f>
        <v>4496</v>
      </c>
      <c r="I232" s="1"/>
      <c r="J232" s="1"/>
      <c r="K232" s="1"/>
    </row>
    <row r="233" spans="1:11" ht="14.5" customHeight="1" x14ac:dyDescent="0.2">
      <c r="A233" s="1"/>
      <c r="B233" s="68" t="s">
        <v>124</v>
      </c>
      <c r="C233" s="55">
        <v>10.02</v>
      </c>
      <c r="D233" s="56" t="s">
        <v>125</v>
      </c>
      <c r="E233" s="54" t="s">
        <v>45</v>
      </c>
      <c r="F233" s="57">
        <v>1</v>
      </c>
      <c r="G233" s="58">
        <f>ROUND(17368.8487,0)</f>
        <v>17369</v>
      </c>
      <c r="H233" s="58">
        <f>IFERROR(ROUND(F233*G233,0),0)</f>
        <v>17369</v>
      </c>
      <c r="I233" s="1"/>
      <c r="J233" s="1"/>
      <c r="K233" s="1"/>
    </row>
    <row r="234" spans="1:11" ht="39.5" customHeight="1" x14ac:dyDescent="0.2">
      <c r="A234" s="1"/>
      <c r="B234" s="68" t="s">
        <v>126</v>
      </c>
      <c r="C234" s="55">
        <v>10.029999999999999</v>
      </c>
      <c r="D234" s="56" t="s">
        <v>127</v>
      </c>
      <c r="E234" s="54" t="s">
        <v>45</v>
      </c>
      <c r="F234" s="57">
        <v>1</v>
      </c>
      <c r="G234" s="58">
        <f>ROUND(48470.548,0)</f>
        <v>48471</v>
      </c>
      <c r="H234" s="58">
        <f>IFERROR(ROUND(F234*G234,0),0)</f>
        <v>48471</v>
      </c>
      <c r="I234" s="1"/>
      <c r="J234" s="1"/>
      <c r="K234" s="1"/>
    </row>
    <row r="235" spans="1:11" ht="14.5" customHeight="1" x14ac:dyDescent="0.2">
      <c r="A235" s="1"/>
      <c r="B235" s="67"/>
      <c r="C235" s="52">
        <v>11</v>
      </c>
      <c r="D235" s="53" t="s">
        <v>250</v>
      </c>
      <c r="E235" s="51"/>
      <c r="F235" s="51"/>
      <c r="G235" s="51"/>
      <c r="H235" s="51"/>
      <c r="I235" s="1"/>
      <c r="J235" s="1"/>
      <c r="K235" s="1"/>
    </row>
    <row r="236" spans="1:11" ht="14.5" customHeight="1" x14ac:dyDescent="0.2">
      <c r="A236" s="1"/>
      <c r="B236" s="68" t="s">
        <v>76</v>
      </c>
      <c r="C236" s="55">
        <v>11.01</v>
      </c>
      <c r="D236" s="56" t="s">
        <v>114</v>
      </c>
      <c r="E236" s="54" t="s">
        <v>45</v>
      </c>
      <c r="F236" s="57">
        <v>50</v>
      </c>
      <c r="G236" s="58">
        <f>ROUND(4495.6112,0)</f>
        <v>4496</v>
      </c>
      <c r="H236" s="58">
        <f>IFERROR(ROUND(F236*G236,0),0)</f>
        <v>224800</v>
      </c>
      <c r="I236" s="1"/>
      <c r="J236" s="1"/>
      <c r="K236" s="1"/>
    </row>
    <row r="237" spans="1:11" ht="26.5" customHeight="1" x14ac:dyDescent="0.2">
      <c r="A237" s="1"/>
      <c r="B237" s="68" t="s">
        <v>170</v>
      </c>
      <c r="C237" s="55">
        <v>11.02</v>
      </c>
      <c r="D237" s="56" t="s">
        <v>171</v>
      </c>
      <c r="E237" s="54" t="s">
        <v>45</v>
      </c>
      <c r="F237" s="57">
        <v>90</v>
      </c>
      <c r="G237" s="58">
        <f>ROUND(60376.8,0)</f>
        <v>60377</v>
      </c>
      <c r="H237" s="58">
        <f>IFERROR(ROUND(F237*G237,0),0)</f>
        <v>5433930</v>
      </c>
      <c r="I237" s="1"/>
      <c r="J237" s="1"/>
      <c r="K237" s="1"/>
    </row>
    <row r="238" spans="1:11" ht="14.5" customHeight="1" x14ac:dyDescent="0.2">
      <c r="A238" s="1"/>
      <c r="B238" s="67"/>
      <c r="C238" s="52">
        <v>12</v>
      </c>
      <c r="D238" s="53" t="s">
        <v>251</v>
      </c>
      <c r="E238" s="51"/>
      <c r="F238" s="51"/>
      <c r="G238" s="51"/>
      <c r="H238" s="51"/>
      <c r="I238" s="1"/>
      <c r="J238" s="1"/>
      <c r="K238" s="1"/>
    </row>
    <row r="239" spans="1:11" ht="14.5" customHeight="1" x14ac:dyDescent="0.2">
      <c r="A239" s="1"/>
      <c r="B239" s="68" t="s">
        <v>252</v>
      </c>
      <c r="C239" s="55">
        <v>12.01</v>
      </c>
      <c r="D239" s="56" t="s">
        <v>253</v>
      </c>
      <c r="E239" s="54" t="s">
        <v>45</v>
      </c>
      <c r="F239" s="57">
        <v>2</v>
      </c>
      <c r="G239" s="58">
        <f>ROUND(15579.2742,0)</f>
        <v>15579</v>
      </c>
      <c r="H239" s="58">
        <f>IFERROR(ROUND(F239*G239,0),0)</f>
        <v>31158</v>
      </c>
      <c r="I239" s="1"/>
      <c r="J239" s="1"/>
      <c r="K239" s="1"/>
    </row>
    <row r="240" spans="1:11" ht="14.5" customHeight="1" x14ac:dyDescent="0.2">
      <c r="A240" s="1"/>
      <c r="B240" s="68" t="s">
        <v>22</v>
      </c>
      <c r="C240" s="55">
        <v>12.02</v>
      </c>
      <c r="D240" s="56" t="s">
        <v>23</v>
      </c>
      <c r="E240" s="54" t="s">
        <v>24</v>
      </c>
      <c r="F240" s="57">
        <v>1</v>
      </c>
      <c r="G240" s="58">
        <f>ROUND(9890.955,0)</f>
        <v>9891</v>
      </c>
      <c r="H240" s="58">
        <f>IFERROR(ROUND(F240*G240,0),0)</f>
        <v>9891</v>
      </c>
      <c r="I240" s="1"/>
      <c r="J240" s="1"/>
      <c r="K240" s="1"/>
    </row>
    <row r="241" spans="1:11" ht="14.5" customHeight="1" x14ac:dyDescent="0.2">
      <c r="A241" s="1"/>
      <c r="B241" s="68" t="s">
        <v>25</v>
      </c>
      <c r="C241" s="55">
        <v>12.03</v>
      </c>
      <c r="D241" s="56" t="s">
        <v>26</v>
      </c>
      <c r="E241" s="54" t="s">
        <v>24</v>
      </c>
      <c r="F241" s="57">
        <v>1</v>
      </c>
      <c r="G241" s="58">
        <f>ROUND(11898.4666,0)</f>
        <v>11898</v>
      </c>
      <c r="H241" s="58">
        <f>IFERROR(ROUND(F241*G241,0),0)</f>
        <v>11898</v>
      </c>
      <c r="I241" s="1"/>
      <c r="J241" s="1"/>
      <c r="K241" s="1"/>
    </row>
    <row r="242" spans="1:11" ht="26.5" customHeight="1" x14ac:dyDescent="0.2">
      <c r="A242" s="1"/>
      <c r="B242" s="68" t="s">
        <v>27</v>
      </c>
      <c r="C242" s="55">
        <v>12.04</v>
      </c>
      <c r="D242" s="56" t="s">
        <v>28</v>
      </c>
      <c r="E242" s="54" t="s">
        <v>29</v>
      </c>
      <c r="F242" s="57">
        <v>32</v>
      </c>
      <c r="G242" s="58">
        <f>ROUND(3610.62,0)</f>
        <v>3611</v>
      </c>
      <c r="H242" s="58">
        <f>IFERROR(ROUND(F242*G242,0),0)</f>
        <v>115552</v>
      </c>
      <c r="I242" s="1"/>
      <c r="J242" s="1"/>
      <c r="K242" s="1"/>
    </row>
    <row r="243" spans="1:11" ht="52.75" customHeight="1" x14ac:dyDescent="0.2">
      <c r="A243" s="1"/>
      <c r="B243" s="68" t="s">
        <v>254</v>
      </c>
      <c r="C243" s="55">
        <v>12.05</v>
      </c>
      <c r="D243" s="56" t="s">
        <v>255</v>
      </c>
      <c r="E243" s="54" t="s">
        <v>15</v>
      </c>
      <c r="F243" s="57">
        <v>2</v>
      </c>
      <c r="G243" s="58">
        <f>ROUND(1935173.361,0)</f>
        <v>1935173</v>
      </c>
      <c r="H243" s="58">
        <f>IFERROR(ROUND(F243*G243,0),0)</f>
        <v>3870346</v>
      </c>
      <c r="I243" s="1"/>
      <c r="J243" s="1"/>
      <c r="K243" s="1"/>
    </row>
    <row r="244" spans="1:11" ht="14.5" customHeight="1" x14ac:dyDescent="0.2">
      <c r="A244" s="1"/>
      <c r="B244" s="67"/>
      <c r="C244" s="52">
        <v>13</v>
      </c>
      <c r="D244" s="53" t="s">
        <v>256</v>
      </c>
      <c r="E244" s="51"/>
      <c r="F244" s="51"/>
      <c r="G244" s="51"/>
      <c r="H244" s="51"/>
      <c r="I244" s="1"/>
      <c r="J244" s="1"/>
      <c r="K244" s="1"/>
    </row>
    <row r="245" spans="1:11" ht="26.5" customHeight="1" x14ac:dyDescent="0.2">
      <c r="A245" s="1"/>
      <c r="B245" s="68">
        <v>301230</v>
      </c>
      <c r="C245" s="55">
        <v>13.01</v>
      </c>
      <c r="D245" s="56" t="s">
        <v>257</v>
      </c>
      <c r="E245" s="54" t="s">
        <v>45</v>
      </c>
      <c r="F245" s="57">
        <v>10</v>
      </c>
      <c r="G245" s="58">
        <f>ROUND(22000,0)</f>
        <v>22000</v>
      </c>
      <c r="H245" s="58">
        <f>IFERROR(ROUND(F245*G245,0),0)</f>
        <v>220000</v>
      </c>
      <c r="I245" s="1"/>
      <c r="J245" s="1"/>
      <c r="K245" s="1"/>
    </row>
    <row r="246" spans="1:11" ht="14.5" customHeight="1" x14ac:dyDescent="0.2">
      <c r="A246" s="1"/>
      <c r="B246" s="67"/>
      <c r="C246" s="52">
        <v>14</v>
      </c>
      <c r="D246" s="53" t="s">
        <v>258</v>
      </c>
      <c r="E246" s="51"/>
      <c r="F246" s="51"/>
      <c r="G246" s="51"/>
      <c r="H246" s="51"/>
      <c r="I246" s="1"/>
      <c r="J246" s="1"/>
      <c r="K246" s="1"/>
    </row>
    <row r="247" spans="1:11" ht="14.5" customHeight="1" x14ac:dyDescent="0.2">
      <c r="A247" s="1"/>
      <c r="B247" s="68" t="s">
        <v>259</v>
      </c>
      <c r="C247" s="55">
        <v>14.01</v>
      </c>
      <c r="D247" s="56" t="s">
        <v>260</v>
      </c>
      <c r="E247" s="54" t="s">
        <v>45</v>
      </c>
      <c r="F247" s="57">
        <v>17</v>
      </c>
      <c r="G247" s="58">
        <f>ROUND(9297.2948,0)</f>
        <v>9297</v>
      </c>
      <c r="H247" s="58">
        <f>IFERROR(ROUND(F247*G247,0),0)</f>
        <v>158049</v>
      </c>
      <c r="I247" s="1"/>
      <c r="J247" s="1"/>
      <c r="K247" s="1"/>
    </row>
    <row r="248" spans="1:11" ht="14.5" customHeight="1" x14ac:dyDescent="0.2">
      <c r="A248" s="1"/>
      <c r="B248" s="68" t="s">
        <v>22</v>
      </c>
      <c r="C248" s="55">
        <v>14.02</v>
      </c>
      <c r="D248" s="56" t="s">
        <v>23</v>
      </c>
      <c r="E248" s="54" t="s">
        <v>24</v>
      </c>
      <c r="F248" s="57">
        <v>1</v>
      </c>
      <c r="G248" s="58">
        <f>ROUND(9890.955,0)</f>
        <v>9891</v>
      </c>
      <c r="H248" s="58">
        <f>IFERROR(ROUND(F248*G248,0),0)</f>
        <v>9891</v>
      </c>
      <c r="I248" s="1"/>
      <c r="J248" s="1"/>
      <c r="K248" s="1"/>
    </row>
    <row r="249" spans="1:11" ht="14.5" customHeight="1" x14ac:dyDescent="0.2">
      <c r="A249" s="1"/>
      <c r="B249" s="68" t="s">
        <v>25</v>
      </c>
      <c r="C249" s="55">
        <v>14.03</v>
      </c>
      <c r="D249" s="56" t="s">
        <v>26</v>
      </c>
      <c r="E249" s="54" t="s">
        <v>24</v>
      </c>
      <c r="F249" s="57">
        <v>1</v>
      </c>
      <c r="G249" s="58">
        <f>ROUND(11898.4666,0)</f>
        <v>11898</v>
      </c>
      <c r="H249" s="58">
        <f>IFERROR(ROUND(F249*G249,0),0)</f>
        <v>11898</v>
      </c>
      <c r="I249" s="1"/>
      <c r="J249" s="1"/>
      <c r="K249" s="1"/>
    </row>
    <row r="250" spans="1:11" ht="26.5" customHeight="1" x14ac:dyDescent="0.2">
      <c r="A250" s="1"/>
      <c r="B250" s="68" t="s">
        <v>27</v>
      </c>
      <c r="C250" s="55">
        <v>14.04</v>
      </c>
      <c r="D250" s="56" t="s">
        <v>28</v>
      </c>
      <c r="E250" s="54" t="s">
        <v>29</v>
      </c>
      <c r="F250" s="57">
        <v>32</v>
      </c>
      <c r="G250" s="58">
        <f>ROUND(3610.62,0)</f>
        <v>3611</v>
      </c>
      <c r="H250" s="58">
        <f>IFERROR(ROUND(F250*G250,0),0)</f>
        <v>115552</v>
      </c>
      <c r="I250" s="1"/>
      <c r="J250" s="1"/>
      <c r="K250" s="1"/>
    </row>
    <row r="251" spans="1:11" ht="14.5" customHeight="1" x14ac:dyDescent="0.2">
      <c r="A251" s="1"/>
      <c r="B251" s="67"/>
      <c r="C251" s="52">
        <v>15</v>
      </c>
      <c r="D251" s="53" t="s">
        <v>261</v>
      </c>
      <c r="E251" s="51"/>
      <c r="F251" s="51"/>
      <c r="G251" s="51"/>
      <c r="H251" s="51"/>
      <c r="I251" s="1"/>
      <c r="J251" s="1"/>
      <c r="K251" s="1"/>
    </row>
    <row r="252" spans="1:11" ht="26.5" customHeight="1" x14ac:dyDescent="0.2">
      <c r="A252" s="1"/>
      <c r="B252" s="68">
        <v>180450</v>
      </c>
      <c r="C252" s="55">
        <v>15.01</v>
      </c>
      <c r="D252" s="56" t="s">
        <v>102</v>
      </c>
      <c r="E252" s="54" t="s">
        <v>45</v>
      </c>
      <c r="F252" s="57">
        <v>17</v>
      </c>
      <c r="G252" s="58">
        <f>ROUND(45000,0)</f>
        <v>45000</v>
      </c>
      <c r="H252" s="58">
        <f>IFERROR(ROUND(F252*G252,0),0)</f>
        <v>765000</v>
      </c>
      <c r="I252" s="1"/>
      <c r="J252" s="1"/>
      <c r="K252" s="1"/>
    </row>
    <row r="253" spans="1:11" ht="14.5" customHeight="1" x14ac:dyDescent="0.2">
      <c r="A253" s="1"/>
      <c r="B253" s="68" t="s">
        <v>103</v>
      </c>
      <c r="C253" s="55">
        <v>15.02</v>
      </c>
      <c r="D253" s="56" t="s">
        <v>104</v>
      </c>
      <c r="E253" s="54" t="s">
        <v>45</v>
      </c>
      <c r="F253" s="57">
        <v>17</v>
      </c>
      <c r="G253" s="58">
        <f>ROUND(123668.5991,0)</f>
        <v>123669</v>
      </c>
      <c r="H253" s="58">
        <f>IFERROR(ROUND(F253*G253,0),0)</f>
        <v>2102373</v>
      </c>
      <c r="I253" s="1"/>
      <c r="J253" s="1"/>
      <c r="K253" s="1"/>
    </row>
    <row r="254" spans="1:11" ht="14.5" customHeight="1" x14ac:dyDescent="0.2">
      <c r="A254" s="1"/>
      <c r="B254" s="68" t="s">
        <v>107</v>
      </c>
      <c r="C254" s="55">
        <v>15.03</v>
      </c>
      <c r="D254" s="56" t="s">
        <v>108</v>
      </c>
      <c r="E254" s="54" t="s">
        <v>21</v>
      </c>
      <c r="F254" s="57">
        <v>17</v>
      </c>
      <c r="G254" s="58">
        <f>ROUND(12853.368,0)</f>
        <v>12853</v>
      </c>
      <c r="H254" s="58">
        <f>IFERROR(ROUND(F254*G254,0),0)</f>
        <v>218501</v>
      </c>
      <c r="I254" s="1"/>
      <c r="J254" s="1"/>
      <c r="K254" s="1"/>
    </row>
    <row r="255" spans="1:11" ht="14.5" customHeight="1" x14ac:dyDescent="0.2">
      <c r="A255" s="1"/>
      <c r="B255" s="68" t="s">
        <v>109</v>
      </c>
      <c r="C255" s="55">
        <v>15.04</v>
      </c>
      <c r="D255" s="56" t="s">
        <v>110</v>
      </c>
      <c r="E255" s="54" t="s">
        <v>45</v>
      </c>
      <c r="F255" s="57">
        <v>17</v>
      </c>
      <c r="G255" s="58">
        <f>ROUND(22412.6417,0)</f>
        <v>22413</v>
      </c>
      <c r="H255" s="58">
        <f>IFERROR(ROUND(F255*G255,0),0)</f>
        <v>381021</v>
      </c>
      <c r="I255" s="1"/>
      <c r="J255" s="1"/>
      <c r="K255" s="1"/>
    </row>
    <row r="256" spans="1:11" ht="14.5" customHeight="1" x14ac:dyDescent="0.2">
      <c r="A256" s="1"/>
      <c r="B256" s="68" t="s">
        <v>111</v>
      </c>
      <c r="C256" s="55">
        <v>15.05</v>
      </c>
      <c r="D256" s="56" t="s">
        <v>112</v>
      </c>
      <c r="E256" s="54" t="s">
        <v>45</v>
      </c>
      <c r="F256" s="57">
        <v>17</v>
      </c>
      <c r="G256" s="58">
        <f>ROUND(18631.3031,0)</f>
        <v>18631</v>
      </c>
      <c r="H256" s="58">
        <f>IFERROR(ROUND(F256*G256,0),0)</f>
        <v>316727</v>
      </c>
      <c r="I256" s="1"/>
      <c r="J256" s="1"/>
      <c r="K256" s="1"/>
    </row>
    <row r="257" spans="1:11" ht="14.5" customHeight="1" x14ac:dyDescent="0.2">
      <c r="A257" s="1"/>
      <c r="B257" s="67"/>
      <c r="C257" s="52">
        <v>16</v>
      </c>
      <c r="D257" s="53" t="s">
        <v>262</v>
      </c>
      <c r="E257" s="51"/>
      <c r="F257" s="51"/>
      <c r="G257" s="51"/>
      <c r="H257" s="51"/>
      <c r="I257" s="1"/>
      <c r="J257" s="1"/>
      <c r="K257" s="1"/>
    </row>
    <row r="258" spans="1:11" ht="14.5" customHeight="1" x14ac:dyDescent="0.2">
      <c r="A258" s="1"/>
      <c r="B258" s="68" t="s">
        <v>139</v>
      </c>
      <c r="C258" s="55">
        <v>16.010000000000002</v>
      </c>
      <c r="D258" s="56" t="s">
        <v>140</v>
      </c>
      <c r="E258" s="54" t="s">
        <v>15</v>
      </c>
      <c r="F258" s="57">
        <v>4</v>
      </c>
      <c r="G258" s="58">
        <f>ROUND(39511.2025,0)</f>
        <v>39511</v>
      </c>
      <c r="H258" s="58">
        <f>IFERROR(ROUND(F258*G258,0),0)</f>
        <v>158044</v>
      </c>
      <c r="I258" s="1"/>
      <c r="J258" s="1"/>
      <c r="K258" s="1"/>
    </row>
    <row r="259" spans="1:11" ht="14.5" customHeight="1" x14ac:dyDescent="0.2">
      <c r="A259" s="1"/>
      <c r="B259" s="68" t="s">
        <v>22</v>
      </c>
      <c r="C259" s="55">
        <v>16.02</v>
      </c>
      <c r="D259" s="56" t="s">
        <v>23</v>
      </c>
      <c r="E259" s="54" t="s">
        <v>24</v>
      </c>
      <c r="F259" s="57">
        <v>1</v>
      </c>
      <c r="G259" s="58">
        <f>ROUND(9890.955,0)</f>
        <v>9891</v>
      </c>
      <c r="H259" s="58">
        <f>IFERROR(ROUND(F259*G259,0),0)</f>
        <v>9891</v>
      </c>
      <c r="I259" s="1"/>
      <c r="J259" s="1"/>
      <c r="K259" s="1"/>
    </row>
    <row r="260" spans="1:11" ht="14.5" customHeight="1" x14ac:dyDescent="0.2">
      <c r="A260" s="1"/>
      <c r="B260" s="68" t="s">
        <v>25</v>
      </c>
      <c r="C260" s="55">
        <v>16.03</v>
      </c>
      <c r="D260" s="56" t="s">
        <v>26</v>
      </c>
      <c r="E260" s="54" t="s">
        <v>24</v>
      </c>
      <c r="F260" s="57">
        <v>1</v>
      </c>
      <c r="G260" s="58">
        <f>ROUND(11898.4666,0)</f>
        <v>11898</v>
      </c>
      <c r="H260" s="58">
        <f>IFERROR(ROUND(F260*G260,0),0)</f>
        <v>11898</v>
      </c>
      <c r="I260" s="1"/>
      <c r="J260" s="1"/>
      <c r="K260" s="1"/>
    </row>
    <row r="261" spans="1:11" ht="26.5" customHeight="1" x14ac:dyDescent="0.2">
      <c r="A261" s="1"/>
      <c r="B261" s="68" t="s">
        <v>27</v>
      </c>
      <c r="C261" s="55">
        <v>16.04</v>
      </c>
      <c r="D261" s="56" t="s">
        <v>28</v>
      </c>
      <c r="E261" s="54" t="s">
        <v>29</v>
      </c>
      <c r="F261" s="57">
        <v>32</v>
      </c>
      <c r="G261" s="58">
        <f>ROUND(3610.62,0)</f>
        <v>3611</v>
      </c>
      <c r="H261" s="58">
        <f>IFERROR(ROUND(F261*G261,0),0)</f>
        <v>115552</v>
      </c>
      <c r="I261" s="1"/>
      <c r="J261" s="1"/>
      <c r="K261" s="1"/>
    </row>
    <row r="262" spans="1:11" ht="14.5" customHeight="1" x14ac:dyDescent="0.2">
      <c r="A262" s="1"/>
      <c r="B262" s="67"/>
      <c r="C262" s="52">
        <v>17</v>
      </c>
      <c r="D262" s="53" t="s">
        <v>202</v>
      </c>
      <c r="E262" s="51"/>
      <c r="F262" s="51"/>
      <c r="G262" s="51"/>
      <c r="H262" s="51"/>
      <c r="I262" s="1"/>
      <c r="J262" s="1"/>
      <c r="K262" s="1"/>
    </row>
    <row r="263" spans="1:11" ht="14.5" customHeight="1" x14ac:dyDescent="0.2">
      <c r="A263" s="1"/>
      <c r="B263" s="68" t="s">
        <v>203</v>
      </c>
      <c r="C263" s="55">
        <v>17.010000000000002</v>
      </c>
      <c r="D263" s="56" t="s">
        <v>204</v>
      </c>
      <c r="E263" s="54" t="s">
        <v>15</v>
      </c>
      <c r="F263" s="57">
        <v>4</v>
      </c>
      <c r="G263" s="58">
        <f>ROUND(56431.75,0)</f>
        <v>56432</v>
      </c>
      <c r="H263" s="58">
        <f>IFERROR(ROUND(F263*G263,0),0)</f>
        <v>225728</v>
      </c>
      <c r="I263" s="1"/>
      <c r="J263" s="1"/>
      <c r="K263" s="1"/>
    </row>
    <row r="264" spans="1:11" ht="26.5" customHeight="1" x14ac:dyDescent="0.2">
      <c r="A264" s="1"/>
      <c r="B264" s="68">
        <v>170154</v>
      </c>
      <c r="C264" s="55">
        <v>17.02</v>
      </c>
      <c r="D264" s="56" t="s">
        <v>263</v>
      </c>
      <c r="E264" s="54" t="s">
        <v>199</v>
      </c>
      <c r="F264" s="57">
        <v>1</v>
      </c>
      <c r="G264" s="58">
        <f>ROUND(280000,0)</f>
        <v>280000</v>
      </c>
      <c r="H264" s="58">
        <f>IFERROR(ROUND(F264*G264,0),0)</f>
        <v>280000</v>
      </c>
      <c r="I264" s="1"/>
      <c r="J264" s="1"/>
      <c r="K264" s="1"/>
    </row>
    <row r="265" spans="1:11" ht="14.5" customHeight="1" x14ac:dyDescent="0.2">
      <c r="A265" s="1"/>
      <c r="B265" s="67"/>
      <c r="C265" s="52">
        <v>18</v>
      </c>
      <c r="D265" s="53" t="s">
        <v>264</v>
      </c>
      <c r="E265" s="51"/>
      <c r="F265" s="51"/>
      <c r="G265" s="51"/>
      <c r="H265" s="51"/>
      <c r="I265" s="1"/>
      <c r="J265" s="1"/>
      <c r="K265" s="1"/>
    </row>
    <row r="266" spans="1:11" ht="14.5" customHeight="1" x14ac:dyDescent="0.2">
      <c r="A266" s="1"/>
      <c r="B266" s="68" t="s">
        <v>156</v>
      </c>
      <c r="C266" s="55">
        <v>18.010000000000002</v>
      </c>
      <c r="D266" s="56" t="s">
        <v>157</v>
      </c>
      <c r="E266" s="54" t="s">
        <v>45</v>
      </c>
      <c r="F266" s="57">
        <v>30</v>
      </c>
      <c r="G266" s="58">
        <f>ROUND(39333.575,0)</f>
        <v>39334</v>
      </c>
      <c r="H266" s="58">
        <f>IFERROR(ROUND(F266*G266,0),0)</f>
        <v>1180020</v>
      </c>
      <c r="I266" s="1"/>
      <c r="J266" s="1"/>
      <c r="K266" s="1"/>
    </row>
    <row r="267" spans="1:11" ht="26.5" customHeight="1" x14ac:dyDescent="0.2">
      <c r="A267" s="1"/>
      <c r="B267" s="68" t="s">
        <v>179</v>
      </c>
      <c r="C267" s="55">
        <v>18.02</v>
      </c>
      <c r="D267" s="56" t="s">
        <v>180</v>
      </c>
      <c r="E267" s="54" t="s">
        <v>15</v>
      </c>
      <c r="F267" s="57">
        <v>1</v>
      </c>
      <c r="G267" s="58">
        <f>ROUND(598294.7636,0)</f>
        <v>598295</v>
      </c>
      <c r="H267" s="58">
        <f>IFERROR(ROUND(F267*G267,0),0)</f>
        <v>598295</v>
      </c>
      <c r="I267" s="1"/>
      <c r="J267" s="1"/>
      <c r="K267" s="1"/>
    </row>
    <row r="268" spans="1:11" ht="14.5" customHeight="1" x14ac:dyDescent="0.2">
      <c r="A268" s="1"/>
      <c r="B268" s="67"/>
      <c r="C268" s="52">
        <v>19</v>
      </c>
      <c r="D268" s="53" t="s">
        <v>265</v>
      </c>
      <c r="E268" s="51"/>
      <c r="F268" s="51"/>
      <c r="G268" s="51"/>
      <c r="H268" s="51"/>
      <c r="I268" s="1"/>
      <c r="J268" s="1"/>
      <c r="K268" s="1"/>
    </row>
    <row r="269" spans="1:11" ht="39.5" customHeight="1" x14ac:dyDescent="0.2">
      <c r="A269" s="1"/>
      <c r="B269" s="69" t="s">
        <v>153</v>
      </c>
      <c r="C269" s="55">
        <v>19.010000000000002</v>
      </c>
      <c r="D269" s="56" t="s">
        <v>154</v>
      </c>
      <c r="E269" s="54" t="s">
        <v>15</v>
      </c>
      <c r="F269" s="57">
        <v>10</v>
      </c>
      <c r="G269" s="58">
        <f>ROUND(155000,0)</f>
        <v>155000</v>
      </c>
      <c r="H269" s="58">
        <f>IFERROR(ROUND(F269*G269,0),0)</f>
        <v>1550000</v>
      </c>
      <c r="I269" s="1"/>
      <c r="J269" s="1"/>
      <c r="K269" s="1"/>
    </row>
    <row r="270" spans="1:11" ht="26.5" customHeight="1" x14ac:dyDescent="0.2">
      <c r="A270" s="1"/>
      <c r="B270" s="69" t="s">
        <v>266</v>
      </c>
      <c r="C270" s="55">
        <v>19.02</v>
      </c>
      <c r="D270" s="56" t="s">
        <v>267</v>
      </c>
      <c r="E270" s="54" t="s">
        <v>15</v>
      </c>
      <c r="F270" s="57">
        <v>60</v>
      </c>
      <c r="G270" s="58">
        <f>ROUND(280000,0)</f>
        <v>280000</v>
      </c>
      <c r="H270" s="58">
        <f>IFERROR(ROUND(F270*G270,0),0)</f>
        <v>16800000</v>
      </c>
      <c r="I270" s="1"/>
      <c r="J270" s="1"/>
      <c r="K270" s="1"/>
    </row>
    <row r="271" spans="1:11" ht="26.5" customHeight="1" x14ac:dyDescent="0.2">
      <c r="A271" s="1"/>
      <c r="B271" s="69" t="s">
        <v>268</v>
      </c>
      <c r="C271" s="55">
        <v>19.03</v>
      </c>
      <c r="D271" s="56" t="s">
        <v>269</v>
      </c>
      <c r="E271" s="54" t="s">
        <v>15</v>
      </c>
      <c r="F271" s="57">
        <v>50</v>
      </c>
      <c r="G271" s="58">
        <f>ROUND(320000,0)</f>
        <v>320000</v>
      </c>
      <c r="H271" s="58">
        <f>IFERROR(ROUND(F271*G271,0),0)</f>
        <v>16000000</v>
      </c>
      <c r="I271" s="1"/>
      <c r="J271" s="1"/>
      <c r="K271" s="1"/>
    </row>
    <row r="272" spans="1:11" ht="14.5" customHeight="1" x14ac:dyDescent="0.2">
      <c r="A272" s="1"/>
      <c r="B272" s="67"/>
      <c r="C272" s="52">
        <v>20</v>
      </c>
      <c r="D272" s="53" t="s">
        <v>44</v>
      </c>
      <c r="E272" s="51"/>
      <c r="F272" s="51"/>
      <c r="G272" s="51"/>
      <c r="H272" s="51"/>
      <c r="I272" s="1"/>
      <c r="J272" s="1"/>
      <c r="K272" s="1"/>
    </row>
    <row r="273" spans="1:11" ht="14.5" customHeight="1" x14ac:dyDescent="0.2">
      <c r="A273" s="1"/>
      <c r="B273" s="68" t="s">
        <v>43</v>
      </c>
      <c r="C273" s="55">
        <v>20.010000000000002</v>
      </c>
      <c r="D273" s="56" t="s">
        <v>44</v>
      </c>
      <c r="E273" s="54" t="s">
        <v>45</v>
      </c>
      <c r="F273" s="57">
        <v>5000</v>
      </c>
      <c r="G273" s="58">
        <f>ROUND(1119.69,0)</f>
        <v>1120</v>
      </c>
      <c r="H273" s="58">
        <f>IFERROR(ROUND(F273*G273,0),0)</f>
        <v>5600000</v>
      </c>
      <c r="I273" s="1"/>
      <c r="J273" s="1"/>
      <c r="K273" s="1"/>
    </row>
    <row r="274" spans="1:11" ht="14.5" customHeight="1" x14ac:dyDescent="0.2">
      <c r="A274" s="1"/>
      <c r="B274" s="68" t="s">
        <v>43</v>
      </c>
      <c r="C274" s="55">
        <v>20.02</v>
      </c>
      <c r="D274" s="56" t="s">
        <v>44</v>
      </c>
      <c r="E274" s="54" t="s">
        <v>45</v>
      </c>
      <c r="F274" s="57">
        <v>50</v>
      </c>
      <c r="G274" s="58">
        <f>ROUND(1119.69,0)</f>
        <v>1120</v>
      </c>
      <c r="H274" s="58">
        <f>IFERROR(ROUND(F274*G274,0),0)</f>
        <v>56000</v>
      </c>
      <c r="I274" s="1"/>
      <c r="J274" s="1"/>
      <c r="K274" s="1"/>
    </row>
    <row r="275" spans="1:11" ht="14.5" customHeight="1" x14ac:dyDescent="0.2">
      <c r="A275" s="1"/>
      <c r="B275" s="67"/>
      <c r="C275" s="52">
        <v>21</v>
      </c>
      <c r="D275" s="53" t="s">
        <v>207</v>
      </c>
      <c r="E275" s="51"/>
      <c r="F275" s="51"/>
      <c r="G275" s="51"/>
      <c r="H275" s="51"/>
      <c r="I275" s="1"/>
      <c r="J275" s="1"/>
      <c r="K275" s="1"/>
    </row>
    <row r="276" spans="1:11" ht="14.5" customHeight="1" x14ac:dyDescent="0.2">
      <c r="A276" s="1"/>
      <c r="B276" s="68" t="s">
        <v>208</v>
      </c>
      <c r="C276" s="55">
        <v>21.01</v>
      </c>
      <c r="D276" s="56" t="s">
        <v>209</v>
      </c>
      <c r="E276" s="54" t="s">
        <v>210</v>
      </c>
      <c r="F276" s="57">
        <v>3</v>
      </c>
      <c r="G276" s="58">
        <f>ROUND(681395,0)</f>
        <v>681395</v>
      </c>
      <c r="H276" s="58">
        <f>IFERROR(ROUND(F276*G276,0),0)</f>
        <v>2044185</v>
      </c>
      <c r="I276" s="1"/>
      <c r="J276" s="1"/>
      <c r="K276" s="1"/>
    </row>
    <row r="277" spans="1:11" ht="14.5" customHeight="1" x14ac:dyDescent="0.2">
      <c r="A277" s="1"/>
      <c r="B277" s="68" t="s">
        <v>211</v>
      </c>
      <c r="C277" s="55">
        <v>21.02</v>
      </c>
      <c r="D277" s="56" t="s">
        <v>212</v>
      </c>
      <c r="E277" s="54" t="s">
        <v>15</v>
      </c>
      <c r="F277" s="57">
        <v>1</v>
      </c>
      <c r="G277" s="58">
        <f>ROUND(109474.3375,0)</f>
        <v>109474</v>
      </c>
      <c r="H277" s="58">
        <f>IFERROR(ROUND(F277*G277,0),0)</f>
        <v>109474</v>
      </c>
      <c r="I277" s="1"/>
      <c r="J277" s="1"/>
      <c r="K277" s="1"/>
    </row>
    <row r="278" spans="1:11" ht="26.5" customHeight="1" x14ac:dyDescent="0.2">
      <c r="A278" s="1"/>
      <c r="B278" s="68" t="s">
        <v>213</v>
      </c>
      <c r="C278" s="55">
        <v>21.03</v>
      </c>
      <c r="D278" s="56" t="s">
        <v>214</v>
      </c>
      <c r="E278" s="54" t="s">
        <v>210</v>
      </c>
      <c r="F278" s="57">
        <v>3</v>
      </c>
      <c r="G278" s="58">
        <f>ROUND(1390320,0)</f>
        <v>1390320</v>
      </c>
      <c r="H278" s="58">
        <f>IFERROR(ROUND(F278*G278,0),0)</f>
        <v>4170960</v>
      </c>
      <c r="I278" s="1"/>
      <c r="J278" s="1"/>
      <c r="K278" s="1"/>
    </row>
    <row r="279" spans="1:11" ht="26.5" customHeight="1" x14ac:dyDescent="0.2">
      <c r="A279" s="1"/>
      <c r="B279" s="68" t="s">
        <v>215</v>
      </c>
      <c r="C279" s="55">
        <v>21.04</v>
      </c>
      <c r="D279" s="56" t="s">
        <v>216</v>
      </c>
      <c r="E279" s="54" t="s">
        <v>24</v>
      </c>
      <c r="F279" s="57">
        <v>5</v>
      </c>
      <c r="G279" s="58">
        <f>ROUND(4851.9225,0)</f>
        <v>4852</v>
      </c>
      <c r="H279" s="58">
        <f>IFERROR(ROUND(F279*G279,0),0)</f>
        <v>24260</v>
      </c>
      <c r="I279" s="1"/>
      <c r="J279" s="1"/>
      <c r="K279" s="1"/>
    </row>
    <row r="280" spans="1:11" ht="14.5" customHeight="1" x14ac:dyDescent="0.2">
      <c r="A280" s="1"/>
      <c r="B280" s="70">
        <v>3</v>
      </c>
      <c r="C280" s="61"/>
      <c r="D280" s="62" t="s">
        <v>270</v>
      </c>
      <c r="E280" s="60"/>
      <c r="F280" s="60"/>
      <c r="G280" s="60"/>
      <c r="H280" s="60"/>
      <c r="I280" s="1"/>
      <c r="J280" s="1"/>
      <c r="K280" s="1"/>
    </row>
    <row r="281" spans="1:11" ht="14.5" customHeight="1" x14ac:dyDescent="0.2">
      <c r="A281" s="1"/>
      <c r="B281" s="67"/>
      <c r="C281" s="52">
        <v>1</v>
      </c>
      <c r="D281" s="53" t="s">
        <v>12</v>
      </c>
      <c r="E281" s="51"/>
      <c r="F281" s="51"/>
      <c r="G281" s="51"/>
      <c r="H281" s="51"/>
      <c r="I281" s="1"/>
      <c r="J281" s="1"/>
      <c r="K281" s="1"/>
    </row>
    <row r="282" spans="1:11" ht="14.5" customHeight="1" x14ac:dyDescent="0.2">
      <c r="A282" s="1"/>
      <c r="B282" s="68" t="s">
        <v>13</v>
      </c>
      <c r="C282" s="55">
        <v>1.01</v>
      </c>
      <c r="D282" s="56" t="s">
        <v>14</v>
      </c>
      <c r="E282" s="54" t="s">
        <v>15</v>
      </c>
      <c r="F282" s="57">
        <v>1</v>
      </c>
      <c r="G282" s="58">
        <f>ROUND(1974686.15,0)</f>
        <v>1974686</v>
      </c>
      <c r="H282" s="58">
        <f>IFERROR(ROUND(F282*G282,0),0)</f>
        <v>1974686</v>
      </c>
      <c r="I282" s="1"/>
      <c r="J282" s="1"/>
      <c r="K282" s="1"/>
    </row>
    <row r="283" spans="1:11" ht="26.5" customHeight="1" x14ac:dyDescent="0.2">
      <c r="A283" s="1"/>
      <c r="B283" s="68" t="s">
        <v>16</v>
      </c>
      <c r="C283" s="55">
        <v>1.02</v>
      </c>
      <c r="D283" s="56" t="s">
        <v>17</v>
      </c>
      <c r="E283" s="54" t="s">
        <v>15</v>
      </c>
      <c r="F283" s="57">
        <v>1</v>
      </c>
      <c r="G283" s="58">
        <f>ROUND(57696,0)</f>
        <v>57696</v>
      </c>
      <c r="H283" s="58">
        <f>IFERROR(ROUND(F283*G283,0),0)</f>
        <v>57696</v>
      </c>
      <c r="I283" s="1"/>
      <c r="J283" s="1"/>
      <c r="K283" s="1"/>
    </row>
    <row r="284" spans="1:11" ht="14.5" customHeight="1" x14ac:dyDescent="0.2">
      <c r="A284" s="1"/>
      <c r="B284" s="67"/>
      <c r="C284" s="52">
        <v>2</v>
      </c>
      <c r="D284" s="53" t="s">
        <v>271</v>
      </c>
      <c r="E284" s="51"/>
      <c r="F284" s="51"/>
      <c r="G284" s="51"/>
      <c r="H284" s="51"/>
      <c r="I284" s="1"/>
      <c r="J284" s="1"/>
      <c r="K284" s="1"/>
    </row>
    <row r="285" spans="1:11" ht="14.5" customHeight="1" x14ac:dyDescent="0.2">
      <c r="A285" s="1"/>
      <c r="B285" s="68">
        <v>160539</v>
      </c>
      <c r="C285" s="55">
        <v>2.0099999999999998</v>
      </c>
      <c r="D285" s="56" t="s">
        <v>272</v>
      </c>
      <c r="E285" s="54" t="s">
        <v>21</v>
      </c>
      <c r="F285" s="57">
        <v>250</v>
      </c>
      <c r="G285" s="58">
        <f>ROUND(265743.3333,0)</f>
        <v>265743</v>
      </c>
      <c r="H285" s="58">
        <f t="shared" ref="H285:H322" si="13">IFERROR(ROUND(F285*G285,0),0)</f>
        <v>66435750</v>
      </c>
      <c r="I285" s="1"/>
      <c r="J285" s="1"/>
      <c r="K285" s="1"/>
    </row>
    <row r="286" spans="1:11" ht="14.5" customHeight="1" x14ac:dyDescent="0.2">
      <c r="A286" s="1"/>
      <c r="B286" s="68" t="s">
        <v>273</v>
      </c>
      <c r="C286" s="55">
        <v>2.02</v>
      </c>
      <c r="D286" s="56" t="s">
        <v>274</v>
      </c>
      <c r="E286" s="54" t="s">
        <v>21</v>
      </c>
      <c r="F286" s="57">
        <v>30</v>
      </c>
      <c r="G286" s="58">
        <f>ROUND(139789.5,0)</f>
        <v>139790</v>
      </c>
      <c r="H286" s="58">
        <f t="shared" si="13"/>
        <v>4193700</v>
      </c>
      <c r="I286" s="1"/>
      <c r="J286" s="1"/>
      <c r="K286" s="1"/>
    </row>
    <row r="287" spans="1:11" x14ac:dyDescent="0.15">
      <c r="B287" s="68">
        <v>150337</v>
      </c>
      <c r="C287" s="55">
        <v>2.0299999999999998</v>
      </c>
      <c r="D287" s="56" t="s">
        <v>275</v>
      </c>
      <c r="E287" s="54" t="s">
        <v>15</v>
      </c>
      <c r="F287" s="57">
        <v>23</v>
      </c>
      <c r="G287" s="58">
        <f>ROUND(1001550,0)</f>
        <v>1001550</v>
      </c>
      <c r="H287" s="58">
        <f t="shared" si="13"/>
        <v>23035650</v>
      </c>
    </row>
    <row r="288" spans="1:11" x14ac:dyDescent="0.15">
      <c r="B288" s="68">
        <v>150338</v>
      </c>
      <c r="C288" s="55">
        <v>2.04</v>
      </c>
      <c r="D288" s="56" t="s">
        <v>276</v>
      </c>
      <c r="E288" s="54" t="s">
        <v>15</v>
      </c>
      <c r="F288" s="57">
        <v>15</v>
      </c>
      <c r="G288" s="58">
        <f>ROUND(129804,0)</f>
        <v>129804</v>
      </c>
      <c r="H288" s="58">
        <f t="shared" si="13"/>
        <v>1947060</v>
      </c>
    </row>
    <row r="289" spans="1:11" x14ac:dyDescent="0.15">
      <c r="B289" s="68">
        <v>150339</v>
      </c>
      <c r="C289" s="55">
        <v>2.0499999999999998</v>
      </c>
      <c r="D289" s="56" t="s">
        <v>277</v>
      </c>
      <c r="E289" s="54" t="s">
        <v>15</v>
      </c>
      <c r="F289" s="57">
        <v>6</v>
      </c>
      <c r="G289" s="58">
        <f>ROUND(90243,0)</f>
        <v>90243</v>
      </c>
      <c r="H289" s="58">
        <f t="shared" si="13"/>
        <v>541458</v>
      </c>
    </row>
    <row r="290" spans="1:11" x14ac:dyDescent="0.15">
      <c r="B290" s="68">
        <v>150361</v>
      </c>
      <c r="C290" s="55">
        <v>2.06</v>
      </c>
      <c r="D290" s="56" t="s">
        <v>278</v>
      </c>
      <c r="E290" s="54" t="s">
        <v>15</v>
      </c>
      <c r="F290" s="57">
        <v>8</v>
      </c>
      <c r="G290" s="58">
        <f>ROUND(270308,0)</f>
        <v>270308</v>
      </c>
      <c r="H290" s="58">
        <f t="shared" si="13"/>
        <v>2162464</v>
      </c>
    </row>
    <row r="291" spans="1:11" x14ac:dyDescent="0.15">
      <c r="B291" s="68">
        <v>150362</v>
      </c>
      <c r="C291" s="55">
        <v>2.0699999999999998</v>
      </c>
      <c r="D291" s="56" t="s">
        <v>279</v>
      </c>
      <c r="E291" s="54" t="s">
        <v>15</v>
      </c>
      <c r="F291" s="57">
        <v>4</v>
      </c>
      <c r="G291" s="58">
        <f>ROUND(314893,0)</f>
        <v>314893</v>
      </c>
      <c r="H291" s="58">
        <f t="shared" si="13"/>
        <v>1259572</v>
      </c>
    </row>
    <row r="292" spans="1:11" ht="14.5" customHeight="1" x14ac:dyDescent="0.2">
      <c r="A292" s="1"/>
      <c r="B292" s="68" t="s">
        <v>280</v>
      </c>
      <c r="C292" s="55">
        <v>2.08</v>
      </c>
      <c r="D292" s="56" t="s">
        <v>281</v>
      </c>
      <c r="E292" s="54" t="s">
        <v>15</v>
      </c>
      <c r="F292" s="57">
        <v>10</v>
      </c>
      <c r="G292" s="58">
        <f>ROUND(129833,0)</f>
        <v>129833</v>
      </c>
      <c r="H292" s="58">
        <f t="shared" si="13"/>
        <v>1298330</v>
      </c>
      <c r="I292" s="1"/>
      <c r="J292" s="1"/>
      <c r="K292" s="1"/>
    </row>
    <row r="293" spans="1:11" ht="14.5" customHeight="1" x14ac:dyDescent="0.2">
      <c r="A293" s="1"/>
      <c r="B293" s="68" t="s">
        <v>282</v>
      </c>
      <c r="C293" s="55">
        <v>2.09</v>
      </c>
      <c r="D293" s="56" t="s">
        <v>283</v>
      </c>
      <c r="E293" s="54" t="s">
        <v>15</v>
      </c>
      <c r="F293" s="57">
        <v>15</v>
      </c>
      <c r="G293" s="58">
        <f>ROUND(101974,0)</f>
        <v>101974</v>
      </c>
      <c r="H293" s="58">
        <f t="shared" si="13"/>
        <v>1529610</v>
      </c>
      <c r="I293" s="1"/>
      <c r="J293" s="1"/>
      <c r="K293" s="1"/>
    </row>
    <row r="294" spans="1:11" ht="14.5" customHeight="1" x14ac:dyDescent="0.2">
      <c r="A294" s="1"/>
      <c r="B294" s="68" t="s">
        <v>284</v>
      </c>
      <c r="C294" s="55">
        <v>2.1</v>
      </c>
      <c r="D294" s="56" t="s">
        <v>285</v>
      </c>
      <c r="E294" s="54" t="s">
        <v>15</v>
      </c>
      <c r="F294" s="57">
        <v>10</v>
      </c>
      <c r="G294" s="58">
        <f>ROUND(213871,0)</f>
        <v>213871</v>
      </c>
      <c r="H294" s="58">
        <f t="shared" si="13"/>
        <v>2138710</v>
      </c>
      <c r="I294" s="1"/>
      <c r="J294" s="1"/>
      <c r="K294" s="1"/>
    </row>
    <row r="295" spans="1:11" ht="14.5" customHeight="1" x14ac:dyDescent="0.2">
      <c r="A295" s="1"/>
      <c r="B295" s="68" t="s">
        <v>286</v>
      </c>
      <c r="C295" s="55">
        <v>2.11</v>
      </c>
      <c r="D295" s="56" t="s">
        <v>287</v>
      </c>
      <c r="E295" s="54" t="s">
        <v>15</v>
      </c>
      <c r="F295" s="57">
        <v>23</v>
      </c>
      <c r="G295" s="58">
        <f>ROUND(32008,0)</f>
        <v>32008</v>
      </c>
      <c r="H295" s="58">
        <f t="shared" si="13"/>
        <v>736184</v>
      </c>
      <c r="I295" s="1"/>
      <c r="J295" s="1"/>
      <c r="K295" s="1"/>
    </row>
    <row r="296" spans="1:11" x14ac:dyDescent="0.15">
      <c r="B296" s="68">
        <v>150363</v>
      </c>
      <c r="C296" s="55">
        <v>2.12</v>
      </c>
      <c r="D296" s="56" t="s">
        <v>288</v>
      </c>
      <c r="E296" s="54" t="s">
        <v>15</v>
      </c>
      <c r="F296" s="57">
        <v>10</v>
      </c>
      <c r="G296" s="58">
        <f>ROUND(130870,0)</f>
        <v>130870</v>
      </c>
      <c r="H296" s="58">
        <f t="shared" si="13"/>
        <v>1308700</v>
      </c>
    </row>
    <row r="297" spans="1:11" ht="14.5" customHeight="1" x14ac:dyDescent="0.2">
      <c r="A297" s="1"/>
      <c r="B297" s="68" t="s">
        <v>289</v>
      </c>
      <c r="C297" s="55">
        <v>2.13</v>
      </c>
      <c r="D297" s="56" t="s">
        <v>290</v>
      </c>
      <c r="E297" s="54" t="s">
        <v>21</v>
      </c>
      <c r="F297" s="57">
        <v>46</v>
      </c>
      <c r="G297" s="58">
        <f>ROUND(48536.8333,0)</f>
        <v>48537</v>
      </c>
      <c r="H297" s="58">
        <f t="shared" si="13"/>
        <v>2232702</v>
      </c>
      <c r="I297" s="1"/>
      <c r="J297" s="1"/>
      <c r="K297" s="1"/>
    </row>
    <row r="298" spans="1:11" x14ac:dyDescent="0.15">
      <c r="B298" s="68">
        <v>150364</v>
      </c>
      <c r="C298" s="55">
        <v>2.14</v>
      </c>
      <c r="D298" s="56" t="s">
        <v>291</v>
      </c>
      <c r="E298" s="54" t="s">
        <v>15</v>
      </c>
      <c r="F298" s="57">
        <v>2</v>
      </c>
      <c r="G298" s="58">
        <f>ROUND(418566,0)</f>
        <v>418566</v>
      </c>
      <c r="H298" s="58">
        <f t="shared" si="13"/>
        <v>837132</v>
      </c>
    </row>
    <row r="299" spans="1:11" x14ac:dyDescent="0.15">
      <c r="B299" s="68">
        <v>150365</v>
      </c>
      <c r="C299" s="55">
        <v>2.15</v>
      </c>
      <c r="D299" s="56" t="s">
        <v>292</v>
      </c>
      <c r="E299" s="54" t="s">
        <v>15</v>
      </c>
      <c r="F299" s="57">
        <v>2</v>
      </c>
      <c r="G299" s="58">
        <f>ROUND(590097,0)</f>
        <v>590097</v>
      </c>
      <c r="H299" s="58">
        <f t="shared" si="13"/>
        <v>1180194</v>
      </c>
    </row>
    <row r="300" spans="1:11" x14ac:dyDescent="0.15">
      <c r="B300" s="68" t="s">
        <v>293</v>
      </c>
      <c r="C300" s="55">
        <v>2.16</v>
      </c>
      <c r="D300" s="56" t="s">
        <v>294</v>
      </c>
      <c r="E300" s="54" t="s">
        <v>15</v>
      </c>
      <c r="F300" s="57">
        <v>8</v>
      </c>
      <c r="G300" s="58">
        <f>ROUND(280000,0)</f>
        <v>280000</v>
      </c>
      <c r="H300" s="58">
        <f t="shared" si="13"/>
        <v>2240000</v>
      </c>
    </row>
    <row r="301" spans="1:11" x14ac:dyDescent="0.15">
      <c r="B301" s="68" t="s">
        <v>295</v>
      </c>
      <c r="C301" s="55">
        <v>2.17</v>
      </c>
      <c r="D301" s="56" t="s">
        <v>296</v>
      </c>
      <c r="E301" s="54" t="s">
        <v>15</v>
      </c>
      <c r="F301" s="57">
        <v>8</v>
      </c>
      <c r="G301" s="58">
        <f>ROUND(100000,0)</f>
        <v>100000</v>
      </c>
      <c r="H301" s="58">
        <f t="shared" si="13"/>
        <v>800000</v>
      </c>
    </row>
    <row r="302" spans="1:11" ht="39.5" customHeight="1" x14ac:dyDescent="0.15">
      <c r="B302" s="68" t="s">
        <v>297</v>
      </c>
      <c r="C302" s="55">
        <v>2.1800000000000002</v>
      </c>
      <c r="D302" s="56" t="s">
        <v>298</v>
      </c>
      <c r="E302" s="54" t="s">
        <v>15</v>
      </c>
      <c r="F302" s="57">
        <v>1</v>
      </c>
      <c r="G302" s="58">
        <f>ROUND(34000000,0)</f>
        <v>34000000</v>
      </c>
      <c r="H302" s="58">
        <f t="shared" si="13"/>
        <v>34000000</v>
      </c>
    </row>
    <row r="303" spans="1:11" x14ac:dyDescent="0.15">
      <c r="B303" s="68" t="s">
        <v>299</v>
      </c>
      <c r="C303" s="55">
        <v>2.19</v>
      </c>
      <c r="D303" s="56" t="s">
        <v>300</v>
      </c>
      <c r="E303" s="54" t="s">
        <v>15</v>
      </c>
      <c r="F303" s="57">
        <v>130</v>
      </c>
      <c r="G303" s="58">
        <f>ROUND(9300,0)</f>
        <v>9300</v>
      </c>
      <c r="H303" s="58">
        <f t="shared" si="13"/>
        <v>1209000</v>
      </c>
    </row>
    <row r="304" spans="1:11" x14ac:dyDescent="0.15">
      <c r="B304" s="68" t="s">
        <v>301</v>
      </c>
      <c r="C304" s="55">
        <v>2.2000000000000002</v>
      </c>
      <c r="D304" s="56" t="s">
        <v>302</v>
      </c>
      <c r="E304" s="54" t="s">
        <v>21</v>
      </c>
      <c r="F304" s="57">
        <v>520</v>
      </c>
      <c r="G304" s="58">
        <f>ROUND(5000,0)</f>
        <v>5000</v>
      </c>
      <c r="H304" s="58">
        <f t="shared" si="13"/>
        <v>2600000</v>
      </c>
    </row>
    <row r="305" spans="1:11" x14ac:dyDescent="0.15">
      <c r="B305" s="68" t="s">
        <v>303</v>
      </c>
      <c r="C305" s="55">
        <v>2.21</v>
      </c>
      <c r="D305" s="56" t="s">
        <v>304</v>
      </c>
      <c r="E305" s="54" t="s">
        <v>15</v>
      </c>
      <c r="F305" s="57">
        <v>260</v>
      </c>
      <c r="G305" s="58">
        <f>ROUND(1500,0)</f>
        <v>1500</v>
      </c>
      <c r="H305" s="58">
        <f t="shared" si="13"/>
        <v>390000</v>
      </c>
    </row>
    <row r="306" spans="1:11" x14ac:dyDescent="0.15">
      <c r="B306" s="68" t="s">
        <v>305</v>
      </c>
      <c r="C306" s="55">
        <v>2.2200000000000002</v>
      </c>
      <c r="D306" s="56" t="s">
        <v>306</v>
      </c>
      <c r="E306" s="54" t="s">
        <v>15</v>
      </c>
      <c r="F306" s="57">
        <v>520</v>
      </c>
      <c r="G306" s="58">
        <f>ROUND(1500,0)</f>
        <v>1500</v>
      </c>
      <c r="H306" s="58">
        <f t="shared" si="13"/>
        <v>780000</v>
      </c>
    </row>
    <row r="307" spans="1:11" x14ac:dyDescent="0.15">
      <c r="B307" s="68" t="s">
        <v>307</v>
      </c>
      <c r="C307" s="55">
        <v>2.23</v>
      </c>
      <c r="D307" s="56" t="s">
        <v>308</v>
      </c>
      <c r="E307" s="54" t="s">
        <v>15</v>
      </c>
      <c r="F307" s="57">
        <v>3</v>
      </c>
      <c r="G307" s="58">
        <f>ROUND(3049900,0)</f>
        <v>3049900</v>
      </c>
      <c r="H307" s="58">
        <f t="shared" si="13"/>
        <v>9149700</v>
      </c>
    </row>
    <row r="308" spans="1:11" ht="26.5" customHeight="1" x14ac:dyDescent="0.15">
      <c r="B308" s="68" t="s">
        <v>309</v>
      </c>
      <c r="C308" s="55">
        <v>2.2400000000000002</v>
      </c>
      <c r="D308" s="56" t="s">
        <v>310</v>
      </c>
      <c r="E308" s="54" t="s">
        <v>15</v>
      </c>
      <c r="F308" s="57">
        <v>3</v>
      </c>
      <c r="G308" s="58">
        <f>ROUND(1100000,0)</f>
        <v>1100000</v>
      </c>
      <c r="H308" s="58">
        <f t="shared" si="13"/>
        <v>3300000</v>
      </c>
    </row>
    <row r="309" spans="1:11" x14ac:dyDescent="0.15">
      <c r="B309" s="68" t="s">
        <v>311</v>
      </c>
      <c r="C309" s="55">
        <v>2.25</v>
      </c>
      <c r="D309" s="56" t="s">
        <v>312</v>
      </c>
      <c r="E309" s="54" t="s">
        <v>24</v>
      </c>
      <c r="F309" s="57">
        <v>9</v>
      </c>
      <c r="G309" s="58">
        <f>ROUND(47768,0)</f>
        <v>47768</v>
      </c>
      <c r="H309" s="58">
        <f t="shared" si="13"/>
        <v>429912</v>
      </c>
    </row>
    <row r="310" spans="1:11" ht="14.5" customHeight="1" x14ac:dyDescent="0.2">
      <c r="A310" s="1"/>
      <c r="B310" s="68" t="s">
        <v>313</v>
      </c>
      <c r="C310" s="55">
        <v>2.2599999999999998</v>
      </c>
      <c r="D310" s="56" t="s">
        <v>314</v>
      </c>
      <c r="E310" s="54" t="s">
        <v>24</v>
      </c>
      <c r="F310" s="57">
        <v>9</v>
      </c>
      <c r="G310" s="58">
        <f>ROUND(15345.4105,0)</f>
        <v>15345</v>
      </c>
      <c r="H310" s="58">
        <f t="shared" si="13"/>
        <v>138105</v>
      </c>
      <c r="I310" s="1"/>
      <c r="J310" s="1"/>
      <c r="K310" s="1"/>
    </row>
    <row r="311" spans="1:11" ht="14.5" customHeight="1" x14ac:dyDescent="0.2">
      <c r="A311" s="1"/>
      <c r="B311" s="68" t="s">
        <v>315</v>
      </c>
      <c r="C311" s="55">
        <v>2.27</v>
      </c>
      <c r="D311" s="56" t="s">
        <v>316</v>
      </c>
      <c r="E311" s="54" t="s">
        <v>24</v>
      </c>
      <c r="F311" s="57">
        <v>1.5</v>
      </c>
      <c r="G311" s="58">
        <f>ROUND(570625.7943,0)</f>
        <v>570626</v>
      </c>
      <c r="H311" s="58">
        <f t="shared" si="13"/>
        <v>855939</v>
      </c>
      <c r="I311" s="1"/>
      <c r="J311" s="1"/>
      <c r="K311" s="1"/>
    </row>
    <row r="312" spans="1:11" x14ac:dyDescent="0.15">
      <c r="B312" s="68" t="s">
        <v>317</v>
      </c>
      <c r="C312" s="55">
        <v>2.2799999999999998</v>
      </c>
      <c r="D312" s="56" t="s">
        <v>318</v>
      </c>
      <c r="E312" s="54" t="s">
        <v>21</v>
      </c>
      <c r="F312" s="57">
        <v>16</v>
      </c>
      <c r="G312" s="58">
        <f>ROUND(32961.6,0)</f>
        <v>32962</v>
      </c>
      <c r="H312" s="58">
        <f t="shared" si="13"/>
        <v>527392</v>
      </c>
    </row>
    <row r="313" spans="1:11" x14ac:dyDescent="0.15">
      <c r="B313" s="68" t="s">
        <v>319</v>
      </c>
      <c r="C313" s="55">
        <v>2.29</v>
      </c>
      <c r="D313" s="56" t="s">
        <v>320</v>
      </c>
      <c r="E313" s="54" t="s">
        <v>45</v>
      </c>
      <c r="F313" s="57">
        <v>20</v>
      </c>
      <c r="G313" s="58">
        <f>ROUND(10310.8704878049,0)</f>
        <v>10311</v>
      </c>
      <c r="H313" s="58">
        <f t="shared" si="13"/>
        <v>206220</v>
      </c>
    </row>
    <row r="314" spans="1:11" x14ac:dyDescent="0.15">
      <c r="B314" s="68" t="s">
        <v>321</v>
      </c>
      <c r="C314" s="55">
        <v>2.2999999999999998</v>
      </c>
      <c r="D314" s="56" t="s">
        <v>322</v>
      </c>
      <c r="E314" s="54" t="s">
        <v>45</v>
      </c>
      <c r="F314" s="57">
        <v>12.628</v>
      </c>
      <c r="G314" s="58">
        <f>ROUND(61936.085037594,0)</f>
        <v>61936</v>
      </c>
      <c r="H314" s="58">
        <f t="shared" si="13"/>
        <v>782128</v>
      </c>
    </row>
    <row r="315" spans="1:11" ht="14.5" customHeight="1" x14ac:dyDescent="0.2">
      <c r="A315" s="1"/>
      <c r="B315" s="68" t="s">
        <v>25</v>
      </c>
      <c r="C315" s="55">
        <v>2.31</v>
      </c>
      <c r="D315" s="56" t="s">
        <v>26</v>
      </c>
      <c r="E315" s="54" t="s">
        <v>24</v>
      </c>
      <c r="F315" s="57">
        <v>74.947999999999993</v>
      </c>
      <c r="G315" s="58">
        <f>ROUND(11898.4665849387,0)</f>
        <v>11898</v>
      </c>
      <c r="H315" s="58">
        <f t="shared" si="13"/>
        <v>891731</v>
      </c>
      <c r="I315" s="1"/>
      <c r="J315" s="1"/>
      <c r="K315" s="1"/>
    </row>
    <row r="316" spans="1:11" ht="14.5" customHeight="1" x14ac:dyDescent="0.2">
      <c r="A316" s="1"/>
      <c r="B316" s="68" t="s">
        <v>323</v>
      </c>
      <c r="C316" s="55">
        <v>2.3199999999999998</v>
      </c>
      <c r="D316" s="56" t="s">
        <v>324</v>
      </c>
      <c r="E316" s="54" t="s">
        <v>21</v>
      </c>
      <c r="F316" s="57">
        <v>100</v>
      </c>
      <c r="G316" s="58">
        <f>ROUND(100000,0)</f>
        <v>100000</v>
      </c>
      <c r="H316" s="58">
        <f t="shared" si="13"/>
        <v>10000000</v>
      </c>
      <c r="I316" s="1"/>
      <c r="J316" s="1"/>
      <c r="K316" s="1"/>
    </row>
    <row r="317" spans="1:11" x14ac:dyDescent="0.15">
      <c r="B317" s="68" t="s">
        <v>78</v>
      </c>
      <c r="C317" s="55">
        <v>2.33</v>
      </c>
      <c r="D317" s="56" t="s">
        <v>115</v>
      </c>
      <c r="E317" s="54" t="s">
        <v>21</v>
      </c>
      <c r="F317" s="57">
        <v>72</v>
      </c>
      <c r="G317" s="58">
        <f>ROUND(12853.368,0)</f>
        <v>12853</v>
      </c>
      <c r="H317" s="58">
        <f t="shared" si="13"/>
        <v>925416</v>
      </c>
    </row>
    <row r="318" spans="1:11" ht="26.5" customHeight="1" x14ac:dyDescent="0.15">
      <c r="B318" s="68" t="s">
        <v>170</v>
      </c>
      <c r="C318" s="55">
        <v>2.34</v>
      </c>
      <c r="D318" s="56" t="s">
        <v>171</v>
      </c>
      <c r="E318" s="54" t="s">
        <v>45</v>
      </c>
      <c r="F318" s="57">
        <v>72</v>
      </c>
      <c r="G318" s="58">
        <f>ROUND(60376.8,0)</f>
        <v>60377</v>
      </c>
      <c r="H318" s="58">
        <f t="shared" si="13"/>
        <v>4347144</v>
      </c>
    </row>
    <row r="319" spans="1:11" ht="39.5" customHeight="1" x14ac:dyDescent="0.2">
      <c r="A319" s="1"/>
      <c r="B319" s="68" t="s">
        <v>325</v>
      </c>
      <c r="C319" s="55">
        <v>2.35</v>
      </c>
      <c r="D319" s="56" t="s">
        <v>326</v>
      </c>
      <c r="E319" s="54" t="s">
        <v>15</v>
      </c>
      <c r="F319" s="57">
        <v>1</v>
      </c>
      <c r="G319" s="58">
        <f>ROUND(34000000,0)</f>
        <v>34000000</v>
      </c>
      <c r="H319" s="58">
        <f t="shared" si="13"/>
        <v>34000000</v>
      </c>
      <c r="I319" s="1"/>
      <c r="J319" s="1"/>
      <c r="K319" s="1"/>
    </row>
    <row r="320" spans="1:11" ht="39.5" customHeight="1" x14ac:dyDescent="0.2">
      <c r="A320" s="1"/>
      <c r="B320" s="68" t="s">
        <v>327</v>
      </c>
      <c r="C320" s="55">
        <v>2.36</v>
      </c>
      <c r="D320" s="56" t="s">
        <v>328</v>
      </c>
      <c r="E320" s="54" t="s">
        <v>15</v>
      </c>
      <c r="F320" s="57">
        <v>1</v>
      </c>
      <c r="G320" s="58">
        <f>ROUND(29800000,0)</f>
        <v>29800000</v>
      </c>
      <c r="H320" s="58">
        <f t="shared" si="13"/>
        <v>29800000</v>
      </c>
      <c r="I320" s="1"/>
      <c r="J320" s="1"/>
      <c r="K320" s="1"/>
    </row>
    <row r="321" spans="1:11" ht="14.5" customHeight="1" x14ac:dyDescent="0.2">
      <c r="A321" s="1"/>
      <c r="B321" s="69" t="s">
        <v>329</v>
      </c>
      <c r="C321" s="55">
        <v>2.37</v>
      </c>
      <c r="D321" s="56" t="s">
        <v>330</v>
      </c>
      <c r="E321" s="54" t="s">
        <v>24</v>
      </c>
      <c r="F321" s="57">
        <v>2.0969899999999999</v>
      </c>
      <c r="G321" s="58">
        <f>ROUND(23433,0)</f>
        <v>23433</v>
      </c>
      <c r="H321" s="58">
        <f t="shared" si="13"/>
        <v>49139</v>
      </c>
      <c r="I321" s="1"/>
      <c r="J321" s="1"/>
      <c r="K321" s="1"/>
    </row>
    <row r="322" spans="1:11" ht="26.5" customHeight="1" x14ac:dyDescent="0.2">
      <c r="A322" s="1"/>
      <c r="B322" s="68">
        <v>110922</v>
      </c>
      <c r="C322" s="55">
        <v>2.38</v>
      </c>
      <c r="D322" s="56" t="s">
        <v>331</v>
      </c>
      <c r="E322" s="54" t="s">
        <v>45</v>
      </c>
      <c r="F322" s="57">
        <v>3</v>
      </c>
      <c r="G322" s="58">
        <f>ROUND(34633,0)</f>
        <v>34633</v>
      </c>
      <c r="H322" s="58">
        <f t="shared" si="13"/>
        <v>103899</v>
      </c>
      <c r="I322" s="1"/>
      <c r="J322" s="1"/>
      <c r="K322" s="1"/>
    </row>
    <row r="323" spans="1:11" ht="14.5" customHeight="1" x14ac:dyDescent="0.2">
      <c r="A323" s="1"/>
      <c r="B323" s="67"/>
      <c r="C323" s="52">
        <v>3</v>
      </c>
      <c r="D323" s="53" t="s">
        <v>332</v>
      </c>
      <c r="E323" s="51"/>
      <c r="F323" s="51"/>
      <c r="G323" s="51"/>
      <c r="H323" s="51"/>
      <c r="I323" s="1"/>
      <c r="J323" s="1"/>
      <c r="K323" s="1"/>
    </row>
    <row r="324" spans="1:11" ht="14.5" customHeight="1" x14ac:dyDescent="0.2">
      <c r="A324" s="1"/>
      <c r="B324" s="68" t="s">
        <v>333</v>
      </c>
      <c r="C324" s="55">
        <v>3.01</v>
      </c>
      <c r="D324" s="56" t="s">
        <v>334</v>
      </c>
      <c r="E324" s="54" t="s">
        <v>21</v>
      </c>
      <c r="F324" s="57">
        <v>170</v>
      </c>
      <c r="G324" s="58">
        <f>ROUND(27071.7612,0)</f>
        <v>27072</v>
      </c>
      <c r="H324" s="58">
        <f t="shared" ref="H324:H353" si="14">IFERROR(ROUND(F324*G324,0),0)</f>
        <v>4602240</v>
      </c>
      <c r="I324" s="1"/>
      <c r="J324" s="1"/>
      <c r="K324" s="1"/>
    </row>
    <row r="325" spans="1:11" ht="26.5" customHeight="1" x14ac:dyDescent="0.2">
      <c r="A325" s="1"/>
      <c r="B325" s="68" t="s">
        <v>335</v>
      </c>
      <c r="C325" s="55">
        <v>3.02</v>
      </c>
      <c r="D325" s="56" t="s">
        <v>336</v>
      </c>
      <c r="E325" s="54" t="s">
        <v>15</v>
      </c>
      <c r="F325" s="57">
        <v>6</v>
      </c>
      <c r="G325" s="58">
        <f>ROUND(35991.4225,0)</f>
        <v>35991</v>
      </c>
      <c r="H325" s="58">
        <f t="shared" si="14"/>
        <v>215946</v>
      </c>
      <c r="I325" s="1"/>
      <c r="J325" s="1"/>
      <c r="K325" s="1"/>
    </row>
    <row r="326" spans="1:11" ht="14.5" customHeight="1" x14ac:dyDescent="0.2">
      <c r="A326" s="1"/>
      <c r="B326" s="68" t="s">
        <v>46</v>
      </c>
      <c r="C326" s="55">
        <v>3.03</v>
      </c>
      <c r="D326" s="56" t="s">
        <v>47</v>
      </c>
      <c r="E326" s="54" t="s">
        <v>45</v>
      </c>
      <c r="F326" s="57">
        <v>347</v>
      </c>
      <c r="G326" s="58">
        <f>ROUND(11760.0483,0)</f>
        <v>11760</v>
      </c>
      <c r="H326" s="58">
        <f t="shared" si="14"/>
        <v>4080720</v>
      </c>
      <c r="I326" s="1"/>
      <c r="J326" s="1"/>
      <c r="K326" s="1"/>
    </row>
    <row r="327" spans="1:11" ht="14.5" customHeight="1" x14ac:dyDescent="0.2">
      <c r="A327" s="1"/>
      <c r="B327" s="68" t="s">
        <v>50</v>
      </c>
      <c r="C327" s="55">
        <v>3.04</v>
      </c>
      <c r="D327" s="56" t="s">
        <v>51</v>
      </c>
      <c r="E327" s="54" t="s">
        <v>45</v>
      </c>
      <c r="F327" s="57">
        <v>347</v>
      </c>
      <c r="G327" s="58">
        <f>ROUND(50109.586,0)</f>
        <v>50110</v>
      </c>
      <c r="H327" s="58">
        <f t="shared" si="14"/>
        <v>17388170</v>
      </c>
      <c r="I327" s="1"/>
      <c r="J327" s="1"/>
      <c r="K327" s="1"/>
    </row>
    <row r="328" spans="1:11" ht="14.5" customHeight="1" x14ac:dyDescent="0.2">
      <c r="A328" s="1"/>
      <c r="B328" s="68" t="s">
        <v>54</v>
      </c>
      <c r="C328" s="55">
        <v>3.05</v>
      </c>
      <c r="D328" s="56" t="s">
        <v>55</v>
      </c>
      <c r="E328" s="54" t="s">
        <v>45</v>
      </c>
      <c r="F328" s="57">
        <v>170</v>
      </c>
      <c r="G328" s="58">
        <f>ROUND(73802.166,0)</f>
        <v>73802</v>
      </c>
      <c r="H328" s="58">
        <f t="shared" si="14"/>
        <v>12546340</v>
      </c>
      <c r="I328" s="1"/>
      <c r="J328" s="1"/>
      <c r="K328" s="1"/>
    </row>
    <row r="329" spans="1:11" ht="14.5" customHeight="1" x14ac:dyDescent="0.2">
      <c r="A329" s="1"/>
      <c r="B329" s="68" t="s">
        <v>76</v>
      </c>
      <c r="C329" s="55">
        <v>3.06</v>
      </c>
      <c r="D329" s="56" t="s">
        <v>114</v>
      </c>
      <c r="E329" s="54" t="s">
        <v>45</v>
      </c>
      <c r="F329" s="57">
        <v>372</v>
      </c>
      <c r="G329" s="58">
        <f>ROUND(4495.6112,0)</f>
        <v>4496</v>
      </c>
      <c r="H329" s="58">
        <f t="shared" si="14"/>
        <v>1672512</v>
      </c>
      <c r="I329" s="1"/>
      <c r="J329" s="1"/>
      <c r="K329" s="1"/>
    </row>
    <row r="330" spans="1:11" ht="14.5" customHeight="1" x14ac:dyDescent="0.2">
      <c r="A330" s="1"/>
      <c r="B330" s="68" t="s">
        <v>111</v>
      </c>
      <c r="C330" s="55">
        <v>3.07</v>
      </c>
      <c r="D330" s="56" t="s">
        <v>112</v>
      </c>
      <c r="E330" s="54" t="s">
        <v>45</v>
      </c>
      <c r="F330" s="57">
        <v>372</v>
      </c>
      <c r="G330" s="58">
        <f>ROUND(18631.3031,0)</f>
        <v>18631</v>
      </c>
      <c r="H330" s="58">
        <f t="shared" si="14"/>
        <v>6930732</v>
      </c>
      <c r="I330" s="1"/>
      <c r="J330" s="1"/>
      <c r="K330" s="1"/>
    </row>
    <row r="331" spans="1:11" ht="14.5" customHeight="1" x14ac:dyDescent="0.2">
      <c r="A331" s="1"/>
      <c r="B331" s="68" t="s">
        <v>82</v>
      </c>
      <c r="C331" s="55">
        <v>3.08</v>
      </c>
      <c r="D331" s="56" t="s">
        <v>83</v>
      </c>
      <c r="E331" s="54" t="s">
        <v>45</v>
      </c>
      <c r="F331" s="57">
        <v>173.28</v>
      </c>
      <c r="G331" s="58">
        <f>ROUND(11284.1963,0)</f>
        <v>11284</v>
      </c>
      <c r="H331" s="58">
        <f t="shared" si="14"/>
        <v>1955292</v>
      </c>
      <c r="I331" s="1"/>
      <c r="J331" s="1"/>
      <c r="K331" s="1"/>
    </row>
    <row r="332" spans="1:11" ht="14.5" customHeight="1" x14ac:dyDescent="0.2">
      <c r="A332" s="1"/>
      <c r="B332" s="68" t="s">
        <v>133</v>
      </c>
      <c r="C332" s="55">
        <v>3.09</v>
      </c>
      <c r="D332" s="56" t="s">
        <v>134</v>
      </c>
      <c r="E332" s="54" t="s">
        <v>45</v>
      </c>
      <c r="F332" s="57">
        <v>46.8</v>
      </c>
      <c r="G332" s="58">
        <f>ROUND(8808.7785,0)</f>
        <v>8809</v>
      </c>
      <c r="H332" s="58">
        <f t="shared" si="14"/>
        <v>412261</v>
      </c>
      <c r="I332" s="1"/>
      <c r="J332" s="1"/>
      <c r="K332" s="1"/>
    </row>
    <row r="333" spans="1:11" ht="14.5" customHeight="1" x14ac:dyDescent="0.2">
      <c r="A333" s="1"/>
      <c r="B333" s="68" t="s">
        <v>337</v>
      </c>
      <c r="C333" s="55">
        <v>3.1</v>
      </c>
      <c r="D333" s="56" t="s">
        <v>338</v>
      </c>
      <c r="E333" s="54" t="s">
        <v>45</v>
      </c>
      <c r="F333" s="57">
        <v>46.8</v>
      </c>
      <c r="G333" s="58">
        <f>ROUND(151682.7722,0)</f>
        <v>151683</v>
      </c>
      <c r="H333" s="58">
        <f t="shared" si="14"/>
        <v>7098764</v>
      </c>
      <c r="I333" s="1"/>
      <c r="J333" s="1"/>
      <c r="K333" s="1"/>
    </row>
    <row r="334" spans="1:11" ht="14.5" customHeight="1" x14ac:dyDescent="0.2">
      <c r="A334" s="1"/>
      <c r="B334" s="68" t="s">
        <v>80</v>
      </c>
      <c r="C334" s="55">
        <v>3.11</v>
      </c>
      <c r="D334" s="56" t="s">
        <v>81</v>
      </c>
      <c r="E334" s="54" t="s">
        <v>45</v>
      </c>
      <c r="F334" s="57">
        <v>68</v>
      </c>
      <c r="G334" s="58">
        <f>ROUND((17452.5471+11284.1963),0)</f>
        <v>28737</v>
      </c>
      <c r="H334" s="58">
        <f t="shared" si="14"/>
        <v>1954116</v>
      </c>
      <c r="I334" s="1"/>
      <c r="J334" s="1"/>
      <c r="K334" s="1"/>
    </row>
    <row r="335" spans="1:11" ht="14.5" customHeight="1" x14ac:dyDescent="0.2">
      <c r="A335" s="1"/>
      <c r="B335" s="68" t="s">
        <v>339</v>
      </c>
      <c r="C335" s="55">
        <v>3.12</v>
      </c>
      <c r="D335" s="56" t="s">
        <v>340</v>
      </c>
      <c r="E335" s="54" t="s">
        <v>45</v>
      </c>
      <c r="F335" s="57">
        <v>8</v>
      </c>
      <c r="G335" s="58">
        <f>ROUND(972841.6664,0)</f>
        <v>972842</v>
      </c>
      <c r="H335" s="58">
        <f t="shared" si="14"/>
        <v>7782736</v>
      </c>
      <c r="I335" s="1"/>
      <c r="J335" s="1"/>
      <c r="K335" s="1"/>
    </row>
    <row r="336" spans="1:11" ht="14.5" customHeight="1" x14ac:dyDescent="0.2">
      <c r="A336" s="1"/>
      <c r="B336" s="68" t="s">
        <v>341</v>
      </c>
      <c r="C336" s="55">
        <v>3.13</v>
      </c>
      <c r="D336" s="56" t="s">
        <v>342</v>
      </c>
      <c r="E336" s="54" t="s">
        <v>15</v>
      </c>
      <c r="F336" s="57">
        <v>8</v>
      </c>
      <c r="G336" s="58">
        <f>ROUND(183821.665,0)</f>
        <v>183822</v>
      </c>
      <c r="H336" s="58">
        <f t="shared" si="14"/>
        <v>1470576</v>
      </c>
      <c r="I336" s="1"/>
      <c r="J336" s="1"/>
      <c r="K336" s="1"/>
    </row>
    <row r="337" spans="1:11" ht="14.5" customHeight="1" x14ac:dyDescent="0.2">
      <c r="A337" s="1"/>
      <c r="B337" s="68" t="s">
        <v>195</v>
      </c>
      <c r="C337" s="55">
        <v>3.14</v>
      </c>
      <c r="D337" s="56" t="s">
        <v>196</v>
      </c>
      <c r="E337" s="54" t="s">
        <v>21</v>
      </c>
      <c r="F337" s="57">
        <v>10</v>
      </c>
      <c r="G337" s="58">
        <f>ROUND(9568.388,0)</f>
        <v>9568</v>
      </c>
      <c r="H337" s="58">
        <f t="shared" si="14"/>
        <v>95680</v>
      </c>
      <c r="I337" s="1"/>
      <c r="J337" s="1"/>
      <c r="K337" s="1"/>
    </row>
    <row r="338" spans="1:11" ht="14.5" customHeight="1" x14ac:dyDescent="0.2">
      <c r="A338" s="1"/>
      <c r="B338" s="68" t="s">
        <v>193</v>
      </c>
      <c r="C338" s="55">
        <v>3.15</v>
      </c>
      <c r="D338" s="56" t="s">
        <v>194</v>
      </c>
      <c r="E338" s="54" t="s">
        <v>21</v>
      </c>
      <c r="F338" s="57">
        <v>6</v>
      </c>
      <c r="G338" s="58">
        <f>ROUND(7670.443,0)</f>
        <v>7670</v>
      </c>
      <c r="H338" s="58">
        <f t="shared" si="14"/>
        <v>46020</v>
      </c>
      <c r="I338" s="1"/>
      <c r="J338" s="1"/>
      <c r="K338" s="1"/>
    </row>
    <row r="339" spans="1:11" ht="14.5" customHeight="1" x14ac:dyDescent="0.2">
      <c r="A339" s="1"/>
      <c r="B339" s="68" t="s">
        <v>343</v>
      </c>
      <c r="C339" s="55">
        <v>3.16</v>
      </c>
      <c r="D339" s="56" t="s">
        <v>344</v>
      </c>
      <c r="E339" s="54" t="s">
        <v>15</v>
      </c>
      <c r="F339" s="57">
        <v>4</v>
      </c>
      <c r="G339" s="58">
        <f>ROUND(33559.4675,0)</f>
        <v>33559</v>
      </c>
      <c r="H339" s="58">
        <f t="shared" si="14"/>
        <v>134236</v>
      </c>
      <c r="I339" s="1"/>
      <c r="J339" s="1"/>
      <c r="K339" s="1"/>
    </row>
    <row r="340" spans="1:11" ht="14.5" customHeight="1" x14ac:dyDescent="0.2">
      <c r="A340" s="1"/>
      <c r="B340" s="68" t="s">
        <v>345</v>
      </c>
      <c r="C340" s="55">
        <v>3.17</v>
      </c>
      <c r="D340" s="56" t="s">
        <v>346</v>
      </c>
      <c r="E340" s="54" t="s">
        <v>45</v>
      </c>
      <c r="F340" s="57">
        <v>24.64</v>
      </c>
      <c r="G340" s="58">
        <f>ROUND(9832.1885,0)</f>
        <v>9832</v>
      </c>
      <c r="H340" s="58">
        <f t="shared" si="14"/>
        <v>242260</v>
      </c>
      <c r="I340" s="1"/>
      <c r="J340" s="1"/>
      <c r="K340" s="1"/>
    </row>
    <row r="341" spans="1:11" ht="14.5" customHeight="1" x14ac:dyDescent="0.2">
      <c r="A341" s="1"/>
      <c r="B341" s="68" t="s">
        <v>48</v>
      </c>
      <c r="C341" s="55">
        <v>3.18</v>
      </c>
      <c r="D341" s="56" t="s">
        <v>49</v>
      </c>
      <c r="E341" s="54" t="s">
        <v>45</v>
      </c>
      <c r="F341" s="57">
        <v>24.64</v>
      </c>
      <c r="G341" s="58">
        <f>ROUND((75562.5896+170520.13),0)</f>
        <v>246083</v>
      </c>
      <c r="H341" s="58">
        <f t="shared" si="14"/>
        <v>6063485</v>
      </c>
      <c r="I341" s="1"/>
      <c r="J341" s="1"/>
      <c r="K341" s="1"/>
    </row>
    <row r="342" spans="1:11" ht="14.5" customHeight="1" x14ac:dyDescent="0.2">
      <c r="A342" s="1"/>
      <c r="B342" s="68" t="s">
        <v>166</v>
      </c>
      <c r="C342" s="55">
        <v>3.19</v>
      </c>
      <c r="D342" s="56" t="s">
        <v>167</v>
      </c>
      <c r="E342" s="54" t="s">
        <v>45</v>
      </c>
      <c r="F342" s="57">
        <v>64.319999999999993</v>
      </c>
      <c r="G342" s="58">
        <f>ROUND(85745.42,0)</f>
        <v>85745</v>
      </c>
      <c r="H342" s="58">
        <f t="shared" si="14"/>
        <v>5515118</v>
      </c>
      <c r="I342" s="1"/>
      <c r="J342" s="1"/>
      <c r="K342" s="1"/>
    </row>
    <row r="343" spans="1:11" ht="14.5" customHeight="1" x14ac:dyDescent="0.2">
      <c r="A343" s="1"/>
      <c r="B343" s="68" t="s">
        <v>347</v>
      </c>
      <c r="C343" s="55">
        <v>3.2</v>
      </c>
      <c r="D343" s="56" t="s">
        <v>348</v>
      </c>
      <c r="E343" s="54" t="s">
        <v>21</v>
      </c>
      <c r="F343" s="57">
        <v>26.8</v>
      </c>
      <c r="G343" s="58">
        <f>ROUND(31857.9909,0)</f>
        <v>31858</v>
      </c>
      <c r="H343" s="58">
        <f t="shared" si="14"/>
        <v>853794</v>
      </c>
      <c r="I343" s="1"/>
      <c r="J343" s="1"/>
      <c r="K343" s="1"/>
    </row>
    <row r="344" spans="1:11" ht="14.5" customHeight="1" x14ac:dyDescent="0.2">
      <c r="A344" s="1"/>
      <c r="B344" s="68" t="s">
        <v>78</v>
      </c>
      <c r="C344" s="55">
        <v>3.21</v>
      </c>
      <c r="D344" s="56" t="s">
        <v>115</v>
      </c>
      <c r="E344" s="54" t="s">
        <v>21</v>
      </c>
      <c r="F344" s="57">
        <v>359.4</v>
      </c>
      <c r="G344" s="58">
        <f>ROUND((12853.368+11284.1963),0)</f>
        <v>24138</v>
      </c>
      <c r="H344" s="58">
        <f t="shared" si="14"/>
        <v>8675197</v>
      </c>
      <c r="I344" s="1"/>
      <c r="J344" s="1"/>
      <c r="K344" s="1"/>
    </row>
    <row r="345" spans="1:11" ht="14.5" customHeight="1" x14ac:dyDescent="0.2">
      <c r="A345" s="1"/>
      <c r="B345" s="68" t="s">
        <v>349</v>
      </c>
      <c r="C345" s="55">
        <v>3.22</v>
      </c>
      <c r="D345" s="56" t="s">
        <v>350</v>
      </c>
      <c r="E345" s="54" t="s">
        <v>15</v>
      </c>
      <c r="F345" s="57">
        <v>6</v>
      </c>
      <c r="G345" s="58">
        <f>ROUND(760429.7365,0)</f>
        <v>760430</v>
      </c>
      <c r="H345" s="58">
        <f t="shared" si="14"/>
        <v>4562580</v>
      </c>
      <c r="I345" s="1"/>
      <c r="J345" s="1"/>
      <c r="K345" s="1"/>
    </row>
    <row r="346" spans="1:11" ht="26.5" customHeight="1" x14ac:dyDescent="0.2">
      <c r="A346" s="1"/>
      <c r="B346" s="68" t="s">
        <v>179</v>
      </c>
      <c r="C346" s="55">
        <v>3.23</v>
      </c>
      <c r="D346" s="56" t="s">
        <v>180</v>
      </c>
      <c r="E346" s="54" t="s">
        <v>15</v>
      </c>
      <c r="F346" s="57">
        <v>6</v>
      </c>
      <c r="G346" s="58">
        <f>ROUND(598294.7636,0)</f>
        <v>598295</v>
      </c>
      <c r="H346" s="58">
        <f t="shared" si="14"/>
        <v>3589770</v>
      </c>
      <c r="I346" s="1"/>
      <c r="J346" s="1"/>
      <c r="K346" s="1"/>
    </row>
    <row r="347" spans="1:11" ht="14.5" customHeight="1" x14ac:dyDescent="0.2">
      <c r="A347" s="1"/>
      <c r="B347" s="68" t="s">
        <v>345</v>
      </c>
      <c r="C347" s="55">
        <v>3.24</v>
      </c>
      <c r="D347" s="56" t="s">
        <v>346</v>
      </c>
      <c r="E347" s="54" t="s">
        <v>45</v>
      </c>
      <c r="F347" s="57">
        <v>6.12</v>
      </c>
      <c r="G347" s="58">
        <f>ROUND(9832.1885,0)</f>
        <v>9832</v>
      </c>
      <c r="H347" s="58">
        <f t="shared" si="14"/>
        <v>60172</v>
      </c>
      <c r="I347" s="1"/>
      <c r="J347" s="1"/>
      <c r="K347" s="1"/>
    </row>
    <row r="348" spans="1:11" ht="14.5" customHeight="1" x14ac:dyDescent="0.2">
      <c r="A348" s="1"/>
      <c r="B348" s="68" t="s">
        <v>351</v>
      </c>
      <c r="C348" s="55">
        <v>3.25</v>
      </c>
      <c r="D348" s="56" t="s">
        <v>352</v>
      </c>
      <c r="E348" s="54" t="s">
        <v>45</v>
      </c>
      <c r="F348" s="57">
        <v>6.12</v>
      </c>
      <c r="G348" s="58">
        <f>ROUND(264917.2743,0)</f>
        <v>264917</v>
      </c>
      <c r="H348" s="58">
        <f t="shared" si="14"/>
        <v>1621292</v>
      </c>
      <c r="I348" s="1"/>
      <c r="J348" s="1"/>
      <c r="K348" s="1"/>
    </row>
    <row r="349" spans="1:11" ht="39.5" customHeight="1" x14ac:dyDescent="0.2">
      <c r="A349" s="1"/>
      <c r="B349" s="68" t="s">
        <v>126</v>
      </c>
      <c r="C349" s="55">
        <v>3.26</v>
      </c>
      <c r="D349" s="56" t="s">
        <v>127</v>
      </c>
      <c r="E349" s="54" t="s">
        <v>45</v>
      </c>
      <c r="F349" s="57">
        <v>8.4</v>
      </c>
      <c r="G349" s="58">
        <f>ROUND(48470.548,0)</f>
        <v>48471</v>
      </c>
      <c r="H349" s="58">
        <f t="shared" si="14"/>
        <v>407156</v>
      </c>
      <c r="I349" s="1"/>
      <c r="J349" s="1"/>
      <c r="K349" s="1"/>
    </row>
    <row r="350" spans="1:11" ht="14.5" customHeight="1" x14ac:dyDescent="0.2">
      <c r="A350" s="1"/>
      <c r="B350" s="68" t="s">
        <v>353</v>
      </c>
      <c r="C350" s="55">
        <v>3.27</v>
      </c>
      <c r="D350" s="56" t="s">
        <v>354</v>
      </c>
      <c r="E350" s="54" t="s">
        <v>21</v>
      </c>
      <c r="F350" s="57">
        <v>106</v>
      </c>
      <c r="G350" s="58">
        <f>ROUND(33878.1723,0)</f>
        <v>33878</v>
      </c>
      <c r="H350" s="58">
        <f t="shared" si="14"/>
        <v>3591068</v>
      </c>
      <c r="I350" s="1"/>
      <c r="J350" s="1"/>
      <c r="K350" s="1"/>
    </row>
    <row r="351" spans="1:11" ht="14.5" customHeight="1" x14ac:dyDescent="0.2">
      <c r="A351" s="1"/>
      <c r="B351" s="68" t="s">
        <v>203</v>
      </c>
      <c r="C351" s="55">
        <v>3.28</v>
      </c>
      <c r="D351" s="56" t="s">
        <v>204</v>
      </c>
      <c r="E351" s="54" t="s">
        <v>15</v>
      </c>
      <c r="F351" s="57">
        <v>22</v>
      </c>
      <c r="G351" s="58">
        <f>ROUND(56431.75,0)</f>
        <v>56432</v>
      </c>
      <c r="H351" s="58">
        <f t="shared" si="14"/>
        <v>1241504</v>
      </c>
      <c r="I351" s="1"/>
      <c r="J351" s="1"/>
      <c r="K351" s="1"/>
    </row>
    <row r="352" spans="1:11" x14ac:dyDescent="0.15">
      <c r="B352" s="68" t="s">
        <v>136</v>
      </c>
      <c r="C352" s="55">
        <v>3.29</v>
      </c>
      <c r="D352" s="56" t="s">
        <v>137</v>
      </c>
      <c r="E352" s="54" t="s">
        <v>15</v>
      </c>
      <c r="F352" s="57">
        <v>10</v>
      </c>
      <c r="G352" s="58">
        <f>ROUND(159613.4071,0)</f>
        <v>159613</v>
      </c>
      <c r="H352" s="58">
        <f t="shared" si="14"/>
        <v>1596130</v>
      </c>
    </row>
    <row r="353" spans="2:11" x14ac:dyDescent="0.15">
      <c r="B353" s="68" t="s">
        <v>43</v>
      </c>
      <c r="C353" s="55">
        <v>3.3</v>
      </c>
      <c r="D353" s="56" t="s">
        <v>44</v>
      </c>
      <c r="E353" s="54" t="s">
        <v>45</v>
      </c>
      <c r="F353" s="57">
        <v>372</v>
      </c>
      <c r="G353" s="58">
        <f>ROUND(1119.69,0)</f>
        <v>1120</v>
      </c>
      <c r="H353" s="58">
        <f t="shared" si="14"/>
        <v>416640</v>
      </c>
    </row>
    <row r="354" spans="2:11" x14ac:dyDescent="0.15">
      <c r="B354" s="71"/>
      <c r="C354" s="65"/>
      <c r="D354" s="64"/>
      <c r="E354" s="66"/>
      <c r="F354" s="64"/>
      <c r="G354" s="64"/>
      <c r="H354" s="64"/>
    </row>
    <row r="355" spans="2:11" x14ac:dyDescent="0.15">
      <c r="B355" s="67"/>
      <c r="C355" s="52">
        <v>4</v>
      </c>
      <c r="D355" s="53" t="s">
        <v>207</v>
      </c>
      <c r="E355" s="51"/>
      <c r="F355" s="51"/>
      <c r="G355" s="51"/>
      <c r="H355" s="51"/>
    </row>
    <row r="356" spans="2:11" x14ac:dyDescent="0.15">
      <c r="B356" s="68" t="s">
        <v>208</v>
      </c>
      <c r="C356" s="55">
        <v>4.01</v>
      </c>
      <c r="D356" s="56" t="s">
        <v>209</v>
      </c>
      <c r="E356" s="54" t="s">
        <v>210</v>
      </c>
      <c r="F356" s="57">
        <v>3</v>
      </c>
      <c r="G356" s="58">
        <f>ROUND(681395,0)</f>
        <v>681395</v>
      </c>
      <c r="H356" s="58">
        <f>IFERROR(ROUND(F356*G356,0),0)</f>
        <v>2044185</v>
      </c>
    </row>
    <row r="357" spans="2:11" x14ac:dyDescent="0.15">
      <c r="B357" s="68" t="s">
        <v>211</v>
      </c>
      <c r="C357" s="55">
        <v>4.0199999999999996</v>
      </c>
      <c r="D357" s="56" t="s">
        <v>212</v>
      </c>
      <c r="E357" s="54" t="s">
        <v>15</v>
      </c>
      <c r="F357" s="57">
        <v>1</v>
      </c>
      <c r="G357" s="58">
        <f>ROUND(109474.3375,0)</f>
        <v>109474</v>
      </c>
      <c r="H357" s="58">
        <f>IFERROR(ROUND(F357*G357,0),0)</f>
        <v>109474</v>
      </c>
    </row>
    <row r="358" spans="2:11" ht="26.5" customHeight="1" x14ac:dyDescent="0.15">
      <c r="B358" s="68" t="s">
        <v>213</v>
      </c>
      <c r="C358" s="55">
        <v>4.03</v>
      </c>
      <c r="D358" s="56" t="s">
        <v>214</v>
      </c>
      <c r="E358" s="54" t="s">
        <v>210</v>
      </c>
      <c r="F358" s="57">
        <v>3</v>
      </c>
      <c r="G358" s="58">
        <f>ROUND(1390320,0)</f>
        <v>1390320</v>
      </c>
      <c r="H358" s="58">
        <f>IFERROR(ROUND(F358*G358,0),0)</f>
        <v>4170960</v>
      </c>
      <c r="I358" s="21"/>
      <c r="J358" s="21"/>
      <c r="K358" s="21"/>
    </row>
    <row r="359" spans="2:11" ht="26.5" customHeight="1" x14ac:dyDescent="0.15">
      <c r="B359" s="68" t="s">
        <v>215</v>
      </c>
      <c r="C359" s="55">
        <v>4.04</v>
      </c>
      <c r="D359" s="56" t="s">
        <v>216</v>
      </c>
      <c r="E359" s="54" t="s">
        <v>24</v>
      </c>
      <c r="F359" s="57">
        <v>20</v>
      </c>
      <c r="G359" s="58">
        <f>ROUND(4851.9225,0)</f>
        <v>4852</v>
      </c>
      <c r="H359" s="58">
        <f>IFERROR(ROUND(F359*G359,0),0)</f>
        <v>97040</v>
      </c>
    </row>
    <row r="360" spans="2:11" ht="15" x14ac:dyDescent="0.2">
      <c r="B360" s="103" t="s">
        <v>355</v>
      </c>
      <c r="C360" s="95"/>
      <c r="D360" s="95"/>
      <c r="E360" s="95"/>
      <c r="F360" s="95"/>
      <c r="G360" s="96"/>
      <c r="H360" s="22">
        <f>SUM(H9:H359)</f>
        <v>1316845765</v>
      </c>
    </row>
    <row r="362" spans="2:11" ht="15" x14ac:dyDescent="0.15">
      <c r="B362" s="9"/>
      <c r="C362" s="9"/>
      <c r="D362" s="10" t="s">
        <v>356</v>
      </c>
      <c r="E362" s="10"/>
      <c r="F362" s="10"/>
      <c r="G362" s="10"/>
      <c r="H362" s="10"/>
    </row>
    <row r="363" spans="2:11" x14ac:dyDescent="0.15">
      <c r="B363" s="11" t="s">
        <v>4</v>
      </c>
      <c r="C363" s="12" t="s">
        <v>5</v>
      </c>
      <c r="D363" s="11" t="s">
        <v>6</v>
      </c>
      <c r="E363" s="11" t="s">
        <v>7</v>
      </c>
      <c r="F363" s="11" t="s">
        <v>8</v>
      </c>
      <c r="G363" s="11" t="s">
        <v>9</v>
      </c>
      <c r="H363" s="11" t="s">
        <v>10</v>
      </c>
    </row>
    <row r="364" spans="2:11" x14ac:dyDescent="0.15">
      <c r="B364" s="23"/>
      <c r="C364" s="24"/>
      <c r="D364" s="25" t="s">
        <v>11</v>
      </c>
      <c r="E364" s="23"/>
      <c r="F364" s="23"/>
      <c r="G364" s="23"/>
      <c r="H364" s="23"/>
    </row>
    <row r="365" spans="2:11" x14ac:dyDescent="0.15">
      <c r="B365" s="18"/>
      <c r="C365" s="19">
        <v>1</v>
      </c>
      <c r="D365" s="20" t="s">
        <v>357</v>
      </c>
      <c r="E365" s="18"/>
      <c r="F365" s="18"/>
      <c r="G365" s="18"/>
      <c r="H365" s="18"/>
    </row>
    <row r="366" spans="2:11" ht="82.75" customHeight="1" x14ac:dyDescent="0.15">
      <c r="B366" s="13" t="s">
        <v>358</v>
      </c>
      <c r="C366" s="14">
        <v>1.01</v>
      </c>
      <c r="D366" s="15" t="s">
        <v>359</v>
      </c>
      <c r="E366" s="13" t="s">
        <v>15</v>
      </c>
      <c r="F366" s="16">
        <v>3</v>
      </c>
      <c r="G366" s="17">
        <f>ROUND(4498625,0)</f>
        <v>4498625</v>
      </c>
      <c r="H366" s="17">
        <f>IFERROR(ROUND(F366*G366,0),0)</f>
        <v>13495875</v>
      </c>
    </row>
    <row r="367" spans="2:11" ht="27.5" customHeight="1" x14ac:dyDescent="0.15">
      <c r="B367" s="13" t="s">
        <v>360</v>
      </c>
      <c r="C367" s="14">
        <v>1.02</v>
      </c>
      <c r="D367" s="15" t="s">
        <v>361</v>
      </c>
      <c r="E367" s="13" t="s">
        <v>15</v>
      </c>
      <c r="F367" s="16">
        <v>1</v>
      </c>
      <c r="G367" s="17">
        <f>ROUND(3731213,0)</f>
        <v>3731213</v>
      </c>
      <c r="H367" s="17">
        <f>IFERROR(ROUND(F367*G367,0),0)</f>
        <v>3731213</v>
      </c>
    </row>
    <row r="368" spans="2:11" ht="27.5" customHeight="1" x14ac:dyDescent="0.15">
      <c r="B368" s="13" t="s">
        <v>362</v>
      </c>
      <c r="C368" s="14">
        <v>1.03</v>
      </c>
      <c r="D368" s="15" t="s">
        <v>363</v>
      </c>
      <c r="E368" s="13" t="s">
        <v>15</v>
      </c>
      <c r="F368" s="16">
        <v>1</v>
      </c>
      <c r="G368" s="17">
        <f>ROUND(1239927,0)</f>
        <v>1239927</v>
      </c>
      <c r="H368" s="17">
        <f>IFERROR(ROUND(F368*G368,0),0)</f>
        <v>1239927</v>
      </c>
    </row>
    <row r="369" spans="2:8" ht="82.75" customHeight="1" x14ac:dyDescent="0.15">
      <c r="B369" s="13" t="s">
        <v>364</v>
      </c>
      <c r="C369" s="14">
        <v>1.04</v>
      </c>
      <c r="D369" s="15" t="s">
        <v>365</v>
      </c>
      <c r="E369" s="13" t="s">
        <v>15</v>
      </c>
      <c r="F369" s="16">
        <v>2</v>
      </c>
      <c r="G369" s="17">
        <f>ROUND(6943654,0)</f>
        <v>6943654</v>
      </c>
      <c r="H369" s="17">
        <f>IFERROR(ROUND(F369*G369,0),0)</f>
        <v>13887308</v>
      </c>
    </row>
    <row r="370" spans="2:8" ht="55.25" customHeight="1" x14ac:dyDescent="0.15">
      <c r="B370" s="13" t="s">
        <v>366</v>
      </c>
      <c r="C370" s="14">
        <v>1.05</v>
      </c>
      <c r="D370" s="15" t="s">
        <v>367</v>
      </c>
      <c r="E370" s="13" t="s">
        <v>15</v>
      </c>
      <c r="F370" s="16">
        <v>1</v>
      </c>
      <c r="G370" s="17">
        <f>ROUND(1818609,0)</f>
        <v>1818609</v>
      </c>
      <c r="H370" s="17">
        <f>IFERROR(ROUND(F370*G370,0),0)</f>
        <v>1818609</v>
      </c>
    </row>
    <row r="371" spans="2:8" x14ac:dyDescent="0.15">
      <c r="B371" s="23"/>
      <c r="C371" s="24"/>
      <c r="D371" s="25" t="s">
        <v>217</v>
      </c>
      <c r="E371" s="23"/>
      <c r="F371" s="23"/>
      <c r="G371" s="23"/>
      <c r="H371" s="23"/>
    </row>
    <row r="372" spans="2:8" x14ac:dyDescent="0.15">
      <c r="B372" s="18"/>
      <c r="C372" s="19">
        <v>1</v>
      </c>
      <c r="D372" s="20" t="s">
        <v>357</v>
      </c>
      <c r="E372" s="18"/>
      <c r="F372" s="18"/>
      <c r="G372" s="18"/>
      <c r="H372" s="18"/>
    </row>
    <row r="373" spans="2:8" ht="110.5" customHeight="1" x14ac:dyDescent="0.15">
      <c r="B373" s="13" t="s">
        <v>368</v>
      </c>
      <c r="C373" s="14">
        <v>1.01</v>
      </c>
      <c r="D373" s="15" t="s">
        <v>369</v>
      </c>
      <c r="E373" s="13" t="s">
        <v>15</v>
      </c>
      <c r="F373" s="16">
        <v>2</v>
      </c>
      <c r="G373" s="17">
        <f>ROUND(3175500,0)</f>
        <v>3175500</v>
      </c>
      <c r="H373" s="17">
        <f t="shared" ref="H373:H390" si="15">IFERROR(ROUND(F373*G373,0),0)</f>
        <v>6351000</v>
      </c>
    </row>
    <row r="374" spans="2:8" ht="110.5" customHeight="1" x14ac:dyDescent="0.15">
      <c r="B374" s="13" t="s">
        <v>370</v>
      </c>
      <c r="C374" s="14">
        <v>1.02</v>
      </c>
      <c r="D374" s="15" t="s">
        <v>371</v>
      </c>
      <c r="E374" s="13" t="s">
        <v>15</v>
      </c>
      <c r="F374" s="16">
        <v>2</v>
      </c>
      <c r="G374" s="17">
        <f>ROUND(3175500,0)</f>
        <v>3175500</v>
      </c>
      <c r="H374" s="17">
        <f t="shared" si="15"/>
        <v>6351000</v>
      </c>
    </row>
    <row r="375" spans="2:8" ht="41.5" customHeight="1" x14ac:dyDescent="0.15">
      <c r="B375" s="13" t="s">
        <v>372</v>
      </c>
      <c r="C375" s="14">
        <v>1.03</v>
      </c>
      <c r="D375" s="15" t="s">
        <v>373</v>
      </c>
      <c r="E375" s="13" t="s">
        <v>15</v>
      </c>
      <c r="F375" s="16">
        <v>2</v>
      </c>
      <c r="G375" s="17">
        <f>ROUND(1405265,0)</f>
        <v>1405265</v>
      </c>
      <c r="H375" s="17">
        <f t="shared" si="15"/>
        <v>2810530</v>
      </c>
    </row>
    <row r="376" spans="2:8" ht="41.5" customHeight="1" x14ac:dyDescent="0.15">
      <c r="B376" s="13" t="s">
        <v>374</v>
      </c>
      <c r="C376" s="14">
        <v>1.04</v>
      </c>
      <c r="D376" s="15" t="s">
        <v>375</v>
      </c>
      <c r="E376" s="13" t="s">
        <v>15</v>
      </c>
      <c r="F376" s="16">
        <v>2</v>
      </c>
      <c r="G376" s="17">
        <f>ROUND(2567499,0)</f>
        <v>2567499</v>
      </c>
      <c r="H376" s="17">
        <f t="shared" si="15"/>
        <v>5134998</v>
      </c>
    </row>
    <row r="377" spans="2:8" ht="82.75" customHeight="1" x14ac:dyDescent="0.15">
      <c r="B377" s="13" t="s">
        <v>376</v>
      </c>
      <c r="C377" s="14">
        <v>1.05</v>
      </c>
      <c r="D377" s="15" t="s">
        <v>377</v>
      </c>
      <c r="E377" s="13" t="s">
        <v>15</v>
      </c>
      <c r="F377" s="16">
        <v>4</v>
      </c>
      <c r="G377" s="17">
        <f>ROUND(2975867,0)</f>
        <v>2975867</v>
      </c>
      <c r="H377" s="17">
        <f t="shared" si="15"/>
        <v>11903468</v>
      </c>
    </row>
    <row r="378" spans="2:8" ht="110.5" customHeight="1" x14ac:dyDescent="0.15">
      <c r="B378" s="13" t="s">
        <v>378</v>
      </c>
      <c r="C378" s="14">
        <v>1.06</v>
      </c>
      <c r="D378" s="15" t="s">
        <v>379</v>
      </c>
      <c r="E378" s="13" t="s">
        <v>15</v>
      </c>
      <c r="F378" s="16">
        <v>3</v>
      </c>
      <c r="G378" s="17">
        <f>ROUND(6351000,0)</f>
        <v>6351000</v>
      </c>
      <c r="H378" s="17">
        <f t="shared" si="15"/>
        <v>19053000</v>
      </c>
    </row>
    <row r="379" spans="2:8" ht="110.5" customHeight="1" x14ac:dyDescent="0.15">
      <c r="B379" s="13" t="s">
        <v>380</v>
      </c>
      <c r="C379" s="14">
        <v>1.07</v>
      </c>
      <c r="D379" s="15" t="s">
        <v>381</v>
      </c>
      <c r="E379" s="13" t="s">
        <v>15</v>
      </c>
      <c r="F379" s="16">
        <v>3</v>
      </c>
      <c r="G379" s="17">
        <f>ROUND(6351000,0)</f>
        <v>6351000</v>
      </c>
      <c r="H379" s="17">
        <f t="shared" si="15"/>
        <v>19053000</v>
      </c>
    </row>
    <row r="380" spans="2:8" ht="55.25" customHeight="1" x14ac:dyDescent="0.15">
      <c r="B380" s="13" t="s">
        <v>382</v>
      </c>
      <c r="C380" s="14">
        <v>1.08</v>
      </c>
      <c r="D380" s="15" t="s">
        <v>383</v>
      </c>
      <c r="E380" s="13" t="s">
        <v>15</v>
      </c>
      <c r="F380" s="16">
        <v>1</v>
      </c>
      <c r="G380" s="17">
        <f>ROUND(7078719,0)</f>
        <v>7078719</v>
      </c>
      <c r="H380" s="17">
        <f t="shared" si="15"/>
        <v>7078719</v>
      </c>
    </row>
    <row r="381" spans="2:8" ht="55.25" customHeight="1" x14ac:dyDescent="0.15">
      <c r="B381" s="13" t="s">
        <v>384</v>
      </c>
      <c r="C381" s="14">
        <v>1.0900000000000001</v>
      </c>
      <c r="D381" s="15" t="s">
        <v>385</v>
      </c>
      <c r="E381" s="13" t="s">
        <v>15</v>
      </c>
      <c r="F381" s="16">
        <v>1</v>
      </c>
      <c r="G381" s="17">
        <f>ROUND(7078719,0)</f>
        <v>7078719</v>
      </c>
      <c r="H381" s="17">
        <f t="shared" si="15"/>
        <v>7078719</v>
      </c>
    </row>
    <row r="382" spans="2:8" ht="82.75" customHeight="1" x14ac:dyDescent="0.15">
      <c r="B382" s="13" t="s">
        <v>386</v>
      </c>
      <c r="C382" s="14">
        <v>1.1000000000000001</v>
      </c>
      <c r="D382" s="15" t="s">
        <v>387</v>
      </c>
      <c r="E382" s="13" t="s">
        <v>15</v>
      </c>
      <c r="F382" s="16">
        <v>4</v>
      </c>
      <c r="G382" s="17">
        <f>ROUND(6943654,0)</f>
        <v>6943654</v>
      </c>
      <c r="H382" s="17">
        <f t="shared" si="15"/>
        <v>27774616</v>
      </c>
    </row>
    <row r="383" spans="2:8" ht="96.5" customHeight="1" x14ac:dyDescent="0.15">
      <c r="B383" s="13" t="s">
        <v>388</v>
      </c>
      <c r="C383" s="14">
        <v>1.1100000000000001</v>
      </c>
      <c r="D383" s="15" t="s">
        <v>389</v>
      </c>
      <c r="E383" s="13" t="s">
        <v>15</v>
      </c>
      <c r="F383" s="16">
        <v>2</v>
      </c>
      <c r="G383" s="17">
        <f>ROUND(2805025,0)</f>
        <v>2805025</v>
      </c>
      <c r="H383" s="17">
        <f t="shared" si="15"/>
        <v>5610050</v>
      </c>
    </row>
    <row r="384" spans="2:8" ht="96.5" customHeight="1" x14ac:dyDescent="0.15">
      <c r="B384" s="13" t="s">
        <v>390</v>
      </c>
      <c r="C384" s="14">
        <v>1.1200000000000001</v>
      </c>
      <c r="D384" s="15" t="s">
        <v>391</v>
      </c>
      <c r="E384" s="13" t="s">
        <v>15</v>
      </c>
      <c r="F384" s="16">
        <v>1</v>
      </c>
      <c r="G384" s="17">
        <f>ROUND(7475656,0)</f>
        <v>7475656</v>
      </c>
      <c r="H384" s="17">
        <f t="shared" si="15"/>
        <v>7475656</v>
      </c>
    </row>
    <row r="385" spans="2:11" ht="27.5" customHeight="1" x14ac:dyDescent="0.15">
      <c r="B385" s="13" t="s">
        <v>392</v>
      </c>
      <c r="C385" s="14">
        <v>1.1299999999999999</v>
      </c>
      <c r="D385" s="15" t="s">
        <v>393</v>
      </c>
      <c r="E385" s="13" t="s">
        <v>15</v>
      </c>
      <c r="F385" s="16">
        <v>2</v>
      </c>
      <c r="G385" s="17">
        <f>ROUND(2066510,0)</f>
        <v>2066510</v>
      </c>
      <c r="H385" s="17">
        <f t="shared" si="15"/>
        <v>4133020</v>
      </c>
    </row>
    <row r="386" spans="2:11" ht="55.25" customHeight="1" x14ac:dyDescent="0.15">
      <c r="B386" s="13" t="s">
        <v>394</v>
      </c>
      <c r="C386" s="14">
        <v>1.1399999999999999</v>
      </c>
      <c r="D386" s="15" t="s">
        <v>395</v>
      </c>
      <c r="E386" s="13" t="s">
        <v>15</v>
      </c>
      <c r="F386" s="16">
        <v>2</v>
      </c>
      <c r="G386" s="17">
        <f>ROUND(1405265,0)</f>
        <v>1405265</v>
      </c>
      <c r="H386" s="17">
        <f t="shared" si="15"/>
        <v>2810530</v>
      </c>
    </row>
    <row r="387" spans="2:11" ht="110.5" customHeight="1" x14ac:dyDescent="0.15">
      <c r="B387" s="13" t="s">
        <v>396</v>
      </c>
      <c r="C387" s="14">
        <v>1.1499999999999999</v>
      </c>
      <c r="D387" s="15" t="s">
        <v>397</v>
      </c>
      <c r="E387" s="13" t="s">
        <v>15</v>
      </c>
      <c r="F387" s="16">
        <v>3</v>
      </c>
      <c r="G387" s="17">
        <f>ROUND(6880250,0)</f>
        <v>6880250</v>
      </c>
      <c r="H387" s="17">
        <f t="shared" si="15"/>
        <v>20640750</v>
      </c>
    </row>
    <row r="388" spans="2:11" ht="41.5" customHeight="1" x14ac:dyDescent="0.15">
      <c r="B388" s="13" t="s">
        <v>398</v>
      </c>
      <c r="C388" s="14">
        <v>1.1599999999999999</v>
      </c>
      <c r="D388" s="15" t="s">
        <v>399</v>
      </c>
      <c r="E388" s="13" t="s">
        <v>15</v>
      </c>
      <c r="F388" s="16">
        <v>2</v>
      </c>
      <c r="G388" s="17">
        <f>ROUND(4133125,0)</f>
        <v>4133125</v>
      </c>
      <c r="H388" s="17">
        <f t="shared" si="15"/>
        <v>8266250</v>
      </c>
    </row>
    <row r="389" spans="2:11" ht="41.5" customHeight="1" x14ac:dyDescent="0.15">
      <c r="B389" s="13" t="s">
        <v>400</v>
      </c>
      <c r="C389" s="14">
        <v>1.17</v>
      </c>
      <c r="D389" s="15" t="s">
        <v>401</v>
      </c>
      <c r="E389" s="13" t="s">
        <v>15</v>
      </c>
      <c r="F389" s="16">
        <v>1</v>
      </c>
      <c r="G389" s="17">
        <f>ROUND(4629138,0)</f>
        <v>4629138</v>
      </c>
      <c r="H389" s="17">
        <f t="shared" si="15"/>
        <v>4629138</v>
      </c>
    </row>
    <row r="390" spans="2:11" ht="82.75" customHeight="1" x14ac:dyDescent="0.15">
      <c r="B390" s="13" t="s">
        <v>402</v>
      </c>
      <c r="C390" s="14">
        <v>1.18</v>
      </c>
      <c r="D390" s="15" t="s">
        <v>403</v>
      </c>
      <c r="E390" s="13" t="s">
        <v>15</v>
      </c>
      <c r="F390" s="16">
        <v>2</v>
      </c>
      <c r="G390" s="17">
        <f>ROUND(7274330,0)</f>
        <v>7274330</v>
      </c>
      <c r="H390" s="17">
        <f t="shared" si="15"/>
        <v>14548660</v>
      </c>
    </row>
    <row r="391" spans="2:11" x14ac:dyDescent="0.15">
      <c r="B391" s="23"/>
      <c r="C391" s="24"/>
      <c r="D391" s="25" t="s">
        <v>270</v>
      </c>
      <c r="E391" s="23"/>
      <c r="F391" s="23"/>
      <c r="G391" s="23"/>
      <c r="H391" s="23"/>
    </row>
    <row r="392" spans="2:11" x14ac:dyDescent="0.15">
      <c r="B392" s="18"/>
      <c r="C392" s="19">
        <v>1</v>
      </c>
      <c r="D392" s="20" t="s">
        <v>357</v>
      </c>
      <c r="E392" s="18"/>
      <c r="F392" s="18"/>
      <c r="G392" s="18"/>
      <c r="H392" s="18"/>
    </row>
    <row r="393" spans="2:11" ht="124.25" customHeight="1" x14ac:dyDescent="0.15">
      <c r="B393" s="13" t="s">
        <v>404</v>
      </c>
      <c r="C393" s="14">
        <v>1.01</v>
      </c>
      <c r="D393" s="15" t="s">
        <v>405</v>
      </c>
      <c r="E393" s="13" t="s">
        <v>15</v>
      </c>
      <c r="F393" s="16">
        <v>3</v>
      </c>
      <c r="G393" s="17">
        <f>ROUND(3802661,0)</f>
        <v>3802661</v>
      </c>
      <c r="H393" s="17">
        <f t="shared" ref="H393:H398" si="16">IFERROR(ROUND(F393*G393,0),0)</f>
        <v>11407983</v>
      </c>
    </row>
    <row r="394" spans="2:11" ht="96.5" customHeight="1" x14ac:dyDescent="0.15">
      <c r="B394" s="13" t="s">
        <v>406</v>
      </c>
      <c r="C394" s="14">
        <v>1.02</v>
      </c>
      <c r="D394" s="15" t="s">
        <v>407</v>
      </c>
      <c r="E394" s="13" t="s">
        <v>15</v>
      </c>
      <c r="F394" s="16">
        <v>3</v>
      </c>
      <c r="G394" s="17">
        <f>ROUND(1818609,0)</f>
        <v>1818609</v>
      </c>
      <c r="H394" s="17">
        <f t="shared" si="16"/>
        <v>5455827</v>
      </c>
    </row>
    <row r="395" spans="2:11" ht="27.5" customHeight="1" x14ac:dyDescent="0.15">
      <c r="B395" s="13" t="s">
        <v>408</v>
      </c>
      <c r="C395" s="14">
        <v>1.03</v>
      </c>
      <c r="D395" s="15" t="s">
        <v>361</v>
      </c>
      <c r="E395" s="13" t="s">
        <v>15</v>
      </c>
      <c r="F395" s="16">
        <v>1</v>
      </c>
      <c r="G395" s="17">
        <f>ROUND(2910875,0)</f>
        <v>2910875</v>
      </c>
      <c r="H395" s="17">
        <f t="shared" si="16"/>
        <v>2910875</v>
      </c>
    </row>
    <row r="396" spans="2:11" ht="82.75" customHeight="1" x14ac:dyDescent="0.15">
      <c r="B396" s="13" t="s">
        <v>409</v>
      </c>
      <c r="C396" s="14">
        <v>1.04</v>
      </c>
      <c r="D396" s="15" t="s">
        <v>365</v>
      </c>
      <c r="E396" s="13" t="s">
        <v>15</v>
      </c>
      <c r="F396" s="16">
        <v>2</v>
      </c>
      <c r="G396" s="17">
        <f>ROUND(6943654,0)</f>
        <v>6943654</v>
      </c>
      <c r="H396" s="17">
        <f t="shared" si="16"/>
        <v>13887308</v>
      </c>
    </row>
    <row r="397" spans="2:11" ht="55.25" customHeight="1" x14ac:dyDescent="0.15">
      <c r="B397" s="26" t="s">
        <v>410</v>
      </c>
      <c r="C397" s="27">
        <v>1.05</v>
      </c>
      <c r="D397" s="28" t="s">
        <v>367</v>
      </c>
      <c r="E397" s="26" t="s">
        <v>15</v>
      </c>
      <c r="F397" s="29">
        <v>1</v>
      </c>
      <c r="G397" s="30">
        <f>ROUND(2397185,0)</f>
        <v>2397185</v>
      </c>
      <c r="H397" s="30">
        <f t="shared" si="16"/>
        <v>2397185</v>
      </c>
    </row>
    <row r="398" spans="2:11" ht="55.25" customHeight="1" x14ac:dyDescent="0.15">
      <c r="B398" s="13" t="s">
        <v>411</v>
      </c>
      <c r="C398" s="14">
        <v>1.06</v>
      </c>
      <c r="D398" s="15" t="s">
        <v>412</v>
      </c>
      <c r="E398" s="13" t="s">
        <v>15</v>
      </c>
      <c r="F398" s="16">
        <v>3</v>
      </c>
      <c r="G398" s="17">
        <f>ROUND(1818609,0)</f>
        <v>1818609</v>
      </c>
      <c r="H398" s="17">
        <f t="shared" si="16"/>
        <v>5455827</v>
      </c>
    </row>
    <row r="399" spans="2:11" x14ac:dyDescent="0.15">
      <c r="B399" s="31"/>
      <c r="C399" s="32"/>
      <c r="D399" s="33"/>
      <c r="E399" s="31"/>
      <c r="F399" s="34"/>
      <c r="G399" s="35"/>
      <c r="H399" s="35"/>
    </row>
    <row r="400" spans="2:11" ht="15" x14ac:dyDescent="0.15">
      <c r="B400" s="36"/>
      <c r="C400" s="37" t="s">
        <v>413</v>
      </c>
      <c r="D400" s="38" t="s">
        <v>414</v>
      </c>
      <c r="E400" s="39"/>
      <c r="F400" s="36"/>
      <c r="G400" s="36"/>
      <c r="H400" s="36"/>
      <c r="I400" s="21"/>
      <c r="J400" s="21"/>
      <c r="K400" s="21"/>
    </row>
    <row r="401" spans="2:8" ht="151.75" customHeight="1" x14ac:dyDescent="0.15">
      <c r="B401" s="13" t="s">
        <v>415</v>
      </c>
      <c r="C401" s="14">
        <v>1.07</v>
      </c>
      <c r="D401" s="15" t="s">
        <v>416</v>
      </c>
      <c r="E401" s="13" t="s">
        <v>15</v>
      </c>
      <c r="F401" s="16">
        <v>1</v>
      </c>
      <c r="G401" s="17">
        <f>ROUND(31219576.99,0)</f>
        <v>31219577</v>
      </c>
      <c r="H401" s="17">
        <f>IFERROR(ROUND(F401*G401,0),0)</f>
        <v>31219577</v>
      </c>
    </row>
    <row r="402" spans="2:8" ht="15" x14ac:dyDescent="0.2">
      <c r="B402" s="103" t="s">
        <v>417</v>
      </c>
      <c r="C402" s="95"/>
      <c r="D402" s="95"/>
      <c r="E402" s="95"/>
      <c r="F402" s="95"/>
      <c r="G402" s="96"/>
      <c r="H402" s="22">
        <f>SUM(H364:H401)</f>
        <v>287610618</v>
      </c>
    </row>
    <row r="404" spans="2:8" ht="15" x14ac:dyDescent="0.15">
      <c r="B404" s="9"/>
      <c r="C404" s="9"/>
      <c r="D404" s="10" t="s">
        <v>418</v>
      </c>
      <c r="E404" s="10"/>
      <c r="F404" s="10"/>
      <c r="G404" s="10"/>
      <c r="H404" s="10"/>
    </row>
    <row r="405" spans="2:8" x14ac:dyDescent="0.15">
      <c r="B405" s="38"/>
      <c r="C405" s="40" t="s">
        <v>419</v>
      </c>
      <c r="D405" s="25" t="s">
        <v>420</v>
      </c>
      <c r="E405" s="38"/>
      <c r="F405" s="38"/>
      <c r="G405" s="38"/>
      <c r="H405" s="38"/>
    </row>
    <row r="406" spans="2:8" ht="96.5" customHeight="1" x14ac:dyDescent="0.15">
      <c r="B406" s="13" t="s">
        <v>421</v>
      </c>
      <c r="C406" s="41">
        <v>1.01</v>
      </c>
      <c r="D406" s="42" t="s">
        <v>422</v>
      </c>
      <c r="E406" s="43" t="s">
        <v>15</v>
      </c>
      <c r="F406" s="44">
        <v>2</v>
      </c>
      <c r="G406" s="17">
        <f>ROUND(2626645/1.42,0)</f>
        <v>1849750</v>
      </c>
      <c r="H406" s="17">
        <f t="shared" ref="H406:H418" si="17">IFERROR(ROUND(F406*G406,0),0)</f>
        <v>3699500</v>
      </c>
    </row>
    <row r="407" spans="2:8" ht="96.5" customHeight="1" x14ac:dyDescent="0.15">
      <c r="B407" s="13" t="s">
        <v>423</v>
      </c>
      <c r="C407" s="41">
        <v>1.02</v>
      </c>
      <c r="D407" s="42" t="s">
        <v>424</v>
      </c>
      <c r="E407" s="43" t="s">
        <v>15</v>
      </c>
      <c r="F407" s="44">
        <v>2</v>
      </c>
      <c r="G407" s="17">
        <f>ROUND(2626645/1.42,0)</f>
        <v>1849750</v>
      </c>
      <c r="H407" s="17">
        <f t="shared" si="17"/>
        <v>3699500</v>
      </c>
    </row>
    <row r="408" spans="2:8" ht="96.5" customHeight="1" x14ac:dyDescent="0.15">
      <c r="B408" s="13" t="s">
        <v>425</v>
      </c>
      <c r="C408" s="41">
        <v>1.03</v>
      </c>
      <c r="D408" s="42" t="s">
        <v>426</v>
      </c>
      <c r="E408" s="43" t="s">
        <v>15</v>
      </c>
      <c r="F408" s="44">
        <v>2</v>
      </c>
      <c r="G408" s="17">
        <f>ROUND(2626645/1.42,0)</f>
        <v>1849750</v>
      </c>
      <c r="H408" s="17">
        <f t="shared" si="17"/>
        <v>3699500</v>
      </c>
    </row>
    <row r="409" spans="2:8" ht="110.5" customHeight="1" x14ac:dyDescent="0.15">
      <c r="B409" s="13" t="s">
        <v>427</v>
      </c>
      <c r="C409" s="41">
        <v>1.04</v>
      </c>
      <c r="D409" s="42" t="s">
        <v>428</v>
      </c>
      <c r="E409" s="43" t="s">
        <v>15</v>
      </c>
      <c r="F409" s="44">
        <v>2</v>
      </c>
      <c r="G409" s="17">
        <f>ROUND(2626645/1.42,0)</f>
        <v>1849750</v>
      </c>
      <c r="H409" s="17">
        <f t="shared" si="17"/>
        <v>3699500</v>
      </c>
    </row>
    <row r="410" spans="2:8" ht="55.25" customHeight="1" x14ac:dyDescent="0.15">
      <c r="B410" s="13" t="s">
        <v>429</v>
      </c>
      <c r="C410" s="41">
        <v>1.05</v>
      </c>
      <c r="D410" s="42" t="s">
        <v>430</v>
      </c>
      <c r="E410" s="43" t="s">
        <v>15</v>
      </c>
      <c r="F410" s="44">
        <v>1</v>
      </c>
      <c r="G410" s="17">
        <f>ROUND(2908071/1.42,0)</f>
        <v>2047937</v>
      </c>
      <c r="H410" s="17">
        <f t="shared" si="17"/>
        <v>2047937</v>
      </c>
    </row>
    <row r="411" spans="2:8" ht="55.25" customHeight="1" x14ac:dyDescent="0.15">
      <c r="B411" s="13" t="s">
        <v>431</v>
      </c>
      <c r="C411" s="41">
        <v>1.06</v>
      </c>
      <c r="D411" s="42" t="s">
        <v>432</v>
      </c>
      <c r="E411" s="43" t="s">
        <v>15</v>
      </c>
      <c r="F411" s="44">
        <v>1</v>
      </c>
      <c r="G411" s="17">
        <f>ROUND(2908071/1.42,0)</f>
        <v>2047937</v>
      </c>
      <c r="H411" s="17">
        <f t="shared" si="17"/>
        <v>2047937</v>
      </c>
    </row>
    <row r="412" spans="2:8" ht="55.25" customHeight="1" x14ac:dyDescent="0.15">
      <c r="B412" s="13" t="s">
        <v>433</v>
      </c>
      <c r="C412" s="41">
        <v>1.07</v>
      </c>
      <c r="D412" s="42" t="s">
        <v>434</v>
      </c>
      <c r="E412" s="43" t="s">
        <v>15</v>
      </c>
      <c r="F412" s="44">
        <v>2</v>
      </c>
      <c r="G412" s="17">
        <f>ROUND(2908071/1.42,0)</f>
        <v>2047937</v>
      </c>
      <c r="H412" s="17">
        <f t="shared" si="17"/>
        <v>4095874</v>
      </c>
    </row>
    <row r="413" spans="2:8" ht="55.25" customHeight="1" x14ac:dyDescent="0.15">
      <c r="B413" s="13" t="s">
        <v>435</v>
      </c>
      <c r="C413" s="41">
        <v>1.08</v>
      </c>
      <c r="D413" s="42" t="s">
        <v>436</v>
      </c>
      <c r="E413" s="43" t="s">
        <v>15</v>
      </c>
      <c r="F413" s="44">
        <v>1</v>
      </c>
      <c r="G413" s="17">
        <f>ROUND(2908071/1.42,0)</f>
        <v>2047937</v>
      </c>
      <c r="H413" s="17">
        <f t="shared" si="17"/>
        <v>2047937</v>
      </c>
    </row>
    <row r="414" spans="2:8" ht="41.5" customHeight="1" x14ac:dyDescent="0.15">
      <c r="B414" s="13" t="s">
        <v>437</v>
      </c>
      <c r="C414" s="41">
        <v>1.0900000000000001</v>
      </c>
      <c r="D414" s="42" t="s">
        <v>438</v>
      </c>
      <c r="E414" s="43" t="s">
        <v>15</v>
      </c>
      <c r="F414" s="44">
        <v>1</v>
      </c>
      <c r="G414" s="17">
        <f>ROUND(1992648/1.42,0)</f>
        <v>1403273</v>
      </c>
      <c r="H414" s="17">
        <f t="shared" si="17"/>
        <v>1403273</v>
      </c>
    </row>
    <row r="415" spans="2:8" ht="41.5" customHeight="1" x14ac:dyDescent="0.15">
      <c r="B415" s="13" t="s">
        <v>439</v>
      </c>
      <c r="C415" s="41">
        <v>1.1000000000000001</v>
      </c>
      <c r="D415" s="42" t="s">
        <v>440</v>
      </c>
      <c r="E415" s="43" t="s">
        <v>15</v>
      </c>
      <c r="F415" s="44">
        <v>1</v>
      </c>
      <c r="G415" s="17">
        <f>ROUND(1992648/1.42,0)</f>
        <v>1403273</v>
      </c>
      <c r="H415" s="17">
        <f t="shared" si="17"/>
        <v>1403273</v>
      </c>
    </row>
    <row r="416" spans="2:8" ht="41.5" customHeight="1" x14ac:dyDescent="0.15">
      <c r="B416" s="13" t="s">
        <v>441</v>
      </c>
      <c r="C416" s="41">
        <v>1.1100000000000001</v>
      </c>
      <c r="D416" s="42" t="s">
        <v>442</v>
      </c>
      <c r="E416" s="43" t="s">
        <v>15</v>
      </c>
      <c r="F416" s="44">
        <v>1</v>
      </c>
      <c r="G416" s="17">
        <f>ROUND(1992648/1.42,0)</f>
        <v>1403273</v>
      </c>
      <c r="H416" s="17">
        <f t="shared" si="17"/>
        <v>1403273</v>
      </c>
    </row>
    <row r="417" spans="2:8" ht="41.5" customHeight="1" x14ac:dyDescent="0.15">
      <c r="B417" s="13" t="s">
        <v>443</v>
      </c>
      <c r="C417" s="41">
        <v>1.1200000000000001</v>
      </c>
      <c r="D417" s="42" t="s">
        <v>444</v>
      </c>
      <c r="E417" s="43" t="s">
        <v>15</v>
      </c>
      <c r="F417" s="44">
        <v>1</v>
      </c>
      <c r="G417" s="17">
        <f>ROUND(1992648/1.42,0)</f>
        <v>1403273</v>
      </c>
      <c r="H417" s="17">
        <f t="shared" si="17"/>
        <v>1403273</v>
      </c>
    </row>
    <row r="418" spans="2:8" ht="27.5" customHeight="1" x14ac:dyDescent="0.15">
      <c r="B418" s="13" t="s">
        <v>445</v>
      </c>
      <c r="C418" s="41">
        <v>1.1299999999999999</v>
      </c>
      <c r="D418" s="42" t="s">
        <v>446</v>
      </c>
      <c r="E418" s="43" t="s">
        <v>15</v>
      </c>
      <c r="F418" s="13">
        <v>1</v>
      </c>
      <c r="G418" s="17">
        <f>ROUND(1523754/1.42,0)</f>
        <v>1073066</v>
      </c>
      <c r="H418" s="17">
        <f t="shared" si="17"/>
        <v>1073066</v>
      </c>
    </row>
    <row r="419" spans="2:8" ht="15" x14ac:dyDescent="0.15">
      <c r="B419" s="36"/>
      <c r="C419" s="37" t="s">
        <v>447</v>
      </c>
      <c r="D419" s="45" t="s">
        <v>448</v>
      </c>
      <c r="E419" s="39"/>
      <c r="F419" s="36"/>
      <c r="G419" s="36"/>
      <c r="H419" s="36"/>
    </row>
    <row r="420" spans="2:8" ht="96.5" customHeight="1" x14ac:dyDescent="0.15">
      <c r="B420" s="13" t="s">
        <v>449</v>
      </c>
      <c r="C420" s="8">
        <v>1.01</v>
      </c>
      <c r="D420" s="42" t="s">
        <v>450</v>
      </c>
      <c r="E420" s="43" t="s">
        <v>15</v>
      </c>
      <c r="F420" s="44">
        <v>2</v>
      </c>
      <c r="G420" s="17">
        <f>ROUND(5253290/1.42,0)</f>
        <v>3699500</v>
      </c>
      <c r="H420" s="17">
        <f t="shared" ref="H420:H427" si="18">IFERROR(ROUND(F420*G420,0),0)</f>
        <v>7399000</v>
      </c>
    </row>
    <row r="421" spans="2:8" ht="82.75" customHeight="1" x14ac:dyDescent="0.15">
      <c r="B421" s="13" t="s">
        <v>451</v>
      </c>
      <c r="C421" s="8">
        <v>1.02</v>
      </c>
      <c r="D421" s="42" t="s">
        <v>452</v>
      </c>
      <c r="E421" s="43" t="s">
        <v>15</v>
      </c>
      <c r="F421" s="44">
        <v>2</v>
      </c>
      <c r="G421" s="17">
        <f>ROUND(5253290/1.42,0)</f>
        <v>3699500</v>
      </c>
      <c r="H421" s="17">
        <f t="shared" si="18"/>
        <v>7399000</v>
      </c>
    </row>
    <row r="422" spans="2:8" ht="96.5" customHeight="1" x14ac:dyDescent="0.15">
      <c r="B422" s="13" t="s">
        <v>453</v>
      </c>
      <c r="C422" s="8">
        <v>1.03</v>
      </c>
      <c r="D422" s="42" t="s">
        <v>454</v>
      </c>
      <c r="E422" s="43" t="s">
        <v>15</v>
      </c>
      <c r="F422" s="44">
        <v>2</v>
      </c>
      <c r="G422" s="17">
        <f>ROUND(10561064/1.42,0)</f>
        <v>7437369</v>
      </c>
      <c r="H422" s="17">
        <f t="shared" si="18"/>
        <v>14874738</v>
      </c>
    </row>
    <row r="423" spans="2:8" ht="55.25" customHeight="1" x14ac:dyDescent="0.15">
      <c r="B423" s="13" t="s">
        <v>455</v>
      </c>
      <c r="C423" s="8">
        <v>1.04</v>
      </c>
      <c r="D423" s="42" t="s">
        <v>456</v>
      </c>
      <c r="E423" s="43" t="s">
        <v>15</v>
      </c>
      <c r="F423" s="44">
        <v>1</v>
      </c>
      <c r="G423" s="17">
        <f>ROUND(5964000/1.42,0)</f>
        <v>4200000</v>
      </c>
      <c r="H423" s="17">
        <f t="shared" si="18"/>
        <v>4200000</v>
      </c>
    </row>
    <row r="424" spans="2:8" ht="69" customHeight="1" x14ac:dyDescent="0.15">
      <c r="B424" s="13" t="s">
        <v>457</v>
      </c>
      <c r="C424" s="8">
        <v>1.05</v>
      </c>
      <c r="D424" s="42" t="s">
        <v>458</v>
      </c>
      <c r="E424" s="43" t="s">
        <v>15</v>
      </c>
      <c r="F424" s="44">
        <v>1</v>
      </c>
      <c r="G424" s="17">
        <f>ROUND(9743652/1.42,0)</f>
        <v>6861727</v>
      </c>
      <c r="H424" s="17">
        <f t="shared" si="18"/>
        <v>6861727</v>
      </c>
    </row>
    <row r="425" spans="2:8" ht="41.5" customHeight="1" x14ac:dyDescent="0.15">
      <c r="B425" s="13" t="s">
        <v>459</v>
      </c>
      <c r="C425" s="8">
        <v>1.06</v>
      </c>
      <c r="D425" s="42" t="s">
        <v>460</v>
      </c>
      <c r="E425" s="43" t="s">
        <v>15</v>
      </c>
      <c r="F425" s="44">
        <v>1</v>
      </c>
      <c r="G425" s="17">
        <f>ROUND(1992648/1.42,0)</f>
        <v>1403273</v>
      </c>
      <c r="H425" s="17">
        <f t="shared" si="18"/>
        <v>1403273</v>
      </c>
    </row>
    <row r="426" spans="2:8" ht="41.5" customHeight="1" x14ac:dyDescent="0.15">
      <c r="B426" s="13" t="s">
        <v>461</v>
      </c>
      <c r="C426" s="8">
        <v>1.07</v>
      </c>
      <c r="D426" s="42" t="s">
        <v>462</v>
      </c>
      <c r="E426" s="43" t="s">
        <v>15</v>
      </c>
      <c r="F426" s="44">
        <v>1</v>
      </c>
      <c r="G426" s="17">
        <f>ROUND(1992648/1.42,0)</f>
        <v>1403273</v>
      </c>
      <c r="H426" s="17">
        <f t="shared" si="18"/>
        <v>1403273</v>
      </c>
    </row>
    <row r="427" spans="2:8" ht="55.25" customHeight="1" x14ac:dyDescent="0.15">
      <c r="B427" s="13" t="s">
        <v>463</v>
      </c>
      <c r="C427" s="8">
        <v>1.08</v>
      </c>
      <c r="D427" s="42" t="s">
        <v>464</v>
      </c>
      <c r="E427" s="43" t="s">
        <v>15</v>
      </c>
      <c r="F427" s="44">
        <v>1</v>
      </c>
      <c r="G427" s="17">
        <f>ROUND(2988972/1.42,0)</f>
        <v>2104910</v>
      </c>
      <c r="H427" s="17">
        <f t="shared" si="18"/>
        <v>2104910</v>
      </c>
    </row>
    <row r="428" spans="2:8" ht="15" x14ac:dyDescent="0.15">
      <c r="B428" s="9"/>
      <c r="C428" s="9"/>
      <c r="D428" s="10" t="s">
        <v>465</v>
      </c>
      <c r="E428" s="9"/>
      <c r="F428" s="9"/>
      <c r="G428" s="9"/>
      <c r="H428" s="9"/>
    </row>
    <row r="429" spans="2:8" ht="15" x14ac:dyDescent="0.15">
      <c r="B429" s="36"/>
      <c r="C429" s="40" t="s">
        <v>466</v>
      </c>
      <c r="D429" s="45" t="s">
        <v>467</v>
      </c>
      <c r="E429" s="39"/>
      <c r="F429" s="36"/>
      <c r="G429" s="36"/>
      <c r="H429" s="36"/>
    </row>
    <row r="430" spans="2:8" ht="96.5" customHeight="1" x14ac:dyDescent="0.15">
      <c r="B430" s="13" t="s">
        <v>468</v>
      </c>
      <c r="C430" s="41">
        <v>1.01</v>
      </c>
      <c r="D430" s="42" t="s">
        <v>469</v>
      </c>
      <c r="E430" s="43" t="s">
        <v>15</v>
      </c>
      <c r="F430" s="44">
        <v>2</v>
      </c>
      <c r="G430" s="17">
        <f>ROUND(1816888/1.42,0)</f>
        <v>1279499</v>
      </c>
      <c r="H430" s="17">
        <f t="shared" ref="H430:H435" si="19">IFERROR(ROUND(F430*G430,0),0)</f>
        <v>2558998</v>
      </c>
    </row>
    <row r="431" spans="2:8" ht="41.5" customHeight="1" x14ac:dyDescent="0.15">
      <c r="B431" s="13" t="s">
        <v>470</v>
      </c>
      <c r="C431" s="41">
        <v>1.02</v>
      </c>
      <c r="D431" s="42" t="s">
        <v>471</v>
      </c>
      <c r="E431" s="43" t="s">
        <v>15</v>
      </c>
      <c r="F431" s="44">
        <v>1</v>
      </c>
      <c r="G431" s="17">
        <f>ROUND(1523754/1.42,0)</f>
        <v>1073066</v>
      </c>
      <c r="H431" s="17">
        <f t="shared" si="19"/>
        <v>1073066</v>
      </c>
    </row>
    <row r="432" spans="2:8" ht="27.5" customHeight="1" x14ac:dyDescent="0.15">
      <c r="B432" s="13" t="s">
        <v>472</v>
      </c>
      <c r="C432" s="41">
        <v>1.03</v>
      </c>
      <c r="D432" s="42" t="s">
        <v>473</v>
      </c>
      <c r="E432" s="43" t="s">
        <v>15</v>
      </c>
      <c r="F432" s="44">
        <v>1</v>
      </c>
      <c r="G432" s="17">
        <f>ROUND(6003760/1.42,0)</f>
        <v>4228000</v>
      </c>
      <c r="H432" s="17">
        <f t="shared" si="19"/>
        <v>4228000</v>
      </c>
    </row>
    <row r="433" spans="2:8" ht="82.75" customHeight="1" x14ac:dyDescent="0.15">
      <c r="B433" s="13" t="s">
        <v>474</v>
      </c>
      <c r="C433" s="41">
        <v>1.04</v>
      </c>
      <c r="D433" s="42" t="s">
        <v>475</v>
      </c>
      <c r="E433" s="43" t="s">
        <v>15</v>
      </c>
      <c r="F433" s="44">
        <v>2</v>
      </c>
      <c r="G433" s="17">
        <f>ROUND(9846016/1.42,0)</f>
        <v>6933814</v>
      </c>
      <c r="H433" s="17">
        <f t="shared" si="19"/>
        <v>13867628</v>
      </c>
    </row>
    <row r="434" spans="2:8" ht="27.5" customHeight="1" x14ac:dyDescent="0.15">
      <c r="B434" s="13" t="s">
        <v>476</v>
      </c>
      <c r="C434" s="41">
        <v>1.05</v>
      </c>
      <c r="D434" s="42" t="s">
        <v>363</v>
      </c>
      <c r="E434" s="43" t="s">
        <v>15</v>
      </c>
      <c r="F434" s="13">
        <v>1</v>
      </c>
      <c r="G434" s="17">
        <f>ROUND(1758201/1.42,0)</f>
        <v>1238170</v>
      </c>
      <c r="H434" s="17">
        <f t="shared" si="19"/>
        <v>1238170</v>
      </c>
    </row>
    <row r="435" spans="2:8" ht="41.5" customHeight="1" x14ac:dyDescent="0.15">
      <c r="B435" s="13" t="s">
        <v>477</v>
      </c>
      <c r="C435" s="41">
        <v>1.06</v>
      </c>
      <c r="D435" s="42" t="s">
        <v>478</v>
      </c>
      <c r="E435" s="43" t="s">
        <v>15</v>
      </c>
      <c r="F435" s="44">
        <v>3</v>
      </c>
      <c r="G435" s="17">
        <f>ROUND(750470/1.42,0)</f>
        <v>528500</v>
      </c>
      <c r="H435" s="17">
        <f t="shared" si="19"/>
        <v>1585500</v>
      </c>
    </row>
    <row r="436" spans="2:8" ht="15" x14ac:dyDescent="0.15">
      <c r="B436" s="36"/>
      <c r="C436" s="37" t="s">
        <v>479</v>
      </c>
      <c r="D436" s="45" t="s">
        <v>480</v>
      </c>
      <c r="E436" s="39"/>
      <c r="F436" s="36"/>
      <c r="G436" s="36"/>
      <c r="H436" s="36"/>
    </row>
    <row r="437" spans="2:8" ht="27.5" customHeight="1" x14ac:dyDescent="0.15">
      <c r="B437" s="13" t="s">
        <v>481</v>
      </c>
      <c r="C437" s="41">
        <v>1.01</v>
      </c>
      <c r="D437" s="42" t="s">
        <v>473</v>
      </c>
      <c r="E437" s="43" t="s">
        <v>15</v>
      </c>
      <c r="F437" s="44">
        <v>1</v>
      </c>
      <c r="G437" s="17">
        <f>ROUND(9288417/1.42,0)</f>
        <v>6541139</v>
      </c>
      <c r="H437" s="17">
        <f>IFERROR(ROUND(F437*G437,0),0)</f>
        <v>6541139</v>
      </c>
    </row>
    <row r="438" spans="2:8" ht="82.75" customHeight="1" x14ac:dyDescent="0.15">
      <c r="B438" s="13" t="s">
        <v>482</v>
      </c>
      <c r="C438" s="41">
        <v>1.02</v>
      </c>
      <c r="D438" s="42" t="s">
        <v>475</v>
      </c>
      <c r="E438" s="43" t="s">
        <v>15</v>
      </c>
      <c r="F438" s="44">
        <v>2</v>
      </c>
      <c r="G438" s="17">
        <f>ROUND(9963240/1.42,0)</f>
        <v>7016366</v>
      </c>
      <c r="H438" s="17">
        <f>IFERROR(ROUND(F438*G438,0),0)</f>
        <v>14032732</v>
      </c>
    </row>
    <row r="439" spans="2:8" ht="41.5" customHeight="1" x14ac:dyDescent="0.15">
      <c r="B439" s="13" t="s">
        <v>483</v>
      </c>
      <c r="C439" s="41">
        <v>1.03</v>
      </c>
      <c r="D439" s="42" t="s">
        <v>484</v>
      </c>
      <c r="E439" s="43" t="s">
        <v>15</v>
      </c>
      <c r="F439" s="44">
        <v>2</v>
      </c>
      <c r="G439" s="17">
        <f>ROUND(2908071/1.42,0)</f>
        <v>2047937</v>
      </c>
      <c r="H439" s="17">
        <f>IFERROR(ROUND(F439*G439,0),0)</f>
        <v>4095874</v>
      </c>
    </row>
    <row r="440" spans="2:8" ht="15" x14ac:dyDescent="0.15">
      <c r="B440" s="36"/>
      <c r="C440" s="37" t="s">
        <v>485</v>
      </c>
      <c r="D440" s="45" t="s">
        <v>486</v>
      </c>
      <c r="E440" s="39"/>
      <c r="F440" s="36"/>
      <c r="G440" s="36"/>
      <c r="H440" s="36"/>
    </row>
    <row r="441" spans="2:8" ht="138" customHeight="1" x14ac:dyDescent="0.15">
      <c r="B441" s="13" t="s">
        <v>487</v>
      </c>
      <c r="C441" s="41">
        <v>1.01</v>
      </c>
      <c r="D441" s="42" t="s">
        <v>488</v>
      </c>
      <c r="E441" s="43" t="s">
        <v>15</v>
      </c>
      <c r="F441" s="44">
        <v>3</v>
      </c>
      <c r="G441" s="17">
        <f>ROUND(4204883/1.42,0)</f>
        <v>2961185</v>
      </c>
      <c r="H441" s="17">
        <f>IFERROR(ROUND(F441*G441,0),0)</f>
        <v>8883555</v>
      </c>
    </row>
    <row r="442" spans="2:8" ht="124.25" customHeight="1" x14ac:dyDescent="0.15">
      <c r="B442" s="13" t="s">
        <v>489</v>
      </c>
      <c r="C442" s="41">
        <v>1.02</v>
      </c>
      <c r="D442" s="42" t="s">
        <v>490</v>
      </c>
      <c r="E442" s="43" t="s">
        <v>15</v>
      </c>
      <c r="F442" s="44">
        <v>3</v>
      </c>
      <c r="G442" s="17">
        <f>ROUND(3184244/1.42,0)</f>
        <v>2242425</v>
      </c>
      <c r="H442" s="17">
        <f>IFERROR(ROUND(F442*G442,0),0)</f>
        <v>6727275</v>
      </c>
    </row>
    <row r="443" spans="2:8" ht="55.25" customHeight="1" x14ac:dyDescent="0.15">
      <c r="B443" s="13" t="s">
        <v>491</v>
      </c>
      <c r="C443" s="41">
        <v>1.03</v>
      </c>
      <c r="D443" s="42" t="s">
        <v>492</v>
      </c>
      <c r="E443" s="43" t="s">
        <v>15</v>
      </c>
      <c r="F443" s="44">
        <v>1</v>
      </c>
      <c r="G443" s="17">
        <f>ROUND(2930285/1.42,0)</f>
        <v>2063581</v>
      </c>
      <c r="H443" s="17">
        <f>IFERROR(ROUND(F443*G443,0),0)</f>
        <v>2063581</v>
      </c>
    </row>
    <row r="444" spans="2:8" ht="15" x14ac:dyDescent="0.15">
      <c r="B444" s="36"/>
      <c r="C444" s="37" t="s">
        <v>493</v>
      </c>
      <c r="D444" s="38" t="s">
        <v>494</v>
      </c>
      <c r="E444" s="39"/>
      <c r="F444" s="36"/>
      <c r="G444" s="36"/>
      <c r="H444" s="36"/>
    </row>
    <row r="445" spans="2:8" ht="110.5" customHeight="1" x14ac:dyDescent="0.15">
      <c r="B445" s="13" t="s">
        <v>495</v>
      </c>
      <c r="C445" s="8">
        <v>1.01</v>
      </c>
      <c r="D445" s="42" t="s">
        <v>496</v>
      </c>
      <c r="E445" s="43" t="s">
        <v>15</v>
      </c>
      <c r="F445" s="44">
        <v>2</v>
      </c>
      <c r="G445" s="17">
        <f>ROUND(2168408/1.42,0)</f>
        <v>1527048</v>
      </c>
      <c r="H445" s="17">
        <f t="shared" ref="H445:H450" si="20">IFERROR(ROUND(F445*G445,0),0)</f>
        <v>3054096</v>
      </c>
    </row>
    <row r="446" spans="2:8" ht="69" customHeight="1" x14ac:dyDescent="0.15">
      <c r="B446" s="13" t="s">
        <v>497</v>
      </c>
      <c r="C446" s="8">
        <v>1.02</v>
      </c>
      <c r="D446" s="42" t="s">
        <v>498</v>
      </c>
      <c r="E446" s="43" t="s">
        <v>15</v>
      </c>
      <c r="F446" s="44">
        <v>1</v>
      </c>
      <c r="G446" s="17">
        <f>ROUND(2930285/1.42,0)</f>
        <v>2063581</v>
      </c>
      <c r="H446" s="17">
        <f t="shared" si="20"/>
        <v>2063581</v>
      </c>
    </row>
    <row r="447" spans="2:8" ht="27.5" customHeight="1" x14ac:dyDescent="0.15">
      <c r="B447" s="13" t="s">
        <v>499</v>
      </c>
      <c r="C447" s="8">
        <v>1.03</v>
      </c>
      <c r="D447" s="42" t="s">
        <v>500</v>
      </c>
      <c r="E447" s="43" t="s">
        <v>15</v>
      </c>
      <c r="F447" s="44">
        <v>1</v>
      </c>
      <c r="G447" s="17">
        <f>ROUND(2307695/1.42,0)</f>
        <v>1625137</v>
      </c>
      <c r="H447" s="17">
        <f t="shared" si="20"/>
        <v>1625137</v>
      </c>
    </row>
    <row r="448" spans="2:8" ht="82.75" customHeight="1" x14ac:dyDescent="0.15">
      <c r="B448" s="13" t="s">
        <v>501</v>
      </c>
      <c r="C448" s="8">
        <v>1.04</v>
      </c>
      <c r="D448" s="42" t="s">
        <v>475</v>
      </c>
      <c r="E448" s="43" t="s">
        <v>15</v>
      </c>
      <c r="F448" s="44">
        <v>2</v>
      </c>
      <c r="G448" s="17">
        <f>ROUND(9846016/1.42,0)</f>
        <v>6933814</v>
      </c>
      <c r="H448" s="17">
        <f t="shared" si="20"/>
        <v>13867628</v>
      </c>
    </row>
    <row r="449" spans="2:8" ht="124.25" customHeight="1" x14ac:dyDescent="0.15">
      <c r="B449" s="13" t="s">
        <v>502</v>
      </c>
      <c r="C449" s="8">
        <v>1.05</v>
      </c>
      <c r="D449" s="42" t="s">
        <v>503</v>
      </c>
      <c r="E449" s="43" t="s">
        <v>15</v>
      </c>
      <c r="F449" s="44">
        <v>2</v>
      </c>
      <c r="G449" s="17">
        <f>ROUND(4318204/1.42,0)</f>
        <v>3040989</v>
      </c>
      <c r="H449" s="17">
        <f t="shared" si="20"/>
        <v>6081978</v>
      </c>
    </row>
    <row r="450" spans="2:8" ht="138" customHeight="1" x14ac:dyDescent="0.15">
      <c r="B450" s="13" t="s">
        <v>504</v>
      </c>
      <c r="C450" s="8">
        <v>1.06</v>
      </c>
      <c r="D450" s="42" t="s">
        <v>505</v>
      </c>
      <c r="E450" s="43" t="s">
        <v>15</v>
      </c>
      <c r="F450" s="44">
        <v>2</v>
      </c>
      <c r="G450" s="17">
        <f>ROUND(3540717/1.42,0)</f>
        <v>2493463</v>
      </c>
      <c r="H450" s="17">
        <f t="shared" si="20"/>
        <v>4986926</v>
      </c>
    </row>
    <row r="451" spans="2:8" ht="15" x14ac:dyDescent="0.15">
      <c r="B451" s="36"/>
      <c r="C451" s="37" t="s">
        <v>506</v>
      </c>
      <c r="D451" s="45" t="s">
        <v>507</v>
      </c>
      <c r="E451" s="39"/>
      <c r="F451" s="36"/>
      <c r="G451" s="36"/>
      <c r="H451" s="36"/>
    </row>
    <row r="452" spans="2:8" ht="96.5" customHeight="1" x14ac:dyDescent="0.15">
      <c r="B452" s="13" t="s">
        <v>508</v>
      </c>
      <c r="C452" s="8">
        <v>1.01</v>
      </c>
      <c r="D452" s="42" t="s">
        <v>509</v>
      </c>
      <c r="E452" s="43" t="s">
        <v>15</v>
      </c>
      <c r="F452" s="44">
        <v>3</v>
      </c>
      <c r="G452" s="17">
        <f>ROUND(5417455/1.42,0)</f>
        <v>3815109</v>
      </c>
      <c r="H452" s="17">
        <f>IFERROR(ROUND(F452*G452,0),0)</f>
        <v>11445327</v>
      </c>
    </row>
    <row r="453" spans="2:8" ht="55.25" customHeight="1" x14ac:dyDescent="0.15">
      <c r="B453" s="13" t="s">
        <v>510</v>
      </c>
      <c r="C453" s="8">
        <v>1.02</v>
      </c>
      <c r="D453" s="42" t="s">
        <v>412</v>
      </c>
      <c r="E453" s="43" t="s">
        <v>15</v>
      </c>
      <c r="F453" s="44">
        <v>3</v>
      </c>
      <c r="G453" s="17">
        <f>ROUND(2930285/1.42,0)</f>
        <v>2063581</v>
      </c>
      <c r="H453" s="17">
        <f>IFERROR(ROUND(F453*G453,0),0)</f>
        <v>6190743</v>
      </c>
    </row>
    <row r="454" spans="2:8" ht="15" x14ac:dyDescent="0.15">
      <c r="B454" s="36"/>
      <c r="C454" s="37" t="s">
        <v>511</v>
      </c>
      <c r="D454" s="45" t="s">
        <v>512</v>
      </c>
      <c r="E454" s="39"/>
      <c r="F454" s="36"/>
      <c r="G454" s="36"/>
      <c r="H454" s="36"/>
    </row>
    <row r="455" spans="2:8" ht="96.5" customHeight="1" x14ac:dyDescent="0.15">
      <c r="B455" s="13" t="s">
        <v>513</v>
      </c>
      <c r="C455" s="8">
        <v>1.01</v>
      </c>
      <c r="D455" s="42" t="s">
        <v>514</v>
      </c>
      <c r="E455" s="43" t="s">
        <v>15</v>
      </c>
      <c r="F455" s="44">
        <v>1</v>
      </c>
      <c r="G455" s="17">
        <f>ROUND(11669809/1.42,0)</f>
        <v>8218175</v>
      </c>
      <c r="H455" s="17">
        <f>IFERROR(ROUND(F455*G455,0),0)</f>
        <v>8218175</v>
      </c>
    </row>
    <row r="456" spans="2:8" ht="96.5" customHeight="1" x14ac:dyDescent="0.15">
      <c r="B456" s="13" t="s">
        <v>515</v>
      </c>
      <c r="C456" s="8">
        <v>1.02</v>
      </c>
      <c r="D456" s="42" t="s">
        <v>516</v>
      </c>
      <c r="E456" s="43" t="s">
        <v>15</v>
      </c>
      <c r="F456" s="44">
        <v>1</v>
      </c>
      <c r="G456" s="17">
        <f>ROUND(7191454/1.42,0)</f>
        <v>5064404</v>
      </c>
      <c r="H456" s="17">
        <f>IFERROR(ROUND(F456*G456,0),0)</f>
        <v>5064404</v>
      </c>
    </row>
    <row r="457" spans="2:8" ht="55.25" customHeight="1" x14ac:dyDescent="0.15">
      <c r="B457" s="13" t="s">
        <v>517</v>
      </c>
      <c r="C457" s="8">
        <v>1.03</v>
      </c>
      <c r="D457" s="42" t="s">
        <v>412</v>
      </c>
      <c r="E457" s="43" t="s">
        <v>15</v>
      </c>
      <c r="F457" s="44">
        <v>1</v>
      </c>
      <c r="G457" s="17">
        <f>ROUND(4336966/1.42,0)</f>
        <v>3054201</v>
      </c>
      <c r="H457" s="17">
        <f>IFERROR(ROUND(F457*G457,0),0)</f>
        <v>3054201</v>
      </c>
    </row>
    <row r="458" spans="2:8" ht="27.5" customHeight="1" x14ac:dyDescent="0.15">
      <c r="B458" s="36"/>
      <c r="C458" s="37" t="s">
        <v>518</v>
      </c>
      <c r="D458" s="45" t="s">
        <v>519</v>
      </c>
      <c r="E458" s="39"/>
      <c r="F458" s="36"/>
      <c r="G458" s="36"/>
      <c r="H458" s="36"/>
    </row>
    <row r="459" spans="2:8" ht="96.5" customHeight="1" x14ac:dyDescent="0.15">
      <c r="B459" s="13" t="s">
        <v>520</v>
      </c>
      <c r="C459" s="8">
        <v>1.01</v>
      </c>
      <c r="D459" s="42" t="s">
        <v>521</v>
      </c>
      <c r="E459" s="43" t="s">
        <v>15</v>
      </c>
      <c r="F459" s="44">
        <v>1</v>
      </c>
      <c r="G459" s="17">
        <f>ROUND(10600389/1.42,0)</f>
        <v>7465063</v>
      </c>
      <c r="H459" s="17">
        <f>IFERROR(ROUND(F459*G459,0),0)</f>
        <v>7465063</v>
      </c>
    </row>
    <row r="460" spans="2:8" ht="96.5" customHeight="1" x14ac:dyDescent="0.15">
      <c r="B460" s="13" t="s">
        <v>522</v>
      </c>
      <c r="C460" s="8">
        <v>1.02</v>
      </c>
      <c r="D460" s="42" t="s">
        <v>523</v>
      </c>
      <c r="E460" s="43" t="s">
        <v>15</v>
      </c>
      <c r="F460" s="44">
        <v>1</v>
      </c>
      <c r="G460" s="17">
        <f>ROUND(5253290/1.42,0)</f>
        <v>3699500</v>
      </c>
      <c r="H460" s="17">
        <f>IFERROR(ROUND(F460*G460,0),0)</f>
        <v>3699500</v>
      </c>
    </row>
    <row r="461" spans="2:8" ht="55.25" customHeight="1" x14ac:dyDescent="0.15">
      <c r="B461" s="13" t="s">
        <v>524</v>
      </c>
      <c r="C461" s="8">
        <v>1.03</v>
      </c>
      <c r="D461" s="42" t="s">
        <v>412</v>
      </c>
      <c r="E461" s="43" t="s">
        <v>15</v>
      </c>
      <c r="F461" s="44">
        <v>1</v>
      </c>
      <c r="G461" s="17">
        <f>ROUND(2930285/1.42,0)</f>
        <v>2063581</v>
      </c>
      <c r="H461" s="17">
        <f>IFERROR(ROUND(F461*G461,0),0)</f>
        <v>2063581</v>
      </c>
    </row>
    <row r="462" spans="2:8" ht="27.5" customHeight="1" x14ac:dyDescent="0.15">
      <c r="B462" s="36"/>
      <c r="C462" s="37" t="s">
        <v>525</v>
      </c>
      <c r="D462" s="45" t="s">
        <v>526</v>
      </c>
      <c r="E462" s="39"/>
      <c r="F462" s="36"/>
      <c r="G462" s="36"/>
      <c r="H462" s="36"/>
    </row>
    <row r="463" spans="2:8" ht="96.5" customHeight="1" x14ac:dyDescent="0.15">
      <c r="B463" s="13" t="s">
        <v>527</v>
      </c>
      <c r="C463" s="8">
        <v>1.01</v>
      </c>
      <c r="D463" s="42" t="s">
        <v>528</v>
      </c>
      <c r="E463" s="43" t="s">
        <v>15</v>
      </c>
      <c r="F463" s="44">
        <v>1</v>
      </c>
      <c r="G463" s="17">
        <f>ROUND(3208259/1.42,0)</f>
        <v>2259337</v>
      </c>
      <c r="H463" s="17">
        <f>IFERROR(ROUND(F463*G463,0),0)</f>
        <v>2259337</v>
      </c>
    </row>
    <row r="464" spans="2:8" ht="15" x14ac:dyDescent="0.15">
      <c r="B464" s="36"/>
      <c r="C464" s="37" t="s">
        <v>529</v>
      </c>
      <c r="D464" s="45" t="s">
        <v>530</v>
      </c>
      <c r="E464" s="39"/>
      <c r="F464" s="36"/>
      <c r="G464" s="36"/>
      <c r="H464" s="36"/>
    </row>
    <row r="465" spans="2:11" ht="96.5" customHeight="1" x14ac:dyDescent="0.15">
      <c r="B465" s="13" t="s">
        <v>531</v>
      </c>
      <c r="C465" s="8">
        <v>1.01</v>
      </c>
      <c r="D465" s="42" t="s">
        <v>532</v>
      </c>
      <c r="E465" s="43" t="s">
        <v>15</v>
      </c>
      <c r="F465" s="44">
        <v>1</v>
      </c>
      <c r="G465" s="17">
        <f>ROUND(14183883/1.42,0)</f>
        <v>9988650</v>
      </c>
      <c r="H465" s="17">
        <f>IFERROR(ROUND(F465*G465,0),0)</f>
        <v>9988650</v>
      </c>
    </row>
    <row r="466" spans="2:11" ht="96.5" customHeight="1" x14ac:dyDescent="0.15">
      <c r="B466" s="13" t="s">
        <v>533</v>
      </c>
      <c r="C466" s="8">
        <v>1.02</v>
      </c>
      <c r="D466" s="42" t="s">
        <v>534</v>
      </c>
      <c r="E466" s="43" t="s">
        <v>15</v>
      </c>
      <c r="F466" s="44">
        <v>1</v>
      </c>
      <c r="G466" s="17">
        <f>ROUND(3545971/1.42,0)</f>
        <v>2497163</v>
      </c>
      <c r="H466" s="17">
        <f>IFERROR(ROUND(F466*G466,0),0)</f>
        <v>2497163</v>
      </c>
    </row>
    <row r="467" spans="2:11" ht="55.25" customHeight="1" x14ac:dyDescent="0.15">
      <c r="B467" s="13" t="s">
        <v>535</v>
      </c>
      <c r="C467" s="8">
        <v>1.03</v>
      </c>
      <c r="D467" s="42" t="s">
        <v>412</v>
      </c>
      <c r="E467" s="43" t="s">
        <v>15</v>
      </c>
      <c r="F467" s="44">
        <v>2</v>
      </c>
      <c r="G467" s="17">
        <f>ROUND(5686301/1.42,0)</f>
        <v>4004437</v>
      </c>
      <c r="H467" s="17">
        <f>IFERROR(ROUND(F467*G467,0),0)</f>
        <v>8008874</v>
      </c>
    </row>
    <row r="468" spans="2:11" ht="15" x14ac:dyDescent="0.15">
      <c r="B468" s="9"/>
      <c r="C468" s="9"/>
      <c r="D468" s="10" t="s">
        <v>536</v>
      </c>
      <c r="E468" s="10"/>
      <c r="F468" s="10"/>
      <c r="G468" s="10"/>
      <c r="H468" s="10"/>
    </row>
    <row r="469" spans="2:11" ht="15" x14ac:dyDescent="0.15">
      <c r="B469" s="36"/>
      <c r="C469" s="37" t="s">
        <v>537</v>
      </c>
      <c r="D469" s="45" t="s">
        <v>538</v>
      </c>
      <c r="E469" s="39"/>
      <c r="F469" s="36"/>
      <c r="G469" s="36"/>
      <c r="H469" s="36"/>
    </row>
    <row r="470" spans="2:11" ht="110.5" customHeight="1" x14ac:dyDescent="0.15">
      <c r="B470" s="13" t="s">
        <v>539</v>
      </c>
      <c r="C470" s="8">
        <v>1.01</v>
      </c>
      <c r="D470" s="42" t="s">
        <v>540</v>
      </c>
      <c r="E470" s="43" t="s">
        <v>15</v>
      </c>
      <c r="F470" s="44">
        <v>3</v>
      </c>
      <c r="G470" s="17">
        <f>ROUND(2227095/1.42,0)</f>
        <v>1568377</v>
      </c>
      <c r="H470" s="17">
        <f>IFERROR(ROUND(F470*G470,0),0)</f>
        <v>4705131</v>
      </c>
    </row>
    <row r="471" spans="2:11" ht="69" customHeight="1" x14ac:dyDescent="0.15">
      <c r="B471" s="13" t="s">
        <v>541</v>
      </c>
      <c r="C471" s="8">
        <v>1.02</v>
      </c>
      <c r="D471" s="42" t="s">
        <v>498</v>
      </c>
      <c r="E471" s="43" t="s">
        <v>15</v>
      </c>
      <c r="F471" s="44">
        <v>1</v>
      </c>
      <c r="G471" s="17">
        <f>ROUND(2930285/1.42,0)</f>
        <v>2063581</v>
      </c>
      <c r="H471" s="17">
        <f>IFERROR(ROUND(F471*G471,0),0)</f>
        <v>2063581</v>
      </c>
    </row>
    <row r="472" spans="2:11" ht="27.5" customHeight="1" x14ac:dyDescent="0.15">
      <c r="B472" s="13" t="s">
        <v>542</v>
      </c>
      <c r="C472" s="8">
        <v>1.03</v>
      </c>
      <c r="D472" s="42" t="s">
        <v>473</v>
      </c>
      <c r="E472" s="43" t="s">
        <v>15</v>
      </c>
      <c r="F472" s="44">
        <v>1</v>
      </c>
      <c r="G472" s="17">
        <f>ROUND(5157380/1.42,0)</f>
        <v>3631958</v>
      </c>
      <c r="H472" s="17">
        <f>IFERROR(ROUND(F472*G472,0),0)</f>
        <v>3631958</v>
      </c>
    </row>
    <row r="473" spans="2:11" ht="82.75" customHeight="1" x14ac:dyDescent="0.15">
      <c r="B473" s="13" t="s">
        <v>543</v>
      </c>
      <c r="C473" s="8">
        <v>1.04</v>
      </c>
      <c r="D473" s="42" t="s">
        <v>475</v>
      </c>
      <c r="E473" s="43" t="s">
        <v>15</v>
      </c>
      <c r="F473" s="44">
        <v>2</v>
      </c>
      <c r="G473" s="17">
        <f>ROUND(9846016/1.42,0)</f>
        <v>6933814</v>
      </c>
      <c r="H473" s="17">
        <f>IFERROR(ROUND(F473*G473,0),0)</f>
        <v>13867628</v>
      </c>
    </row>
    <row r="474" spans="2:11" x14ac:dyDescent="0.15">
      <c r="B474" s="31"/>
      <c r="C474" s="46"/>
      <c r="D474" s="47"/>
      <c r="E474" s="48"/>
      <c r="F474" s="49"/>
      <c r="G474" s="35"/>
      <c r="H474" s="35"/>
    </row>
    <row r="475" spans="2:11" ht="15" x14ac:dyDescent="0.15">
      <c r="B475" s="36"/>
      <c r="C475" s="37" t="s">
        <v>544</v>
      </c>
      <c r="D475" s="38" t="s">
        <v>414</v>
      </c>
      <c r="E475" s="39"/>
      <c r="F475" s="36"/>
      <c r="G475" s="36"/>
      <c r="H475" s="36"/>
      <c r="I475" s="21"/>
      <c r="J475" s="21"/>
      <c r="K475" s="21"/>
    </row>
    <row r="476" spans="2:11" ht="151.75" customHeight="1" x14ac:dyDescent="0.15">
      <c r="B476" s="13" t="s">
        <v>545</v>
      </c>
      <c r="C476" s="8">
        <v>1.01</v>
      </c>
      <c r="D476" s="50" t="s">
        <v>546</v>
      </c>
      <c r="E476" s="43" t="s">
        <v>15</v>
      </c>
      <c r="F476" s="44">
        <v>1</v>
      </c>
      <c r="G476" s="17">
        <f>ROUND(44145482/1.42,0)</f>
        <v>31088368</v>
      </c>
      <c r="H476" s="17">
        <f>IFERROR(ROUND(F476*G476,0),0)</f>
        <v>31088368</v>
      </c>
    </row>
    <row r="477" spans="2:11" ht="15" x14ac:dyDescent="0.2">
      <c r="B477" s="103" t="s">
        <v>547</v>
      </c>
      <c r="C477" s="95"/>
      <c r="D477" s="95"/>
      <c r="E477" s="95"/>
      <c r="F477" s="95"/>
      <c r="G477" s="96"/>
      <c r="H477" s="22">
        <f>SUM(H405:H476)</f>
        <v>301256312</v>
      </c>
      <c r="I477" s="21"/>
      <c r="J477" s="21"/>
      <c r="K477" s="21"/>
    </row>
    <row r="478" spans="2:11" x14ac:dyDescent="0.15">
      <c r="I478" s="21"/>
      <c r="J478" s="21"/>
      <c r="K478" s="21"/>
    </row>
    <row r="479" spans="2:11" ht="15" x14ac:dyDescent="0.2">
      <c r="B479" s="103" t="s">
        <v>548</v>
      </c>
      <c r="C479" s="95"/>
      <c r="D479" s="95"/>
      <c r="E479" s="95"/>
      <c r="F479" s="95"/>
      <c r="G479" s="96"/>
      <c r="H479" s="22">
        <f>H360</f>
        <v>1316845765</v>
      </c>
      <c r="I479" s="21"/>
      <c r="J479" s="21"/>
      <c r="K479" s="21"/>
    </row>
    <row r="480" spans="2:11" ht="15" x14ac:dyDescent="0.2">
      <c r="B480" s="103" t="s">
        <v>549</v>
      </c>
      <c r="C480" s="95"/>
      <c r="D480" s="95"/>
      <c r="E480" s="95"/>
      <c r="F480" s="95"/>
      <c r="G480" s="96"/>
      <c r="H480" s="22">
        <f>H402</f>
        <v>287610618</v>
      </c>
    </row>
    <row r="481" spans="2:11" ht="15" x14ac:dyDescent="0.2">
      <c r="B481" s="103" t="s">
        <v>550</v>
      </c>
      <c r="C481" s="95"/>
      <c r="D481" s="95"/>
      <c r="E481" s="95"/>
      <c r="F481" s="95"/>
      <c r="G481" s="96"/>
      <c r="H481" s="22">
        <f>H477</f>
        <v>301256312</v>
      </c>
      <c r="I481" s="21"/>
      <c r="J481" s="21"/>
      <c r="K481" s="21"/>
    </row>
    <row r="483" spans="2:11" ht="15" x14ac:dyDescent="0.2">
      <c r="B483" s="103" t="s">
        <v>551</v>
      </c>
      <c r="C483" s="95"/>
      <c r="D483" s="95"/>
      <c r="E483" s="95"/>
      <c r="F483" s="95"/>
      <c r="G483" s="96"/>
      <c r="H483" s="22">
        <f>H360+H402+H477</f>
        <v>1905712695</v>
      </c>
    </row>
    <row r="484" spans="2:11" ht="15" x14ac:dyDescent="0.2">
      <c r="B484" s="103" t="s">
        <v>552</v>
      </c>
      <c r="C484" s="95"/>
      <c r="D484" s="95"/>
      <c r="E484" s="95"/>
      <c r="F484" s="95"/>
      <c r="G484" s="96"/>
      <c r="H484" s="22">
        <f>ROUND(H483*0.37,0)</f>
        <v>705113697</v>
      </c>
    </row>
    <row r="485" spans="2:11" ht="15" x14ac:dyDescent="0.2">
      <c r="B485" s="103" t="s">
        <v>553</v>
      </c>
      <c r="C485" s="95"/>
      <c r="D485" s="95"/>
      <c r="E485" s="95"/>
      <c r="F485" s="95"/>
      <c r="G485" s="96"/>
      <c r="H485" s="22">
        <f>ROUND(H483*0.05,0)</f>
        <v>95285635</v>
      </c>
    </row>
    <row r="486" spans="2:11" ht="15" x14ac:dyDescent="0.2">
      <c r="B486" s="103" t="s">
        <v>554</v>
      </c>
      <c r="C486" s="95"/>
      <c r="D486" s="95"/>
      <c r="E486" s="95"/>
      <c r="F486" s="95"/>
      <c r="G486" s="96"/>
      <c r="H486" s="22">
        <f>H484+H485</f>
        <v>800399332</v>
      </c>
    </row>
    <row r="487" spans="2:11" ht="15" x14ac:dyDescent="0.2">
      <c r="B487" s="94" t="s">
        <v>555</v>
      </c>
      <c r="C487" s="95"/>
      <c r="D487" s="95"/>
      <c r="E487" s="95"/>
      <c r="F487" s="95"/>
      <c r="G487" s="96"/>
      <c r="H487" s="6">
        <f>H483+H486+1</f>
        <v>2706112028</v>
      </c>
    </row>
    <row r="491" spans="2:11" ht="14.5" customHeight="1" x14ac:dyDescent="0.15">
      <c r="D491" s="78" t="s">
        <v>556</v>
      </c>
      <c r="E491" s="79"/>
      <c r="F491" s="80"/>
      <c r="G491" s="80"/>
      <c r="H491" s="80"/>
    </row>
    <row r="492" spans="2:11" ht="7.75" customHeight="1" thickBot="1" x14ac:dyDescent="0.2"/>
    <row r="493" spans="2:11" ht="14.5" customHeight="1" thickBot="1" x14ac:dyDescent="0.2">
      <c r="D493" s="89" t="s">
        <v>557</v>
      </c>
      <c r="E493" s="90"/>
      <c r="F493" s="90"/>
      <c r="G493" s="90"/>
      <c r="H493" s="91">
        <v>1905712696</v>
      </c>
    </row>
    <row r="494" spans="2:11" ht="3.5" customHeight="1" thickBot="1" x14ac:dyDescent="0.2">
      <c r="D494" s="82"/>
      <c r="E494" s="81"/>
      <c r="F494" s="81"/>
      <c r="G494" s="82"/>
      <c r="H494" s="83"/>
    </row>
    <row r="495" spans="2:11" ht="14.5" customHeight="1" thickBot="1" x14ac:dyDescent="0.2">
      <c r="D495" s="84" t="s">
        <v>558</v>
      </c>
      <c r="E495" s="85"/>
      <c r="F495" s="85"/>
      <c r="G495" s="85">
        <v>1.135999988111534E-2</v>
      </c>
      <c r="H495" s="86">
        <v>21648896</v>
      </c>
    </row>
    <row r="496" spans="2:11" ht="3.5" customHeight="1" thickBot="1" x14ac:dyDescent="0.2">
      <c r="D496" s="82"/>
      <c r="E496" s="81"/>
      <c r="F496" s="81"/>
      <c r="G496" s="87"/>
      <c r="H496" s="82"/>
    </row>
    <row r="497" spans="4:8" ht="14.5" customHeight="1" thickBot="1" x14ac:dyDescent="0.2">
      <c r="D497" s="84" t="s">
        <v>559</v>
      </c>
      <c r="E497" s="85"/>
      <c r="F497" s="85"/>
      <c r="G497" s="85">
        <v>0.2744860004857731</v>
      </c>
      <c r="H497" s="86">
        <v>523091456</v>
      </c>
    </row>
    <row r="498" spans="4:8" ht="3.5" customHeight="1" thickBot="1" x14ac:dyDescent="0.2">
      <c r="D498" s="82"/>
      <c r="E498" s="81"/>
      <c r="F498" s="81"/>
      <c r="G498" s="87"/>
      <c r="H498" s="82"/>
    </row>
    <row r="499" spans="4:8" ht="14.5" customHeight="1" thickBot="1" x14ac:dyDescent="0.2">
      <c r="D499" s="84" t="s">
        <v>560</v>
      </c>
      <c r="E499" s="85"/>
      <c r="F499" s="85"/>
      <c r="G499" s="85">
        <v>8.4153999360247742E-2</v>
      </c>
      <c r="H499" s="86">
        <v>160373345</v>
      </c>
    </row>
    <row r="500" spans="4:8" ht="3.5" customHeight="1" thickBot="1" x14ac:dyDescent="0.2">
      <c r="D500" s="82"/>
      <c r="E500" s="81"/>
      <c r="F500" s="81"/>
      <c r="G500" s="88"/>
      <c r="H500" s="82" t="s">
        <v>561</v>
      </c>
    </row>
    <row r="501" spans="4:8" ht="14.5" customHeight="1" thickBot="1" x14ac:dyDescent="0.2">
      <c r="D501" s="84" t="s">
        <v>562</v>
      </c>
      <c r="E501" s="85"/>
      <c r="F501" s="85"/>
      <c r="G501" s="93">
        <v>0.05</v>
      </c>
      <c r="H501" s="86">
        <v>95285635</v>
      </c>
    </row>
    <row r="502" spans="4:8" ht="3.5" customHeight="1" thickBot="1" x14ac:dyDescent="0.2">
      <c r="D502" s="82"/>
      <c r="E502" s="81"/>
      <c r="F502" s="81"/>
      <c r="G502" s="88"/>
      <c r="H502" s="82"/>
    </row>
    <row r="503" spans="4:8" ht="14.5" customHeight="1" thickBot="1" x14ac:dyDescent="0.2">
      <c r="D503" s="89" t="s">
        <v>563</v>
      </c>
      <c r="E503" s="92"/>
      <c r="F503" s="92"/>
      <c r="G503" s="92">
        <v>0.42000000190097547</v>
      </c>
      <c r="H503" s="91">
        <v>800399332</v>
      </c>
    </row>
    <row r="504" spans="4:8" ht="7.75" customHeight="1" thickBot="1" x14ac:dyDescent="0.2">
      <c r="D504" s="72"/>
      <c r="G504" s="74"/>
      <c r="H504" s="73"/>
    </row>
    <row r="505" spans="4:8" ht="14.5" customHeight="1" thickBot="1" x14ac:dyDescent="0.2">
      <c r="D505" s="75" t="s">
        <v>564</v>
      </c>
      <c r="E505" s="76"/>
      <c r="F505" s="76"/>
      <c r="G505" s="76"/>
      <c r="H505" s="77">
        <f>H493+H503</f>
        <v>2706112028</v>
      </c>
    </row>
  </sheetData>
  <autoFilter ref="A7:Z351" xr:uid="{00000000-0009-0000-0000-000000000000}">
    <filterColumn colId="1">
      <filters>
        <filter val="150337"/>
        <filter val="150338"/>
        <filter val="150339"/>
        <filter val="150361"/>
        <filter val="150362"/>
        <filter val="150363"/>
        <filter val="150364"/>
        <filter val="150365"/>
        <filter val="HID-16"/>
        <filter val="HID-17"/>
        <filter val="HID-18"/>
        <filter val="HID-19"/>
        <filter val="HID-20"/>
        <filter val="HID-21"/>
        <filter val="HID-22"/>
        <filter val="HID-23"/>
        <filter val="HID-24"/>
        <filter val="HID-25"/>
        <filter val="HID-28"/>
        <filter val="HID-29"/>
        <filter val="HID-30"/>
        <filter val="HID-33"/>
        <filter val="HID-34"/>
      </filters>
    </filterColumn>
  </autoFilter>
  <mergeCells count="14">
    <mergeCell ref="B487:G487"/>
    <mergeCell ref="B4:H5"/>
    <mergeCell ref="B479:G479"/>
    <mergeCell ref="B360:G360"/>
    <mergeCell ref="B2:H2"/>
    <mergeCell ref="B485:G485"/>
    <mergeCell ref="B477:G477"/>
    <mergeCell ref="B3:H3"/>
    <mergeCell ref="B483:G483"/>
    <mergeCell ref="B486:G486"/>
    <mergeCell ref="B481:G481"/>
    <mergeCell ref="B484:G484"/>
    <mergeCell ref="B402:G402"/>
    <mergeCell ref="B480:G480"/>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PPTO. LIC. MANT. UND.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Iris Dahiana Semanate Garca</cp:lastModifiedBy>
  <cp:revision>0</cp:revision>
  <dcterms:created xsi:type="dcterms:W3CDTF">2026-08-08T00:28:44Z</dcterms:created>
  <dcterms:modified xsi:type="dcterms:W3CDTF">2026-09-07T17:54:51Z</dcterms:modified>
  <dc:language>en-US</dc:language>
</cp:coreProperties>
</file>