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ego.garcia\Desktop\Provisional mantenimiento de equipos\"/>
    </mc:Choice>
  </mc:AlternateContent>
  <bookViews>
    <workbookView xWindow="0" yWindow="0" windowWidth="28800" windowHeight="11910" tabRatio="500"/>
  </bookViews>
  <sheets>
    <sheet name="Estudio de Mercado" sheetId="1" r:id="rId1"/>
    <sheet name="Gráfico"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M79" i="1" l="1"/>
  <c r="M78" i="1"/>
  <c r="M74" i="1"/>
  <c r="M67" i="1"/>
  <c r="M56" i="1"/>
  <c r="M32" i="1"/>
  <c r="M31" i="1"/>
  <c r="M16" i="1"/>
  <c r="M15" i="1"/>
  <c r="E9" i="2" l="1"/>
  <c r="F9" i="2"/>
  <c r="G9" i="2"/>
  <c r="D9" i="2"/>
  <c r="E8" i="2"/>
  <c r="F8" i="2"/>
  <c r="G8" i="2"/>
  <c r="D8" i="2"/>
  <c r="E7" i="2"/>
  <c r="F7" i="2"/>
  <c r="G7" i="2"/>
  <c r="D7" i="2"/>
  <c r="E6" i="2"/>
  <c r="F6" i="2"/>
  <c r="G6" i="2"/>
  <c r="D6" i="2"/>
  <c r="E5" i="2"/>
  <c r="F5" i="2"/>
  <c r="G5" i="2"/>
  <c r="D5" i="2"/>
  <c r="F4" i="2"/>
  <c r="G4" i="2"/>
  <c r="E4" i="2"/>
  <c r="D4" i="2"/>
  <c r="F3" i="2"/>
  <c r="G3" i="2"/>
  <c r="E3" i="2"/>
  <c r="D3" i="2"/>
  <c r="H87" i="1" l="1"/>
  <c r="N80" i="1"/>
  <c r="M80" i="1"/>
  <c r="N79" i="1"/>
  <c r="L78" i="1"/>
  <c r="L77" i="1"/>
  <c r="M77" i="1" s="1"/>
  <c r="L76" i="1"/>
  <c r="N76" i="1" s="1"/>
  <c r="L75" i="1"/>
  <c r="M75" i="1" s="1"/>
  <c r="L74" i="1"/>
  <c r="N74" i="1" s="1"/>
  <c r="L73" i="1"/>
  <c r="M73" i="1" s="1"/>
  <c r="L72" i="1"/>
  <c r="N72" i="1" s="1"/>
  <c r="L71" i="1"/>
  <c r="M71" i="1" s="1"/>
  <c r="L70" i="1"/>
  <c r="M70" i="1" s="1"/>
  <c r="L69" i="1"/>
  <c r="M69" i="1" s="1"/>
  <c r="L68" i="1"/>
  <c r="N68" i="1" s="1"/>
  <c r="L67" i="1"/>
  <c r="N66" i="1"/>
  <c r="M66" i="1"/>
  <c r="L65" i="1"/>
  <c r="L57" i="1"/>
  <c r="N57" i="1" s="1"/>
  <c r="N56" i="1"/>
  <c r="O56" i="1"/>
  <c r="L55" i="1"/>
  <c r="M55" i="1" s="1"/>
  <c r="O55" i="1" s="1"/>
  <c r="L54" i="1"/>
  <c r="M54" i="1" s="1"/>
  <c r="O54" i="1" s="1"/>
  <c r="L53" i="1"/>
  <c r="M53" i="1" s="1"/>
  <c r="O53" i="1" s="1"/>
  <c r="L52" i="1"/>
  <c r="M52" i="1" s="1"/>
  <c r="O52" i="1" s="1"/>
  <c r="L51" i="1"/>
  <c r="L47" i="1"/>
  <c r="M47" i="1" s="1"/>
  <c r="O47" i="1" s="1"/>
  <c r="L46" i="1"/>
  <c r="M46" i="1" s="1"/>
  <c r="O46" i="1" s="1"/>
  <c r="L45" i="1"/>
  <c r="M45" i="1" s="1"/>
  <c r="O45" i="1" s="1"/>
  <c r="L44" i="1"/>
  <c r="L40" i="1"/>
  <c r="M40" i="1" s="1"/>
  <c r="O40" i="1" s="1"/>
  <c r="L39" i="1"/>
  <c r="M39" i="1" s="1"/>
  <c r="O39" i="1" s="1"/>
  <c r="L38" i="1"/>
  <c r="M38" i="1" s="1"/>
  <c r="O38" i="1" s="1"/>
  <c r="L37" i="1"/>
  <c r="M37" i="1" s="1"/>
  <c r="O37" i="1" s="1"/>
  <c r="L36" i="1"/>
  <c r="M36" i="1" s="1"/>
  <c r="O36" i="1" s="1"/>
  <c r="L35" i="1"/>
  <c r="M35" i="1" s="1"/>
  <c r="O35" i="1" s="1"/>
  <c r="L34" i="1"/>
  <c r="M34" i="1" s="1"/>
  <c r="O34" i="1" s="1"/>
  <c r="L33" i="1"/>
  <c r="M33" i="1" s="1"/>
  <c r="O33" i="1" s="1"/>
  <c r="L32" i="1"/>
  <c r="O32" i="1" s="1"/>
  <c r="L31" i="1"/>
  <c r="L27" i="1"/>
  <c r="M27" i="1" s="1"/>
  <c r="O27" i="1" s="1"/>
  <c r="L26" i="1"/>
  <c r="M26" i="1" s="1"/>
  <c r="O26" i="1" s="1"/>
  <c r="L25" i="1"/>
  <c r="M25" i="1" s="1"/>
  <c r="O25" i="1" s="1"/>
  <c r="L24" i="1"/>
  <c r="L20" i="1"/>
  <c r="L16" i="1"/>
  <c r="O16" i="1" s="1"/>
  <c r="L15" i="1"/>
  <c r="O15" i="1" s="1"/>
  <c r="L14" i="1"/>
  <c r="M14" i="1" s="1"/>
  <c r="O14" i="1" s="1"/>
  <c r="L13" i="1"/>
  <c r="M13" i="1" s="1"/>
  <c r="O13" i="1" s="1"/>
  <c r="L12" i="1"/>
  <c r="M12" i="1" s="1"/>
  <c r="O12" i="1" s="1"/>
  <c r="L11" i="1"/>
  <c r="M24" i="1" l="1"/>
  <c r="H5" i="2"/>
  <c r="M11" i="1"/>
  <c r="H3" i="2"/>
  <c r="M44" i="1"/>
  <c r="H7" i="2"/>
  <c r="M51" i="1"/>
  <c r="H8" i="2"/>
  <c r="N65" i="1"/>
  <c r="H9" i="2"/>
  <c r="M20" i="1"/>
  <c r="H4" i="2"/>
  <c r="H6" i="2"/>
  <c r="N36" i="1"/>
  <c r="N34" i="1"/>
  <c r="N53" i="1"/>
  <c r="N32" i="1"/>
  <c r="N38" i="1"/>
  <c r="N71" i="1"/>
  <c r="N51" i="1"/>
  <c r="N31" i="1"/>
  <c r="N33" i="1"/>
  <c r="N35" i="1"/>
  <c r="N37" i="1"/>
  <c r="N39" i="1"/>
  <c r="N78" i="1"/>
  <c r="N75" i="1"/>
  <c r="N55" i="1"/>
  <c r="N52" i="1"/>
  <c r="N54" i="1"/>
  <c r="N40" i="1"/>
  <c r="N70" i="1"/>
  <c r="N20" i="1"/>
  <c r="N67" i="1"/>
  <c r="O11" i="1"/>
  <c r="O17" i="1" s="1"/>
  <c r="M17" i="1"/>
  <c r="O24" i="1"/>
  <c r="O28" i="1" s="1"/>
  <c r="M28" i="1"/>
  <c r="M105" i="1" s="1"/>
  <c r="O44" i="1"/>
  <c r="O48" i="1" s="1"/>
  <c r="M48" i="1"/>
  <c r="M107" i="1" s="1"/>
  <c r="O51" i="1"/>
  <c r="O31" i="1"/>
  <c r="O41" i="1" s="1"/>
  <c r="M41" i="1"/>
  <c r="M106" i="1" s="1"/>
  <c r="O20" i="1"/>
  <c r="O21" i="1" s="1"/>
  <c r="M21" i="1"/>
  <c r="M104" i="1" s="1"/>
  <c r="N11" i="1"/>
  <c r="N12" i="1"/>
  <c r="N13" i="1"/>
  <c r="N14" i="1"/>
  <c r="N15" i="1"/>
  <c r="N16" i="1"/>
  <c r="N24" i="1"/>
  <c r="N25" i="1"/>
  <c r="N26" i="1"/>
  <c r="N27" i="1"/>
  <c r="N44" i="1"/>
  <c r="N45" i="1"/>
  <c r="N46" i="1"/>
  <c r="N47" i="1"/>
  <c r="M57" i="1"/>
  <c r="O57" i="1" s="1"/>
  <c r="M65" i="1"/>
  <c r="M68" i="1"/>
  <c r="N69" i="1"/>
  <c r="M72" i="1"/>
  <c r="N73" i="1"/>
  <c r="M76" i="1"/>
  <c r="N77" i="1"/>
  <c r="O58" i="1" l="1"/>
  <c r="O59" i="1" s="1"/>
  <c r="M58" i="1"/>
  <c r="M108" i="1" s="1"/>
  <c r="M103" i="1"/>
  <c r="M81" i="1"/>
  <c r="M59" i="1" l="1"/>
  <c r="M110" i="1" s="1"/>
  <c r="H88" i="1"/>
  <c r="H85" i="1"/>
  <c r="M109" i="1"/>
  <c r="H86" i="1"/>
</calcChain>
</file>

<file path=xl/sharedStrings.xml><?xml version="1.0" encoding="utf-8"?>
<sst xmlns="http://schemas.openxmlformats.org/spreadsheetml/2006/main" count="340" uniqueCount="163">
  <si>
    <t>PARÁMETROS</t>
  </si>
  <si>
    <t>Presupuesto oficial (CDP No. 367 del 24/02/2026)</t>
  </si>
  <si>
    <t>IPC Bogotá D.C. · variación anual a diciembre de 2025 (DANE)</t>
  </si>
  <si>
    <t>Fecha de elaboración</t>
  </si>
  <si>
    <t>ÍTEM</t>
  </si>
  <si>
    <t>UNSPSC</t>
  </si>
  <si>
    <t>PRODUCTO O SERVICIO</t>
  </si>
  <si>
    <t>CARACTERÍSTICA (ESPECIFICACIÓN)</t>
  </si>
  <si>
    <t>UNIDAD</t>
  </si>
  <si>
    <t>CANT.</t>
  </si>
  <si>
    <t>COLSOF S.A.S.
NIT 800.015.583-1</t>
  </si>
  <si>
    <t>MAKROSYSTEM COLOMBIA S.A.S.
NIT 900.421.971-8</t>
  </si>
  <si>
    <t>TECHNOLOGY WORLD GROUP S.A.S.
NIT 900.171.311-3</t>
  </si>
  <si>
    <t>T&amp;S COMP TEC. Y SERVICIOS S.A.S.
NIT 830.080.498-7</t>
  </si>
  <si>
    <t>CPS-408-2025
(valor contratado)</t>
  </si>
  <si>
    <t>CPS-408-2025
INDEXADO IPC</t>
  </si>
  <si>
    <t>PRECIO DE REFERENCIA
UNITARIO (mediana)</t>
  </si>
  <si>
    <t>COEF. DE
VARIACIÓN</t>
  </si>
  <si>
    <t>VALOR DEL PARQUE
A PRECIO DE REFERENCIA</t>
  </si>
  <si>
    <t>81111812; 81101707;
81112306; 72154065</t>
  </si>
  <si>
    <t>Mantenimiento de videoproyectores, lector de código de barras y tabletas</t>
  </si>
  <si>
    <t>VIDEO PROYECTOR EPSON — 1945W-V1 / POWERLITE</t>
  </si>
  <si>
    <t>VIDEO PROYECTOR PANASONIC — LX 2 / PT-L</t>
  </si>
  <si>
    <t>VIDEO PROYECTOR BENQ — MH750</t>
  </si>
  <si>
    <t>LECTOR CODIGO DE BARRAS — SYMBOL / SAT</t>
  </si>
  <si>
    <t>TABLET SAMSUNG — SM-X200</t>
  </si>
  <si>
    <t>TABLET LENOVO — PRO 12</t>
  </si>
  <si>
    <t>Mantenimiento de centros de cableado</t>
  </si>
  <si>
    <t>CENTROS DE CABLEADO CATEGORIA 5E Y 6A — N/A</t>
  </si>
  <si>
    <t>Mantenimiento de sistemas de alimentación ininterrumpida (UPS)</t>
  </si>
  <si>
    <t>POWER SUN — PW S15K</t>
  </si>
  <si>
    <t>POWER SUN — PW S20K</t>
  </si>
  <si>
    <t>POWEST — EA9915</t>
  </si>
  <si>
    <t>POWEST — EA991O</t>
  </si>
  <si>
    <t>Mantenimiento de computadores de escritorio y portátiles</t>
  </si>
  <si>
    <t>COMPUMAX — Aio UNNO Max Series</t>
  </si>
  <si>
    <t>DELL — D11S / D10U / D06D</t>
  </si>
  <si>
    <t>HEWLETT PACKARD — PROBOOK 400 G6 SFF / PRODESK 600 G1 SFF / COMPAQ PRO 6300 MT / DX2200 / ELITEDESK 800 G3 / PRODESK 400 G6</t>
  </si>
  <si>
    <t>JANUS — N/A</t>
  </si>
  <si>
    <t>LENOVO — THINCENTRE S500 / V520S</t>
  </si>
  <si>
    <t>IMAC — IMAC 18,3</t>
  </si>
  <si>
    <t>PC SMART — N/A</t>
  </si>
  <si>
    <t>PORTATIL DELL — LATITUDE E5450</t>
  </si>
  <si>
    <t>PORTATIL HEWLETT PACKARD — LAPTOP 15-DA0015LA</t>
  </si>
  <si>
    <t>PORTATIL LENOVO — Z50-70 / THINKPAD R61I</t>
  </si>
  <si>
    <t>Mantenimiento de servidores y sistema de almacenamiento</t>
  </si>
  <si>
    <t>DELL — POWER EDGE R440</t>
  </si>
  <si>
    <t>DELL — POWER EDGE L440</t>
  </si>
  <si>
    <t>HEWLETT PACKARD — PROLIANT DL360 G10</t>
  </si>
  <si>
    <t>ALMACENAMIENTO HEWLETT PACKARD (SAN) — SAN HPE MSA1050</t>
  </si>
  <si>
    <t>Mantenimiento de impresoras, escáneres y plóter</t>
  </si>
  <si>
    <t>IMPRESORA HEWLETT PACKARD — LASERJET P4015X / CP4525 / PRO MFP M521DN</t>
  </si>
  <si>
    <t>IMPRESORA RICOH — SP3710SF</t>
  </si>
  <si>
    <t>IMPRESORA KODAC — I1320</t>
  </si>
  <si>
    <t>IMPRESORA ZEBRA — GK420T</t>
  </si>
  <si>
    <t>SCANER KODAC — IL220 / I3250 / I3620 / I1320</t>
  </si>
  <si>
    <t>SCANER HP — HP SCANJET PRO 2000S2</t>
  </si>
  <si>
    <t>PLOTTER CONTEX H.D ULTRA — RC67G</t>
  </si>
  <si>
    <t>TOTAL COMPONENTE DE SERVICIOS</t>
  </si>
  <si>
    <t>BOLSA DE REPUESTOS</t>
  </si>
  <si>
    <t>No.</t>
  </si>
  <si>
    <t>GRUPO</t>
  </si>
  <si>
    <t>DESCRIPCIÓN</t>
  </si>
  <si>
    <t>PRECIO DE REFERENCIA
(mediana)</t>
  </si>
  <si>
    <t>MEMORIAS PORTATIL</t>
  </si>
  <si>
    <t>MEM DDR III 8 GB 1600</t>
  </si>
  <si>
    <t>MEM DDR IV 8 GB 2600</t>
  </si>
  <si>
    <t>MEMORIAS PC</t>
  </si>
  <si>
    <t>MEM DDR IV 4 GB 2400 PC 4 19200</t>
  </si>
  <si>
    <t>MEM DDR IIIL 8 GB BUS 1600MHZ</t>
  </si>
  <si>
    <t>MEM DDR IV 16 GB 2666 MHZ</t>
  </si>
  <si>
    <t>FUENTES DE PODER</t>
  </si>
  <si>
    <t>FUENTE 430 W WHITE</t>
  </si>
  <si>
    <t>FUENTE 600 W - VENTILADOR GRANDE</t>
  </si>
  <si>
    <t>MICROFUENTE DE PODER</t>
  </si>
  <si>
    <t>ADAPTADOR PARA PORTATIL 65 W</t>
  </si>
  <si>
    <t>ADAPTADOR PARA PORTATIL 90 W</t>
  </si>
  <si>
    <t>DISCOS SOLIDOS</t>
  </si>
  <si>
    <t>D.D SOLIDO 1 TERA</t>
  </si>
  <si>
    <t>D.D SOLIDO 500 GB</t>
  </si>
  <si>
    <t>REPUESTOS PARA UPS</t>
  </si>
  <si>
    <t>BATERIA 12 V 9 A</t>
  </si>
  <si>
    <t>BATERIA 12 V 40 A</t>
  </si>
  <si>
    <t>TARJETAS DE VIDEO</t>
  </si>
  <si>
    <t>TARJETA ACELERADORA DE VIDEO MINI</t>
  </si>
  <si>
    <t>TARJETA ACELERADORA DE VIDEO</t>
  </si>
  <si>
    <t>Suma de precios unitarios de referencia de la bolsa</t>
  </si>
  <si>
    <t>El componente se ejecuta por demanda contra el presupuesto disponible. No se le asigna valor estimado.</t>
  </si>
  <si>
    <t>RESUMEN</t>
  </si>
  <si>
    <t>Valor estimado del alcance · componente de servicios</t>
  </si>
  <si>
    <t>Suma de precios unitarios de referencia · bolsa de repuestos</t>
  </si>
  <si>
    <t>Presupuesto oficial disponible</t>
  </si>
  <si>
    <t>Cobertura del alcance estimado de servicios con el presupuesto disponible</t>
  </si>
  <si>
    <t>NOTAS METODOLÓGICAS</t>
  </si>
  <si>
    <t>COMPONENTE</t>
  </si>
  <si>
    <t>VALOR MÁXIMO ADMISIBLE</t>
  </si>
  <si>
    <t>Bolsa de repuestos</t>
  </si>
  <si>
    <t>NO APLICA</t>
  </si>
  <si>
    <t>N/A</t>
  </si>
  <si>
    <t>Instituto Distrital de Patrimonio Cultural — Modalidad de mínima cuantía — Vigencia 2026</t>
  </si>
  <si>
    <r>
      <t xml:space="preserve">ESTUDIO DE MERCADO
SERVICIO DE MANTENIMIENTO PREVENTIVO Y CORRECTIVO DE EQUIPOS DE CÓMPUTO, IMPRESIÓN, COMUNICACIONES, DE REDES DE DATOS, CENTROS DE CABLEADO, </t>
    </r>
    <r>
      <rPr>
        <b/>
        <i/>
        <sz val="14"/>
        <rFont val="Arial"/>
        <family val="2"/>
      </rPr>
      <t>SWITCHES</t>
    </r>
    <r>
      <rPr>
        <b/>
        <sz val="14"/>
        <rFont val="Arial"/>
        <family val="2"/>
      </rPr>
      <t>, SERVIDORES Y EQUIPO DEL CENTRO DE DATOS DEL INSTITUTO DISTRITAL DE PATRIMONIO CULTURAL, INCLUYENDO BOLSA DE REPUESTOS</t>
    </r>
  </si>
  <si>
    <t>IPC Bogotá D.C. (vigencia 2025) DANE                  →</t>
  </si>
  <si>
    <t>1.1</t>
  </si>
  <si>
    <t>1.2</t>
  </si>
  <si>
    <t>1.3</t>
  </si>
  <si>
    <t>1.4</t>
  </si>
  <si>
    <t>1.5</t>
  </si>
  <si>
    <t>1.6</t>
  </si>
  <si>
    <t>2.1</t>
  </si>
  <si>
    <t>3.1</t>
  </si>
  <si>
    <t>3.2</t>
  </si>
  <si>
    <t>3.4</t>
  </si>
  <si>
    <t>4.1</t>
  </si>
  <si>
    <t>4.2</t>
  </si>
  <si>
    <t>4.3</t>
  </si>
  <si>
    <t>4.4</t>
  </si>
  <si>
    <t>4.5</t>
  </si>
  <si>
    <t>4.6</t>
  </si>
  <si>
    <t>4.7</t>
  </si>
  <si>
    <t>4.8</t>
  </si>
  <si>
    <t>4.9</t>
  </si>
  <si>
    <t>4.10</t>
  </si>
  <si>
    <t>5.1</t>
  </si>
  <si>
    <t>5.2</t>
  </si>
  <si>
    <t>5.3</t>
  </si>
  <si>
    <t>5.4</t>
  </si>
  <si>
    <t>6.1</t>
  </si>
  <si>
    <t>6.2</t>
  </si>
  <si>
    <t>6.3</t>
  </si>
  <si>
    <t>6.4</t>
  </si>
  <si>
    <t>6.5</t>
  </si>
  <si>
    <t>6.6</t>
  </si>
  <si>
    <t>6.7</t>
  </si>
  <si>
    <t>Componente 1. Mantenimiento de videoproyectores, lector de código de barras y tabletas</t>
  </si>
  <si>
    <t>Subtotal Componente 1. Mantenimiento de videoproyectores, lector de código de barras y tabletas</t>
  </si>
  <si>
    <t>Componente 2. Mantenimiento de centros de cableado</t>
  </si>
  <si>
    <t>Subtotal Componente 2. Mantenimiento de centros de cableado</t>
  </si>
  <si>
    <t>Componente 3. Mantenimiento de sistemas de alimentación ininterrumpida</t>
  </si>
  <si>
    <t>Subtotal Componente 3. Mantenimiento de sistemas de alimentación ininterrumpida</t>
  </si>
  <si>
    <t>Componente 4. Mantenimiento de computadores de escritorio y portátiles</t>
  </si>
  <si>
    <t>Subtotal Componente 4. Mantenimiento de computadores de escritorio y portátiles</t>
  </si>
  <si>
    <t>Componente 5. Mantenimiento de servidores y sistema de almacenamiento</t>
  </si>
  <si>
    <t>Subtotal Componente 5. Mantenimiento de servidores y sistema de almacenamiento</t>
  </si>
  <si>
    <t>Componente 6. Mantenimiento de impresoras, escáneres y plóter</t>
  </si>
  <si>
    <t>Subtotal Componente 6. Mantenimiento de impresoras, escáneres y plóter</t>
  </si>
  <si>
    <r>
      <t xml:space="preserve">Este componente se ejecuta </t>
    </r>
    <r>
      <rPr>
        <b/>
        <i/>
        <u/>
        <sz val="9"/>
        <rFont val="Arial"/>
        <family val="2"/>
      </rPr>
      <t>por demanda</t>
    </r>
    <r>
      <rPr>
        <i/>
        <sz val="9"/>
        <rFont val="Arial"/>
        <family val="2"/>
      </rPr>
      <t xml:space="preserve">, lo que implica que no hay </t>
    </r>
    <r>
      <rPr>
        <i/>
        <sz val="9"/>
        <rFont val="Arial"/>
        <charset val="1"/>
      </rPr>
      <t>cantidades estimadas por referencia. El precio de referencia opera como valor unitario máximo admisible y el valor del componente corresponde al saldo del presupuesto oficial.</t>
    </r>
  </si>
  <si>
    <r>
      <rPr>
        <b/>
        <sz val="10"/>
        <rFont val="Arial"/>
        <family val="2"/>
      </rPr>
      <t>1. Las fuentes principales del estudio de mercado fueron c</t>
    </r>
    <r>
      <rPr>
        <sz val="10"/>
        <rFont val="Arial"/>
        <family val="2"/>
      </rPr>
      <t xml:space="preserve">uatro (4) cotizaciones obtenidas en el sondeo de mercado del presente proceso, solicitadas el 16 de julio de 2026 y recibidas entre el 16 y el 29 de julio de 2026, previa publicación del evento de solicitud de información a proveedores IDPC-EC-012-2026 en el SECOP II el 8 de julio de 2026. Todos los valores se expresan con IVA incluido. De igual forma, se incorporó una quinta fuente, correspondiente a los valores unitarios efectivamente contratados en el contrato CPS-408-2025, derivado del proceso IDPC-MC-017-2025, cuyo objeto es idéntico al de la presente contratación y recayó sobre el mismo parque tecnológico. Se incorporan como una cotización adicional dentro del análisis, conforme a la revisión de precios históricos prevista en la </t>
    </r>
    <r>
      <rPr>
        <i/>
        <sz val="10"/>
        <rFont val="Arial"/>
        <family val="2"/>
      </rPr>
      <t>Guía para la Elaboración de Estudios del Sector de Colombia Compra Eficiente</t>
    </r>
    <r>
      <rPr>
        <sz val="10"/>
        <rFont val="Arial"/>
        <family val="2"/>
      </rPr>
      <t xml:space="preserve"> (2025), numeral 5.2.5 "</t>
    </r>
    <r>
      <rPr>
        <i/>
        <sz val="10"/>
        <rFont val="Arial"/>
        <family val="2"/>
      </rPr>
      <t>Estudio de mercado</t>
    </r>
    <r>
      <rPr>
        <sz val="10"/>
        <rFont val="Arial"/>
        <family val="2"/>
      </rPr>
      <t>", subsección (ii) "</t>
    </r>
    <r>
      <rPr>
        <i/>
        <sz val="10"/>
        <rFont val="Arial"/>
        <family val="2"/>
      </rPr>
      <t>Revisión de precios históricos</t>
    </r>
    <r>
      <rPr>
        <sz val="10"/>
        <rFont val="Arial"/>
        <family val="2"/>
      </rPr>
      <t>" (pp. 31-37).
Los valores del contrato CPS-408-2025 se actualizan aplicando la variación anual del Índice de Precios al Consumidor de Bogotá D.C. a diciembre de 2025, equivalente a 5,41% según el DANE, por ser el indicador general de precios de la ciudad donde se ejecuta el contrato (Bogotá, D.C.). Se advierte que el componente de servicio es intensivo en mano de obra y que el salario mínimo legal mensual vigente para 2026 registró un incremento del 23%, superior al IPC, por lo que la indexación aplicada resulta conservadora respecto de dicho componente.</t>
    </r>
  </si>
  <si>
    <r>
      <rPr>
        <b/>
        <sz val="10"/>
        <rFont val="Arial"/>
        <family val="2"/>
      </rPr>
      <t xml:space="preserve">3. </t>
    </r>
    <r>
      <rPr>
        <sz val="10"/>
        <rFont val="Arial"/>
        <family val="2"/>
      </rPr>
      <t>Se aplicaron pruebas de rango intercuartílico y de desviación respecto de la media sobre las observaciones de cada ítem y sobre los valores históricos del grupo de computadores, sin que se identificaran datos atípicos que ameriten exclusión.</t>
    </r>
  </si>
  <si>
    <r>
      <rPr>
        <b/>
        <sz val="10"/>
        <rFont val="Arial"/>
        <family val="2"/>
      </rPr>
      <t xml:space="preserve">2. </t>
    </r>
    <r>
      <rPr>
        <sz val="10"/>
        <rFont val="Arial"/>
        <family val="2"/>
      </rPr>
      <t xml:space="preserve">Se adopta la </t>
    </r>
    <r>
      <rPr>
        <b/>
        <sz val="10"/>
        <rFont val="Arial"/>
        <family val="2"/>
      </rPr>
      <t>MEDIANA</t>
    </r>
    <r>
      <rPr>
        <sz val="10"/>
        <rFont val="Arial"/>
        <family val="2"/>
      </rPr>
      <t xml:space="preserve"> como medida de tendencia central y no la media aritmética (o promedio), en atención a la dispersión observada entre las fuentes, reflejada en los coeficientes de variación de la columna N. La mediana neutraliza el efecto de los valores extremos sin excluir fuentes del análisis.</t>
    </r>
  </si>
  <si>
    <r>
      <rPr>
        <b/>
        <sz val="10"/>
        <rFont val="Arial"/>
        <family val="2"/>
      </rPr>
      <t xml:space="preserve">5. </t>
    </r>
    <r>
      <rPr>
        <sz val="10"/>
        <rFont val="Arial"/>
        <family val="2"/>
      </rPr>
      <t>Las cantidades de la columna F corresponden al inventario de equipos reportado por el Proceso de Gestión de Sistemas de Información y Tecnología, con un (1) mantenimiento preventivo por equipo durante el plazo de ejecución, y se incorporan con el fin de que los proponentes conozcan la magnitud del parque tecnológico y estructuren su oferta en consecuencia. La columna O valora dicho inventario a los precios de referencia resultantes del presente estudio y no constituye una proyección de ejecución: el contrato se ejecuta a monto agotable y la entidad ordenará las intervenciones según sus necesidades, de modo que puede no solicitar la totalidad de los mantenimientos estimados, en particular respecto de los equipos amparados por garantía vigente del fabricante. Las cantidades constituyen estimaciones y no cantidades contratadas.</t>
    </r>
  </si>
  <si>
    <r>
      <rPr>
        <b/>
        <sz val="10"/>
        <rFont val="Arial"/>
        <family val="2"/>
      </rPr>
      <t>6.</t>
    </r>
    <r>
      <rPr>
        <sz val="10"/>
        <rFont val="Arial"/>
        <family val="2"/>
      </rPr>
      <t xml:space="preserve"> La comparación de las ofertas económicas </t>
    </r>
    <r>
      <rPr>
        <b/>
        <u/>
        <sz val="10"/>
        <rFont val="Arial"/>
        <family val="2"/>
      </rPr>
      <t>NO se efectúa sobre las cantidades</t>
    </r>
    <r>
      <rPr>
        <sz val="10"/>
        <rFont val="Arial"/>
        <family val="2"/>
      </rPr>
      <t xml:space="preserve"> de la columna F, sino sobre la </t>
    </r>
    <r>
      <rPr>
        <b/>
        <u/>
        <sz val="10"/>
        <rFont val="Arial"/>
        <family val="2"/>
      </rPr>
      <t>sumatoria de los valores unitarios ofertados, una unidad por cada ítem</t>
    </r>
    <r>
      <rPr>
        <sz val="10"/>
        <rFont val="Arial"/>
        <family val="2"/>
      </rPr>
      <t>. Los precios de referencia unitarios de la columna M operan como valor máximo admisible por ítem, y las sumatorias por componente relacionadas al final del presente documento operan como valor máximo admisible por componente.</t>
    </r>
  </si>
  <si>
    <r>
      <rPr>
        <b/>
        <sz val="10"/>
        <rFont val="Arial"/>
        <family val="2"/>
      </rPr>
      <t xml:space="preserve">7. </t>
    </r>
    <r>
      <rPr>
        <sz val="10"/>
        <rFont val="Arial"/>
        <family val="2"/>
      </rPr>
      <t>El alcance estimado valorado a precios de referencia excede el presupuesto oficial disponible; ello obedece a que el contrato se ejecuta a monto agotable y a que la entidad ordena las intervenciones según sus necesidades, sin obligación de agotar el presupuesto. Adicionalmente, en principio, no serán objeto de mantenimiento los equipos amparados por garantía vigente del fabricante, y los precios que se forman en competencia resultan inferiores a la mediana, según se verifica con el valor efectivamente contratado en la vigencia anterior.</t>
    </r>
  </si>
  <si>
    <r>
      <t>VALORES MÁXIMOS ADMISIBLES POR COMPONENTE (para el Formato de Propuesta Económica y el numeral de criterios de selección.</t>
    </r>
    <r>
      <rPr>
        <i/>
        <sz val="10"/>
        <rFont val="Arial"/>
        <family val="2"/>
      </rPr>
      <t xml:space="preserve"> Corresponden a la sumatoria de los precios unitarios de referencia de los ítems que integran cada componente, sobre una (1) unidad por ítem.</t>
    </r>
  </si>
  <si>
    <t>TOTAL - Sumatoria de valores unitarios</t>
  </si>
  <si>
    <t>Elaboró: Diego Felipe García Vélez    Cargo: Contratista SGC    Fecha: 10/09/2026</t>
  </si>
  <si>
    <r>
      <rPr>
        <b/>
        <sz val="10"/>
        <rFont val="Arial"/>
        <family val="2"/>
      </rPr>
      <t xml:space="preserve">4. </t>
    </r>
    <r>
      <rPr>
        <sz val="10"/>
        <rFont val="Arial"/>
        <family val="2"/>
      </rPr>
      <t>El escáner HP, la memoria DDR IV 8 GB 2600 para portátil y las dos referencias de tarjetas aceleradoras de video no formaron parte del parque tecnológico ni de la bolsa de respuestos en la vigencia 2025, por lo que su precio de referencia se calcula sólo con las 4 fuentes principales. Las celdas correspondientes se identifican como N/A.</t>
    </r>
  </si>
  <si>
    <t>Mantenimiento de sistemas de alimentación ininterrumpida</t>
  </si>
  <si>
    <t>COLSOF</t>
  </si>
  <si>
    <t>MakroSystem</t>
  </si>
  <si>
    <t>TW Grupo</t>
  </si>
  <si>
    <t>T&amp;S Comp</t>
  </si>
  <si>
    <t>CPS-408-2025 (indexado)</t>
  </si>
  <si>
    <t>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</si>
</sst>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0"/>
    <numFmt numFmtId="165" formatCode="0.0%"/>
    <numFmt numFmtId="166" formatCode="_-&quot;$&quot;\ * #,##0_-;\-&quot;$&quot;\ * #,##0_-;_-&quot;$&quot;\ * &quot;-&quot;??_-;_-@_-"/>
  </numFmts>
  <fonts count="31" x14ac:knownFonts="1">
    <font>
      <sz val="11"/>
      <color theme="1"/>
      <name val="Calibri"/>
      <family val="2"/>
      <charset val="1"/>
    </font>
    <font>
      <b/>
      <sz val="11"/>
      <name val="Arial"/>
      <charset val="1"/>
    </font>
    <font>
      <i/>
      <sz val="9"/>
      <name val="Arial"/>
      <charset val="1"/>
    </font>
    <font>
      <b/>
      <sz val="8"/>
      <name val="Arial"/>
      <charset val="1"/>
    </font>
    <font>
      <sz val="9"/>
      <name val="Arial"/>
      <charset val="1"/>
    </font>
    <font>
      <b/>
      <sz val="9"/>
      <name val="Arial"/>
      <family val="2"/>
    </font>
    <font>
      <b/>
      <sz val="10"/>
      <name val="Arial"/>
      <family val="2"/>
    </font>
    <font>
      <b/>
      <sz val="11"/>
      <name val="Arial"/>
      <family val="2"/>
    </font>
    <font>
      <sz val="9"/>
      <name val="Arial"/>
      <family val="2"/>
    </font>
    <font>
      <b/>
      <sz val="16"/>
      <name val="Arial"/>
      <family val="2"/>
    </font>
    <font>
      <b/>
      <sz val="14"/>
      <name val="Arial"/>
      <family val="2"/>
    </font>
    <font>
      <sz val="11"/>
      <color theme="1"/>
      <name val="Arial"/>
      <family val="2"/>
    </font>
    <font>
      <i/>
      <sz val="11"/>
      <name val="Arial"/>
      <family val="2"/>
    </font>
    <font>
      <sz val="11"/>
      <name val="Arial"/>
      <family val="2"/>
    </font>
    <font>
      <b/>
      <i/>
      <sz val="14"/>
      <name val="Arial"/>
      <family val="2"/>
    </font>
    <font>
      <b/>
      <sz val="12"/>
      <name val="Arial"/>
      <family val="2"/>
    </font>
    <font>
      <sz val="10"/>
      <name val="Arial"/>
      <family val="2"/>
    </font>
    <font>
      <sz val="8"/>
      <name val="Calibri"/>
      <family val="2"/>
      <charset val="1"/>
    </font>
    <font>
      <sz val="10"/>
      <color theme="1"/>
      <name val="Calibri"/>
      <family val="2"/>
      <charset val="1"/>
    </font>
    <font>
      <sz val="10"/>
      <color theme="0"/>
      <name val="Calibri"/>
      <family val="2"/>
      <charset val="1"/>
    </font>
    <font>
      <b/>
      <sz val="10"/>
      <color theme="0"/>
      <name val="Arial"/>
      <family val="2"/>
    </font>
    <font>
      <b/>
      <i/>
      <u/>
      <sz val="9"/>
      <name val="Arial"/>
      <family val="2"/>
    </font>
    <font>
      <i/>
      <sz val="9"/>
      <name val="Arial"/>
      <family val="2"/>
    </font>
    <font>
      <b/>
      <sz val="10"/>
      <color rgb="FFFFFFFF"/>
      <name val="Arial"/>
      <family val="2"/>
    </font>
    <font>
      <sz val="10"/>
      <color theme="1"/>
      <name val="Arial"/>
      <family val="2"/>
    </font>
    <font>
      <b/>
      <sz val="10"/>
      <color theme="1"/>
      <name val="Arial"/>
      <family val="2"/>
    </font>
    <font>
      <i/>
      <sz val="10"/>
      <name val="Arial"/>
      <family val="2"/>
    </font>
    <font>
      <i/>
      <sz val="10"/>
      <color theme="0"/>
      <name val="Arial"/>
      <family val="2"/>
    </font>
    <font>
      <b/>
      <u/>
      <sz val="10"/>
      <name val="Arial"/>
      <family val="2"/>
    </font>
    <font>
      <sz val="11"/>
      <color theme="1"/>
      <name val="Calibri"/>
      <family val="2"/>
      <charset val="1"/>
    </font>
    <font>
      <b/>
      <sz val="11"/>
      <color theme="0"/>
      <name val="Arial"/>
      <family val="2"/>
    </font>
  </fonts>
  <fills count="13">
    <fill>
      <patternFill patternType="none"/>
    </fill>
    <fill>
      <patternFill patternType="gray125"/>
    </fill>
    <fill>
      <patternFill patternType="solid">
        <fgColor rgb="FFD9D9D9"/>
        <bgColor rgb="FFE2EFDA"/>
      </patternFill>
    </fill>
    <fill>
      <patternFill patternType="solid">
        <fgColor theme="0"/>
        <bgColor indexed="64"/>
      </patternFill>
    </fill>
    <fill>
      <patternFill patternType="solid">
        <fgColor theme="0"/>
        <bgColor rgb="FFFFFF00"/>
      </patternFill>
    </fill>
    <fill>
      <patternFill patternType="solid">
        <fgColor theme="1" tint="0.249977111117893"/>
        <bgColor rgb="FF003366"/>
      </patternFill>
    </fill>
    <fill>
      <patternFill patternType="solid">
        <fgColor theme="0"/>
        <bgColor rgb="FFE2EFDA"/>
      </patternFill>
    </fill>
    <fill>
      <patternFill patternType="solid">
        <fgColor theme="0" tint="-0.249977111117893"/>
        <bgColor rgb="FF003366"/>
      </patternFill>
    </fill>
    <fill>
      <patternFill patternType="solid">
        <fgColor theme="0" tint="-0.249977111117893"/>
        <bgColor rgb="FFE2EFDA"/>
      </patternFill>
    </fill>
    <fill>
      <patternFill patternType="solid">
        <fgColor theme="1" tint="0.249977111117893"/>
        <bgColor rgb="FFFFF2CC"/>
      </patternFill>
    </fill>
    <fill>
      <patternFill patternType="solid">
        <fgColor rgb="FFFFFFCC"/>
        <bgColor indexed="64"/>
      </patternFill>
    </fill>
    <fill>
      <patternFill patternType="solid">
        <fgColor theme="1" tint="0.249977111117893"/>
        <bgColor indexed="64"/>
      </patternFill>
    </fill>
    <fill>
      <patternFill patternType="solid">
        <fgColor theme="0" tint="-0.249977111117893"/>
        <bgColor indexed="64"/>
      </patternFill>
    </fill>
  </fills>
  <borders count="28">
    <border>
      <left/>
      <right/>
      <top/>
      <bottom/>
      <diagonal/>
    </border>
    <border>
      <left style="thin">
        <color rgb="FFA6A6A6"/>
      </left>
      <right style="thin">
        <color rgb="FFA6A6A6"/>
      </right>
      <top style="thin">
        <color rgb="FFA6A6A6"/>
      </top>
      <bottom style="thin">
        <color rgb="FFA6A6A6"/>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A6A6A6"/>
      </left>
      <right/>
      <top style="thin">
        <color rgb="FFA6A6A6"/>
      </top>
      <bottom style="thin">
        <color rgb="FFA6A6A6"/>
      </bottom>
      <diagonal/>
    </border>
    <border>
      <left style="thin">
        <color indexed="64"/>
      </left>
      <right style="thin">
        <color indexed="64"/>
      </right>
      <top style="thin">
        <color indexed="64"/>
      </top>
      <bottom/>
      <diagonal/>
    </border>
    <border>
      <left style="thin">
        <color rgb="FFA6A6A6"/>
      </left>
      <right style="thin">
        <color rgb="FFA6A6A6"/>
      </right>
      <top/>
      <bottom style="thin">
        <color rgb="FFA6A6A6"/>
      </bottom>
      <diagonal/>
    </border>
    <border>
      <left style="thin">
        <color rgb="FFA6A6A6"/>
      </left>
      <right/>
      <top style="thin">
        <color indexed="64"/>
      </top>
      <bottom style="thin">
        <color indexed="64"/>
      </bottom>
      <diagonal/>
    </border>
    <border>
      <left/>
      <right style="thin">
        <color rgb="FFA6A6A6"/>
      </right>
      <top style="thin">
        <color indexed="64"/>
      </top>
      <bottom style="thin">
        <color indexed="64"/>
      </bottom>
      <diagonal/>
    </border>
    <border>
      <left style="thin">
        <color rgb="FFA6A6A6"/>
      </left>
      <right/>
      <top/>
      <bottom/>
      <diagonal/>
    </border>
  </borders>
  <cellStyleXfs count="2">
    <xf numFmtId="0" fontId="0" fillId="0" borderId="0"/>
    <xf numFmtId="44" fontId="29" fillId="0" borderId="0" applyFont="0" applyFill="0" applyBorder="0" applyAlignment="0" applyProtection="0"/>
  </cellStyleXfs>
  <cellXfs count="110">
    <xf numFmtId="0" fontId="0" fillId="0" borderId="0" xfId="0"/>
    <xf numFmtId="0" fontId="0" fillId="3" borderId="0" xfId="0" applyFill="1"/>
    <xf numFmtId="165" fontId="3" fillId="3" borderId="4" xfId="0" applyNumberFormat="1" applyFont="1" applyFill="1" applyBorder="1"/>
    <xf numFmtId="164" fontId="3" fillId="3" borderId="3" xfId="0" applyNumberFormat="1" applyFont="1" applyFill="1" applyBorder="1"/>
    <xf numFmtId="164" fontId="3" fillId="3" borderId="5" xfId="0" applyNumberFormat="1" applyFont="1" applyFill="1" applyBorder="1"/>
    <xf numFmtId="0" fontId="0" fillId="3" borderId="6" xfId="0" applyFill="1" applyBorder="1"/>
    <xf numFmtId="0" fontId="5" fillId="3" borderId="7" xfId="0" applyFont="1" applyFill="1" applyBorder="1"/>
    <xf numFmtId="0" fontId="0" fillId="3" borderId="8" xfId="0" applyFill="1" applyBorder="1"/>
    <xf numFmtId="0" fontId="0" fillId="3" borderId="9" xfId="0" applyFill="1" applyBorder="1"/>
    <xf numFmtId="0" fontId="5" fillId="3" borderId="10" xfId="0" applyFont="1" applyFill="1" applyBorder="1"/>
    <xf numFmtId="0" fontId="0" fillId="3" borderId="11" xfId="0" applyFill="1" applyBorder="1"/>
    <xf numFmtId="0" fontId="0" fillId="3" borderId="12" xfId="0" applyFill="1" applyBorder="1"/>
    <xf numFmtId="0" fontId="9" fillId="3" borderId="0" xfId="0" applyFont="1" applyFill="1" applyAlignment="1">
      <alignment vertical="center"/>
    </xf>
    <xf numFmtId="0" fontId="11" fillId="0" borderId="0" xfId="0" applyFont="1"/>
    <xf numFmtId="0" fontId="12" fillId="3" borderId="0" xfId="0" applyFont="1" applyFill="1"/>
    <xf numFmtId="0" fontId="13" fillId="3" borderId="0" xfId="0" applyFont="1" applyFill="1"/>
    <xf numFmtId="0" fontId="13" fillId="3" borderId="15" xfId="0" applyFont="1" applyFill="1" applyBorder="1"/>
    <xf numFmtId="0" fontId="13" fillId="3" borderId="16" xfId="0" applyFont="1" applyFill="1" applyBorder="1"/>
    <xf numFmtId="0" fontId="13" fillId="3" borderId="17" xfId="0" applyFont="1" applyFill="1" applyBorder="1"/>
    <xf numFmtId="0" fontId="11" fillId="0" borderId="13" xfId="0" applyFont="1" applyBorder="1"/>
    <xf numFmtId="0" fontId="4" fillId="0" borderId="2" xfId="0" applyFont="1" applyBorder="1"/>
    <xf numFmtId="0" fontId="0" fillId="0" borderId="2" xfId="0" applyBorder="1"/>
    <xf numFmtId="164" fontId="5" fillId="4" borderId="2" xfId="0" applyNumberFormat="1" applyFont="1" applyFill="1" applyBorder="1" applyAlignment="1">
      <alignment horizontal="center" vertical="center"/>
    </xf>
    <xf numFmtId="10" fontId="5" fillId="4" borderId="2" xfId="0" applyNumberFormat="1" applyFont="1" applyFill="1" applyBorder="1" applyAlignment="1">
      <alignment horizontal="center" vertical="center"/>
    </xf>
    <xf numFmtId="10" fontId="7" fillId="3" borderId="3" xfId="0" applyNumberFormat="1" applyFont="1" applyFill="1" applyBorder="1"/>
    <xf numFmtId="164" fontId="16" fillId="0" borderId="1" xfId="0" applyNumberFormat="1" applyFont="1" applyBorder="1" applyAlignment="1">
      <alignment horizontal="center" vertical="center"/>
    </xf>
    <xf numFmtId="0" fontId="18" fillId="0" borderId="0" xfId="0" applyFont="1"/>
    <xf numFmtId="14" fontId="8" fillId="4" borderId="23" xfId="0" applyNumberFormat="1" applyFont="1" applyFill="1" applyBorder="1" applyAlignment="1">
      <alignment horizontal="center" vertical="center"/>
    </xf>
    <xf numFmtId="0" fontId="16" fillId="0" borderId="2" xfId="0" applyFont="1" applyBorder="1" applyAlignment="1">
      <alignment horizontal="center" vertical="center"/>
    </xf>
    <xf numFmtId="0" fontId="16" fillId="0" borderId="2" xfId="0" applyFont="1" applyBorder="1" applyAlignment="1">
      <alignment horizontal="center" wrapText="1"/>
    </xf>
    <xf numFmtId="0" fontId="16" fillId="0" borderId="2" xfId="0" applyFont="1" applyBorder="1" applyAlignment="1">
      <alignment horizontal="left" vertical="center" wrapText="1"/>
    </xf>
    <xf numFmtId="0" fontId="16" fillId="4" borderId="2" xfId="0" applyFont="1" applyFill="1" applyBorder="1" applyAlignment="1">
      <alignment horizontal="center" vertical="center"/>
    </xf>
    <xf numFmtId="164" fontId="16" fillId="0" borderId="2" xfId="0" applyNumberFormat="1" applyFont="1" applyBorder="1" applyAlignment="1">
      <alignment horizontal="center" vertical="center"/>
    </xf>
    <xf numFmtId="165" fontId="16" fillId="0" borderId="2" xfId="0" applyNumberFormat="1" applyFont="1" applyBorder="1" applyAlignment="1">
      <alignment horizontal="center" vertical="center"/>
    </xf>
    <xf numFmtId="0" fontId="0" fillId="3" borderId="14" xfId="0" applyFill="1" applyBorder="1"/>
    <xf numFmtId="0" fontId="0" fillId="3" borderId="17" xfId="0" applyFill="1" applyBorder="1"/>
    <xf numFmtId="0" fontId="0" fillId="3" borderId="13" xfId="0" applyFill="1" applyBorder="1"/>
    <xf numFmtId="0" fontId="0" fillId="0" borderId="13" xfId="0" applyBorder="1"/>
    <xf numFmtId="0" fontId="16" fillId="0" borderId="2" xfId="0" applyFont="1" applyBorder="1" applyAlignment="1">
      <alignment horizontal="left" vertical="center"/>
    </xf>
    <xf numFmtId="0" fontId="6" fillId="6" borderId="0" xfId="0" applyFont="1" applyFill="1" applyAlignment="1">
      <alignment horizontal="center" vertical="center"/>
    </xf>
    <xf numFmtId="164" fontId="3" fillId="6" borderId="0" xfId="0" applyNumberFormat="1" applyFont="1" applyFill="1" applyAlignment="1">
      <alignment horizontal="center" vertical="center"/>
    </xf>
    <xf numFmtId="0" fontId="0" fillId="6" borderId="0" xfId="0" applyFill="1" applyAlignment="1">
      <alignment horizontal="center" vertical="center"/>
    </xf>
    <xf numFmtId="164" fontId="6" fillId="8" borderId="2" xfId="0" applyNumberFormat="1" applyFont="1" applyFill="1" applyBorder="1" applyAlignment="1">
      <alignment horizontal="center" vertical="center"/>
    </xf>
    <xf numFmtId="0" fontId="18" fillId="8" borderId="2" xfId="0" applyFont="1" applyFill="1" applyBorder="1" applyAlignment="1">
      <alignment horizontal="center" vertical="center"/>
    </xf>
    <xf numFmtId="0" fontId="19" fillId="9" borderId="24" xfId="0" applyFont="1" applyFill="1" applyBorder="1"/>
    <xf numFmtId="0" fontId="20" fillId="9" borderId="24" xfId="0" applyFont="1" applyFill="1" applyBorder="1"/>
    <xf numFmtId="0" fontId="19" fillId="9" borderId="24" xfId="0" applyFont="1" applyFill="1" applyBorder="1" applyAlignment="1">
      <alignment horizontal="center" vertical="center"/>
    </xf>
    <xf numFmtId="164" fontId="20" fillId="9" borderId="24" xfId="0" applyNumberFormat="1" applyFont="1" applyFill="1" applyBorder="1" applyAlignment="1">
      <alignment horizontal="center" vertical="center"/>
    </xf>
    <xf numFmtId="0" fontId="1" fillId="3" borderId="0" xfId="0" applyFont="1" applyFill="1"/>
    <xf numFmtId="0" fontId="22" fillId="3" borderId="0" xfId="0" applyFont="1" applyFill="1"/>
    <xf numFmtId="0" fontId="2" fillId="3" borderId="0" xfId="0" applyFont="1" applyFill="1"/>
    <xf numFmtId="0" fontId="23" fillId="5" borderId="2" xfId="0" applyFont="1" applyFill="1" applyBorder="1" applyAlignment="1">
      <alignment horizontal="center" vertical="center" wrapText="1"/>
    </xf>
    <xf numFmtId="0" fontId="0" fillId="2" borderId="22" xfId="0" applyFill="1" applyBorder="1"/>
    <xf numFmtId="0" fontId="24" fillId="8" borderId="2" xfId="0" applyFont="1" applyFill="1" applyBorder="1" applyAlignment="1">
      <alignment horizontal="center" vertical="center"/>
    </xf>
    <xf numFmtId="0" fontId="25" fillId="8" borderId="2" xfId="0" applyFont="1" applyFill="1" applyBorder="1" applyAlignment="1">
      <alignment horizontal="center" vertical="center"/>
    </xf>
    <xf numFmtId="0" fontId="16" fillId="0" borderId="0" xfId="0" applyFont="1"/>
    <xf numFmtId="0" fontId="24" fillId="0" borderId="0" xfId="0" applyFont="1"/>
    <xf numFmtId="0" fontId="16" fillId="10" borderId="2" xfId="0" applyFont="1" applyFill="1" applyBorder="1" applyAlignment="1">
      <alignment horizontal="center" vertical="center"/>
    </xf>
    <xf numFmtId="0" fontId="20" fillId="5" borderId="22" xfId="0" applyFont="1" applyFill="1" applyBorder="1" applyAlignment="1">
      <alignment horizontal="center" vertical="center" wrapText="1"/>
    </xf>
    <xf numFmtId="0" fontId="16" fillId="0" borderId="22" xfId="0" applyFont="1" applyBorder="1" applyAlignment="1">
      <alignment horizontal="center" vertical="center"/>
    </xf>
    <xf numFmtId="0" fontId="20" fillId="5" borderId="1" xfId="0" applyFont="1" applyFill="1" applyBorder="1" applyAlignment="1">
      <alignment horizontal="center" vertical="center" wrapText="1"/>
    </xf>
    <xf numFmtId="164" fontId="20" fillId="9" borderId="1" xfId="0" applyNumberFormat="1" applyFont="1" applyFill="1" applyBorder="1" applyAlignment="1">
      <alignment horizontal="center" vertical="center"/>
    </xf>
    <xf numFmtId="166" fontId="11" fillId="0" borderId="2" xfId="1" applyNumberFormat="1" applyFont="1" applyBorder="1" applyAlignment="1">
      <alignment horizontal="center" vertical="center"/>
    </xf>
    <xf numFmtId="0" fontId="11" fillId="0" borderId="2" xfId="0" applyFont="1" applyBorder="1" applyAlignment="1">
      <alignment horizontal="left" vertical="center" wrapText="1"/>
    </xf>
    <xf numFmtId="0" fontId="30" fillId="11" borderId="2" xfId="0" applyFont="1" applyFill="1" applyBorder="1" applyAlignment="1">
      <alignment horizontal="center" vertical="center" wrapText="1"/>
    </xf>
    <xf numFmtId="0" fontId="30" fillId="11" borderId="2" xfId="0" applyFont="1" applyFill="1" applyBorder="1" applyAlignment="1">
      <alignment horizontal="center" vertical="center"/>
    </xf>
    <xf numFmtId="0" fontId="11" fillId="12" borderId="2" xfId="0" applyFont="1" applyFill="1" applyBorder="1" applyAlignment="1">
      <alignment horizontal="center" vertical="center" wrapText="1"/>
    </xf>
    <xf numFmtId="0" fontId="16" fillId="0" borderId="2" xfId="0" applyFont="1" applyFill="1" applyBorder="1" applyAlignment="1">
      <alignment horizontal="center" vertical="center"/>
    </xf>
    <xf numFmtId="0" fontId="10" fillId="3" borderId="13" xfId="0" applyFont="1" applyFill="1" applyBorder="1" applyAlignment="1">
      <alignment horizontal="center" vertical="center" wrapText="1"/>
    </xf>
    <xf numFmtId="0" fontId="10" fillId="3" borderId="0" xfId="0" applyFont="1" applyFill="1" applyAlignment="1">
      <alignment horizontal="center" vertical="center" wrapText="1"/>
    </xf>
    <xf numFmtId="0" fontId="12" fillId="3" borderId="13" xfId="0" applyFont="1" applyFill="1" applyBorder="1" applyAlignment="1">
      <alignment horizontal="center" vertical="center"/>
    </xf>
    <xf numFmtId="0" fontId="12" fillId="3" borderId="0" xfId="0" applyFont="1" applyFill="1" applyAlignment="1">
      <alignment horizontal="center" vertical="center"/>
    </xf>
    <xf numFmtId="0" fontId="7" fillId="3" borderId="13" xfId="0" applyFont="1" applyFill="1" applyBorder="1" applyAlignment="1">
      <alignment horizontal="center"/>
    </xf>
    <xf numFmtId="0" fontId="7" fillId="3" borderId="0" xfId="0" applyFont="1" applyFill="1" applyAlignment="1">
      <alignment horizontal="center"/>
    </xf>
    <xf numFmtId="0" fontId="16" fillId="3" borderId="2" xfId="0" applyFont="1" applyFill="1" applyBorder="1" applyAlignment="1">
      <alignment horizontal="left" vertical="center" wrapText="1"/>
    </xf>
    <xf numFmtId="0" fontId="6" fillId="0" borderId="0" xfId="0" applyFont="1"/>
    <xf numFmtId="0" fontId="22" fillId="3" borderId="0" xfId="0" applyFont="1" applyFill="1"/>
    <xf numFmtId="0" fontId="2" fillId="3" borderId="0" xfId="0" applyFont="1" applyFill="1"/>
    <xf numFmtId="0" fontId="6" fillId="8" borderId="19" xfId="0" applyFont="1" applyFill="1" applyBorder="1" applyAlignment="1">
      <alignment horizontal="center" vertical="center"/>
    </xf>
    <xf numFmtId="0" fontId="6" fillId="8" borderId="20" xfId="0" applyFont="1" applyFill="1" applyBorder="1" applyAlignment="1">
      <alignment horizontal="center" vertical="center"/>
    </xf>
    <xf numFmtId="0" fontId="6" fillId="8" borderId="21" xfId="0" applyFont="1" applyFill="1" applyBorder="1" applyAlignment="1">
      <alignment horizontal="center" vertical="center"/>
    </xf>
    <xf numFmtId="0" fontId="27" fillId="9" borderId="27" xfId="0" applyFont="1" applyFill="1" applyBorder="1" applyAlignment="1">
      <alignment horizontal="left" vertical="center"/>
    </xf>
    <xf numFmtId="0" fontId="27" fillId="9" borderId="0" xfId="0" applyFont="1" applyFill="1" applyAlignment="1">
      <alignment horizontal="left" vertical="center"/>
    </xf>
    <xf numFmtId="0" fontId="27" fillId="9" borderId="14" xfId="0" applyFont="1" applyFill="1" applyBorder="1" applyAlignment="1">
      <alignment horizontal="left" vertical="center"/>
    </xf>
    <xf numFmtId="0" fontId="4" fillId="0" borderId="23" xfId="0" applyFont="1" applyBorder="1" applyAlignment="1">
      <alignment horizontal="left" vertical="center"/>
    </xf>
    <xf numFmtId="0" fontId="6" fillId="7" borderId="2" xfId="0" applyFont="1" applyFill="1" applyBorder="1" applyAlignment="1">
      <alignment horizontal="center" vertical="center" wrapText="1"/>
    </xf>
    <xf numFmtId="0" fontId="15" fillId="0" borderId="2" xfId="0" applyFont="1" applyBorder="1" applyAlignment="1">
      <alignment horizontal="center" vertical="center"/>
    </xf>
    <xf numFmtId="0" fontId="15" fillId="0" borderId="19" xfId="0" applyFont="1" applyBorder="1" applyAlignment="1">
      <alignment horizontal="center" vertical="center"/>
    </xf>
    <xf numFmtId="0" fontId="13" fillId="3" borderId="0" xfId="0" applyFont="1" applyFill="1" applyAlignment="1">
      <alignment horizontal="center"/>
    </xf>
    <xf numFmtId="0" fontId="0" fillId="6" borderId="25" xfId="0" applyFill="1" applyBorder="1" applyAlignment="1">
      <alignment horizontal="center"/>
    </xf>
    <xf numFmtId="0" fontId="0" fillId="6" borderId="20" xfId="0" applyFill="1" applyBorder="1" applyAlignment="1">
      <alignment horizontal="center"/>
    </xf>
    <xf numFmtId="0" fontId="0" fillId="6" borderId="26" xfId="0" applyFill="1" applyBorder="1" applyAlignment="1">
      <alignment horizontal="center"/>
    </xf>
    <xf numFmtId="0" fontId="6" fillId="6" borderId="18" xfId="0" applyFont="1" applyFill="1" applyBorder="1" applyAlignment="1">
      <alignment horizontal="center" vertical="center"/>
    </xf>
    <xf numFmtId="0" fontId="6" fillId="8" borderId="2" xfId="0" applyFont="1" applyFill="1" applyBorder="1" applyAlignment="1">
      <alignment horizontal="center" vertical="center"/>
    </xf>
    <xf numFmtId="0" fontId="6" fillId="8" borderId="19" xfId="0" applyFont="1" applyFill="1" applyBorder="1" applyAlignment="1">
      <alignment horizontal="center"/>
    </xf>
    <xf numFmtId="0" fontId="6" fillId="8" borderId="20" xfId="0" applyFont="1" applyFill="1" applyBorder="1" applyAlignment="1">
      <alignment horizontal="center"/>
    </xf>
    <xf numFmtId="0" fontId="6" fillId="8" borderId="21" xfId="0" applyFont="1" applyFill="1" applyBorder="1" applyAlignment="1">
      <alignment horizontal="center"/>
    </xf>
    <xf numFmtId="0" fontId="16" fillId="0" borderId="27" xfId="0" applyFont="1" applyBorder="1" applyAlignment="1">
      <alignment horizontal="left" vertical="center"/>
    </xf>
    <xf numFmtId="0" fontId="16" fillId="0" borderId="0" xfId="0" applyFont="1" applyAlignment="1">
      <alignment horizontal="left" vertical="center"/>
    </xf>
    <xf numFmtId="0" fontId="26" fillId="0" borderId="0" xfId="0" applyFont="1"/>
    <xf numFmtId="0" fontId="7" fillId="3" borderId="10" xfId="0" applyFont="1" applyFill="1" applyBorder="1" applyAlignment="1">
      <alignment horizontal="center"/>
    </xf>
    <xf numFmtId="0" fontId="7" fillId="3" borderId="11" xfId="0" applyFont="1" applyFill="1" applyBorder="1" applyAlignment="1">
      <alignment horizontal="center"/>
    </xf>
    <xf numFmtId="0" fontId="7" fillId="3" borderId="12" xfId="0" applyFont="1" applyFill="1" applyBorder="1" applyAlignment="1">
      <alignment horizontal="center"/>
    </xf>
    <xf numFmtId="0" fontId="6" fillId="3" borderId="2" xfId="0" applyFont="1" applyFill="1" applyBorder="1" applyAlignment="1">
      <alignment horizontal="center" vertical="center" wrapText="1"/>
    </xf>
    <xf numFmtId="0" fontId="20" fillId="9" borderId="27" xfId="0" applyFont="1" applyFill="1" applyBorder="1" applyAlignment="1">
      <alignment horizontal="left" vertical="center"/>
    </xf>
    <xf numFmtId="0" fontId="20" fillId="9" borderId="0" xfId="0" applyFont="1" applyFill="1" applyAlignment="1">
      <alignment horizontal="left" vertical="center"/>
    </xf>
    <xf numFmtId="0" fontId="20" fillId="5" borderId="27" xfId="0" applyFont="1" applyFill="1" applyBorder="1" applyAlignment="1">
      <alignment horizontal="center" vertical="center"/>
    </xf>
    <xf numFmtId="0" fontId="20" fillId="5" borderId="0" xfId="0" applyFont="1" applyFill="1" applyAlignment="1">
      <alignment horizontal="center" vertical="center"/>
    </xf>
    <xf numFmtId="0" fontId="16" fillId="0" borderId="27" xfId="0" applyFont="1" applyBorder="1" applyAlignment="1">
      <alignment horizontal="left" vertical="center" wrapText="1"/>
    </xf>
    <xf numFmtId="0" fontId="16" fillId="0" borderId="0" xfId="0" applyFont="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339966"/>
      <rgbColor rgb="FF003300"/>
      <rgbColor rgb="FF333300"/>
      <rgbColor rgb="FF993300"/>
      <rgbColor rgb="FF993366"/>
      <rgbColor rgb="FF1F4E78"/>
      <rgbColor rgb="FF333333"/>
      <rgbColor rgb="00003366"/>
      <rgbColor rgb="00339966"/>
      <rgbColor rgb="00003300"/>
      <rgbColor rgb="00333300"/>
      <rgbColor rgb="00993300"/>
      <rgbColor rgb="00993366"/>
      <rgbColor rgb="00333399"/>
      <rgbColor rgb="00333333"/>
    </indexed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900">
                <a:latin typeface="Arial" panose="020B0604020202020204" pitchFamily="34" charset="0"/>
                <a:cs typeface="Arial" panose="020B0604020202020204" pitchFamily="34" charset="0"/>
              </a:rPr>
              <a:t>Pesos (IVA</a:t>
            </a:r>
            <a:r>
              <a:rPr lang="en-US" sz="900" baseline="0">
                <a:latin typeface="Arial" panose="020B0604020202020204" pitchFamily="34" charset="0"/>
                <a:cs typeface="Arial" panose="020B0604020202020204" pitchFamily="34" charset="0"/>
              </a:rPr>
              <a:t> incluido</a:t>
            </a:r>
            <a:r>
              <a:rPr lang="en-US" sz="900">
                <a:latin typeface="Arial" panose="020B0604020202020204" pitchFamily="34" charset="0"/>
                <a:cs typeface="Arial" panose="020B0604020202020204" pitchFamily="34" charset="0"/>
              </a:rPr>
              <a:t>)</a:t>
            </a:r>
            <a:br>
              <a:rPr lang="en-US" sz="900">
                <a:latin typeface="Arial" panose="020B0604020202020204" pitchFamily="34" charset="0"/>
                <a:cs typeface="Arial" panose="020B0604020202020204" pitchFamily="34" charset="0"/>
              </a:rPr>
            </a:br>
            <a:r>
              <a:rPr lang="en-US" sz="800">
                <a:latin typeface="Arial" panose="020B0604020202020204" pitchFamily="34" charset="0"/>
                <a:cs typeface="Arial" panose="020B0604020202020204" pitchFamily="34" charset="0"/>
              </a:rPr>
              <a:t>[Escala</a:t>
            </a:r>
            <a:r>
              <a:rPr lang="en-US" sz="800" baseline="0">
                <a:latin typeface="Arial" panose="020B0604020202020204" pitchFamily="34" charset="0"/>
                <a:cs typeface="Arial" panose="020B0604020202020204" pitchFamily="34" charset="0"/>
              </a:rPr>
              <a:t> logarítmica</a:t>
            </a:r>
            <a:r>
              <a:rPr lang="en-US" sz="800">
                <a:latin typeface="Arial" panose="020B0604020202020204" pitchFamily="34" charset="0"/>
                <a:cs typeface="Arial" panose="020B0604020202020204" pitchFamily="34" charset="0"/>
              </a:rPr>
              <a:t>]</a:t>
            </a:r>
          </a:p>
        </c:rich>
      </c:tx>
      <c:layout>
        <c:manualLayout>
          <c:xMode val="edge"/>
          <c:yMode val="edge"/>
          <c:x val="0"/>
          <c:y val="2.4583905644260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Gráfico!$D$2</c:f>
              <c:strCache>
                <c:ptCount val="1"/>
                <c:pt idx="0">
                  <c:v>COLSOF</c:v>
                </c:pt>
              </c:strCache>
            </c:strRef>
          </c:tx>
          <c:spPr>
            <a:solidFill>
              <a:schemeClr val="accent1"/>
            </a:solidFill>
            <a:ln>
              <a:noFill/>
            </a:ln>
            <a:effectLst/>
          </c:spPr>
          <c:invertIfNegative val="0"/>
          <c:cat>
            <c:strRef>
              <c:f>Gráfico!$C$3:$C$9</c:f>
              <c:strCache>
                <c:ptCount val="7"/>
                <c:pt idx="0">
                  <c:v>Mantenimiento de videoproyectores, lector de código de barras y tabletas</c:v>
                </c:pt>
                <c:pt idx="1">
                  <c:v>Mantenimiento de centros de cableado</c:v>
                </c:pt>
                <c:pt idx="2">
                  <c:v>Mantenimiento de sistemas de alimentación ininterrumpida</c:v>
                </c:pt>
                <c:pt idx="3">
                  <c:v>Mantenimiento de computadores de escritorio y portátiles</c:v>
                </c:pt>
                <c:pt idx="4">
                  <c:v>Mantenimiento de servidores y sistema de almacenamiento</c:v>
                </c:pt>
                <c:pt idx="5">
                  <c:v>Mantenimiento de impresoras, escáneres y plóter</c:v>
                </c:pt>
                <c:pt idx="6">
                  <c:v>Bolsa de repuestos</c:v>
                </c:pt>
              </c:strCache>
            </c:strRef>
          </c:cat>
          <c:val>
            <c:numRef>
              <c:f>Gráfico!$D$3:$D$9</c:f>
              <c:numCache>
                <c:formatCode>_-"$"\ * #,##0_-;\-"$"\ * #,##0_-;_-"$"\ * "-"??_-;_-@_-</c:formatCode>
                <c:ptCount val="7"/>
                <c:pt idx="0">
                  <c:v>1541288</c:v>
                </c:pt>
                <c:pt idx="1">
                  <c:v>5826121</c:v>
                </c:pt>
                <c:pt idx="2">
                  <c:v>0</c:v>
                </c:pt>
                <c:pt idx="3">
                  <c:v>1303883</c:v>
                </c:pt>
                <c:pt idx="4">
                  <c:v>3240608</c:v>
                </c:pt>
                <c:pt idx="5">
                  <c:v>1541169</c:v>
                </c:pt>
                <c:pt idx="6">
                  <c:v>4363849</c:v>
                </c:pt>
              </c:numCache>
            </c:numRef>
          </c:val>
          <c:extLst>
            <c:ext xmlns:c16="http://schemas.microsoft.com/office/drawing/2014/chart" uri="{C3380CC4-5D6E-409C-BE32-E72D297353CC}">
              <c16:uniqueId val="{00000000-610E-4253-800E-369332D2B701}"/>
            </c:ext>
          </c:extLst>
        </c:ser>
        <c:ser>
          <c:idx val="1"/>
          <c:order val="1"/>
          <c:tx>
            <c:strRef>
              <c:f>Gráfico!$E$2</c:f>
              <c:strCache>
                <c:ptCount val="1"/>
                <c:pt idx="0">
                  <c:v>MakroSystem</c:v>
                </c:pt>
              </c:strCache>
            </c:strRef>
          </c:tx>
          <c:spPr>
            <a:solidFill>
              <a:schemeClr val="accent2"/>
            </a:solidFill>
            <a:ln>
              <a:noFill/>
            </a:ln>
            <a:effectLst/>
          </c:spPr>
          <c:invertIfNegative val="0"/>
          <c:cat>
            <c:strRef>
              <c:f>Gráfico!$C$3:$C$9</c:f>
              <c:strCache>
                <c:ptCount val="7"/>
                <c:pt idx="0">
                  <c:v>Mantenimiento de videoproyectores, lector de código de barras y tabletas</c:v>
                </c:pt>
                <c:pt idx="1">
                  <c:v>Mantenimiento de centros de cableado</c:v>
                </c:pt>
                <c:pt idx="2">
                  <c:v>Mantenimiento de sistemas de alimentación ininterrumpida</c:v>
                </c:pt>
                <c:pt idx="3">
                  <c:v>Mantenimiento de computadores de escritorio y portátiles</c:v>
                </c:pt>
                <c:pt idx="4">
                  <c:v>Mantenimiento de servidores y sistema de almacenamiento</c:v>
                </c:pt>
                <c:pt idx="5">
                  <c:v>Mantenimiento de impresoras, escáneres y plóter</c:v>
                </c:pt>
                <c:pt idx="6">
                  <c:v>Bolsa de repuestos</c:v>
                </c:pt>
              </c:strCache>
            </c:strRef>
          </c:cat>
          <c:val>
            <c:numRef>
              <c:f>Gráfico!$E$3:$E$9</c:f>
              <c:numCache>
                <c:formatCode>_-"$"\ * #,##0_-;\-"$"\ * #,##0_-;_-"$"\ * "-"??_-;_-@_-</c:formatCode>
                <c:ptCount val="7"/>
                <c:pt idx="0">
                  <c:v>946050</c:v>
                </c:pt>
                <c:pt idx="1">
                  <c:v>963900</c:v>
                </c:pt>
                <c:pt idx="2">
                  <c:v>0</c:v>
                </c:pt>
                <c:pt idx="3">
                  <c:v>1428000</c:v>
                </c:pt>
                <c:pt idx="4">
                  <c:v>2284800</c:v>
                </c:pt>
                <c:pt idx="5">
                  <c:v>1416100</c:v>
                </c:pt>
                <c:pt idx="6">
                  <c:v>4391100</c:v>
                </c:pt>
              </c:numCache>
            </c:numRef>
          </c:val>
          <c:extLst>
            <c:ext xmlns:c16="http://schemas.microsoft.com/office/drawing/2014/chart" uri="{C3380CC4-5D6E-409C-BE32-E72D297353CC}">
              <c16:uniqueId val="{00000001-610E-4253-800E-369332D2B701}"/>
            </c:ext>
          </c:extLst>
        </c:ser>
        <c:ser>
          <c:idx val="2"/>
          <c:order val="2"/>
          <c:tx>
            <c:strRef>
              <c:f>Gráfico!$F$2</c:f>
              <c:strCache>
                <c:ptCount val="1"/>
                <c:pt idx="0">
                  <c:v>TW Grupo</c:v>
                </c:pt>
              </c:strCache>
            </c:strRef>
          </c:tx>
          <c:spPr>
            <a:solidFill>
              <a:schemeClr val="accent3"/>
            </a:solidFill>
            <a:ln>
              <a:noFill/>
            </a:ln>
            <a:effectLst/>
          </c:spPr>
          <c:invertIfNegative val="0"/>
          <c:cat>
            <c:strRef>
              <c:f>Gráfico!$C$3:$C$9</c:f>
              <c:strCache>
                <c:ptCount val="7"/>
                <c:pt idx="0">
                  <c:v>Mantenimiento de videoproyectores, lector de código de barras y tabletas</c:v>
                </c:pt>
                <c:pt idx="1">
                  <c:v>Mantenimiento de centros de cableado</c:v>
                </c:pt>
                <c:pt idx="2">
                  <c:v>Mantenimiento de sistemas de alimentación ininterrumpida</c:v>
                </c:pt>
                <c:pt idx="3">
                  <c:v>Mantenimiento de computadores de escritorio y portátiles</c:v>
                </c:pt>
                <c:pt idx="4">
                  <c:v>Mantenimiento de servidores y sistema de almacenamiento</c:v>
                </c:pt>
                <c:pt idx="5">
                  <c:v>Mantenimiento de impresoras, escáneres y plóter</c:v>
                </c:pt>
                <c:pt idx="6">
                  <c:v>Bolsa de repuestos</c:v>
                </c:pt>
              </c:strCache>
            </c:strRef>
          </c:cat>
          <c:val>
            <c:numRef>
              <c:f>Gráfico!$F$3:$F$9</c:f>
              <c:numCache>
                <c:formatCode>_-"$"\ * #,##0_-;\-"$"\ * #,##0_-;_-"$"\ * "-"??_-;_-@_-</c:formatCode>
                <c:ptCount val="7"/>
                <c:pt idx="0">
                  <c:v>803250</c:v>
                </c:pt>
                <c:pt idx="1">
                  <c:v>297500</c:v>
                </c:pt>
                <c:pt idx="2">
                  <c:v>0</c:v>
                </c:pt>
                <c:pt idx="3">
                  <c:v>1023400</c:v>
                </c:pt>
                <c:pt idx="4">
                  <c:v>1309000</c:v>
                </c:pt>
                <c:pt idx="5">
                  <c:v>1190000</c:v>
                </c:pt>
                <c:pt idx="6">
                  <c:v>3641400</c:v>
                </c:pt>
              </c:numCache>
            </c:numRef>
          </c:val>
          <c:extLst>
            <c:ext xmlns:c16="http://schemas.microsoft.com/office/drawing/2014/chart" uri="{C3380CC4-5D6E-409C-BE32-E72D297353CC}">
              <c16:uniqueId val="{00000002-610E-4253-800E-369332D2B701}"/>
            </c:ext>
          </c:extLst>
        </c:ser>
        <c:ser>
          <c:idx val="3"/>
          <c:order val="3"/>
          <c:tx>
            <c:strRef>
              <c:f>Gráfico!$G$2</c:f>
              <c:strCache>
                <c:ptCount val="1"/>
                <c:pt idx="0">
                  <c:v>T&amp;S Comp</c:v>
                </c:pt>
              </c:strCache>
            </c:strRef>
          </c:tx>
          <c:spPr>
            <a:solidFill>
              <a:schemeClr val="accent4"/>
            </a:solidFill>
            <a:ln>
              <a:noFill/>
            </a:ln>
            <a:effectLst/>
          </c:spPr>
          <c:invertIfNegative val="0"/>
          <c:cat>
            <c:strRef>
              <c:f>Gráfico!$C$3:$C$9</c:f>
              <c:strCache>
                <c:ptCount val="7"/>
                <c:pt idx="0">
                  <c:v>Mantenimiento de videoproyectores, lector de código de barras y tabletas</c:v>
                </c:pt>
                <c:pt idx="1">
                  <c:v>Mantenimiento de centros de cableado</c:v>
                </c:pt>
                <c:pt idx="2">
                  <c:v>Mantenimiento de sistemas de alimentación ininterrumpida</c:v>
                </c:pt>
                <c:pt idx="3">
                  <c:v>Mantenimiento de computadores de escritorio y portátiles</c:v>
                </c:pt>
                <c:pt idx="4">
                  <c:v>Mantenimiento de servidores y sistema de almacenamiento</c:v>
                </c:pt>
                <c:pt idx="5">
                  <c:v>Mantenimiento de impresoras, escáneres y plóter</c:v>
                </c:pt>
                <c:pt idx="6">
                  <c:v>Bolsa de repuestos</c:v>
                </c:pt>
              </c:strCache>
            </c:strRef>
          </c:cat>
          <c:val>
            <c:numRef>
              <c:f>Gráfico!$G$3:$G$9</c:f>
              <c:numCache>
                <c:formatCode>_-"$"\ * #,##0_-;\-"$"\ * #,##0_-;_-"$"\ * "-"??_-;_-@_-</c:formatCode>
                <c:ptCount val="7"/>
                <c:pt idx="0">
                  <c:v>1310522</c:v>
                </c:pt>
                <c:pt idx="1">
                  <c:v>132836</c:v>
                </c:pt>
                <c:pt idx="2">
                  <c:v>0</c:v>
                </c:pt>
                <c:pt idx="3">
                  <c:v>2148774</c:v>
                </c:pt>
                <c:pt idx="4">
                  <c:v>655556</c:v>
                </c:pt>
                <c:pt idx="5">
                  <c:v>983334</c:v>
                </c:pt>
                <c:pt idx="6">
                  <c:v>7317676</c:v>
                </c:pt>
              </c:numCache>
            </c:numRef>
          </c:val>
          <c:extLst>
            <c:ext xmlns:c16="http://schemas.microsoft.com/office/drawing/2014/chart" uri="{C3380CC4-5D6E-409C-BE32-E72D297353CC}">
              <c16:uniqueId val="{00000003-610E-4253-800E-369332D2B701}"/>
            </c:ext>
          </c:extLst>
        </c:ser>
        <c:ser>
          <c:idx val="4"/>
          <c:order val="4"/>
          <c:tx>
            <c:strRef>
              <c:f>Gráfico!$H$2</c:f>
              <c:strCache>
                <c:ptCount val="1"/>
                <c:pt idx="0">
                  <c:v>CPS-408-2025 (indexado)</c:v>
                </c:pt>
              </c:strCache>
            </c:strRef>
          </c:tx>
          <c:spPr>
            <a:solidFill>
              <a:schemeClr val="accent5"/>
            </a:solidFill>
            <a:ln>
              <a:noFill/>
            </a:ln>
            <a:effectLst/>
          </c:spPr>
          <c:invertIfNegative val="0"/>
          <c:cat>
            <c:strRef>
              <c:f>Gráfico!$C$3:$C$9</c:f>
              <c:strCache>
                <c:ptCount val="7"/>
                <c:pt idx="0">
                  <c:v>Mantenimiento de videoproyectores, lector de código de barras y tabletas</c:v>
                </c:pt>
                <c:pt idx="1">
                  <c:v>Mantenimiento de centros de cableado</c:v>
                </c:pt>
                <c:pt idx="2">
                  <c:v>Mantenimiento de sistemas de alimentación ininterrumpida</c:v>
                </c:pt>
                <c:pt idx="3">
                  <c:v>Mantenimiento de computadores de escritorio y portátiles</c:v>
                </c:pt>
                <c:pt idx="4">
                  <c:v>Mantenimiento de servidores y sistema de almacenamiento</c:v>
                </c:pt>
                <c:pt idx="5">
                  <c:v>Mantenimiento de impresoras, escáneres y plóter</c:v>
                </c:pt>
                <c:pt idx="6">
                  <c:v>Bolsa de repuestos</c:v>
                </c:pt>
              </c:strCache>
            </c:strRef>
          </c:cat>
          <c:val>
            <c:numRef>
              <c:f>Gráfico!$H$3:$H$9</c:f>
              <c:numCache>
                <c:formatCode>_-"$"\ * #,##0_-;\-"$"\ * #,##0_-;_-"$"\ * "-"??_-;_-@_-</c:formatCode>
                <c:ptCount val="7"/>
                <c:pt idx="0">
                  <c:v>611456.00340000005</c:v>
                </c:pt>
                <c:pt idx="1">
                  <c:v>61975.809500000003</c:v>
                </c:pt>
                <c:pt idx="2">
                  <c:v>0</c:v>
                </c:pt>
                <c:pt idx="3">
                  <c:v>1002511.2918999998</c:v>
                </c:pt>
                <c:pt idx="4">
                  <c:v>305849.22320000001</c:v>
                </c:pt>
                <c:pt idx="5">
                  <c:v>458773.83479999995</c:v>
                </c:pt>
                <c:pt idx="6">
                  <c:v>3984328.2898999997</c:v>
                </c:pt>
              </c:numCache>
            </c:numRef>
          </c:val>
          <c:extLst>
            <c:ext xmlns:c16="http://schemas.microsoft.com/office/drawing/2014/chart" uri="{C3380CC4-5D6E-409C-BE32-E72D297353CC}">
              <c16:uniqueId val="{00000004-610E-4253-800E-369332D2B701}"/>
            </c:ext>
          </c:extLst>
        </c:ser>
        <c:dLbls>
          <c:showLegendKey val="0"/>
          <c:showVal val="0"/>
          <c:showCatName val="0"/>
          <c:showSerName val="0"/>
          <c:showPercent val="0"/>
          <c:showBubbleSize val="0"/>
        </c:dLbls>
        <c:gapWidth val="219"/>
        <c:overlap val="-27"/>
        <c:axId val="1768572960"/>
        <c:axId val="1768571296"/>
      </c:barChart>
      <c:catAx>
        <c:axId val="17685729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68571296"/>
        <c:crosses val="autoZero"/>
        <c:auto val="1"/>
        <c:lblAlgn val="ctr"/>
        <c:lblOffset val="100"/>
        <c:noMultiLvlLbl val="0"/>
      </c:catAx>
      <c:valAx>
        <c:axId val="1768571296"/>
        <c:scaling>
          <c:logBase val="10"/>
          <c:orientation val="minMax"/>
        </c:scaling>
        <c:delete val="0"/>
        <c:axPos val="l"/>
        <c:majorGridlines>
          <c:spPr>
            <a:ln w="9525" cap="flat" cmpd="sng" algn="ctr">
              <a:solidFill>
                <a:schemeClr val="tx1">
                  <a:lumMod val="15000"/>
                  <a:lumOff val="85000"/>
                </a:schemeClr>
              </a:solidFill>
              <a:round/>
            </a:ln>
            <a:effectLst/>
          </c:spPr>
        </c:majorGridlines>
        <c:numFmt formatCode="_-&quot;$&quot;\ * #,##0_-;\-&quot;$&quot;\ * #,##0_-;_-&quot;$&quot;\ * &quot;-&quot;??_-;_-@_-" sourceLinked="1"/>
        <c:majorTickMark val="none"/>
        <c:minorTickMark val="none"/>
        <c:tickLblPos val="nextTo"/>
        <c:spPr>
          <a:noFill/>
          <a:ln>
            <a:noFill/>
          </a:ln>
          <a:effectLst/>
        </c:spPr>
        <c:txPr>
          <a:bodyPr rot="0" spcFirstLastPara="1" vertOverflow="ellipsis" wrap="square" anchor="ctr" anchorCtr="0"/>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s-CO"/>
          </a:p>
        </c:txPr>
        <c:crossAx val="17685729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371475</xdr:colOff>
      <xdr:row>0</xdr:row>
      <xdr:rowOff>247643</xdr:rowOff>
    </xdr:from>
    <xdr:ext cx="4319979" cy="1080000"/>
    <xdr:pic>
      <xdr:nvPicPr>
        <xdr:cNvPr id="2" name="image3.png" title="Imagen">
          <a:extLst>
            <a:ext uri="{FF2B5EF4-FFF2-40B4-BE49-F238E27FC236}">
              <a16:creationId xmlns:a16="http://schemas.microsoft.com/office/drawing/2014/main" id="{68C4DE2D-6BE1-4037-AE42-3FDE248A27C6}"/>
            </a:ext>
          </a:extLst>
        </xdr:cNvPr>
        <xdr:cNvPicPr preferRelativeResize="0">
          <a:picLocks noChangeAspect="1"/>
        </xdr:cNvPicPr>
      </xdr:nvPicPr>
      <xdr:blipFill>
        <a:blip xmlns:r="http://schemas.openxmlformats.org/officeDocument/2006/relationships" r:embed="rId1" cstate="print"/>
        <a:stretch>
          <a:fillRect/>
        </a:stretch>
      </xdr:blipFill>
      <xdr:spPr>
        <a:xfrm>
          <a:off x="371475" y="247643"/>
          <a:ext cx="4319979" cy="10800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0</xdr:col>
      <xdr:colOff>323020</xdr:colOff>
      <xdr:row>10</xdr:row>
      <xdr:rowOff>11595</xdr:rowOff>
    </xdr:from>
    <xdr:to>
      <xdr:col>8</xdr:col>
      <xdr:colOff>0</xdr:colOff>
      <xdr:row>34</xdr:row>
      <xdr:rowOff>8283</xdr:rowOff>
    </xdr:to>
    <xdr:graphicFrame macro="">
      <xdr:nvGraphicFramePr>
        <xdr:cNvPr id="2" name="Gráfico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3"/>
  <sheetViews>
    <sheetView tabSelected="1" zoomScale="95" zoomScaleNormal="95" workbookViewId="0">
      <pane ySplit="9" topLeftCell="A95" activePane="bottomLeft" state="frozen"/>
      <selection pane="bottomLeft" activeCell="M109" sqref="M109"/>
    </sheetView>
  </sheetViews>
  <sheetFormatPr baseColWidth="10" defaultColWidth="8.7109375" defaultRowHeight="15" x14ac:dyDescent="0.25"/>
  <cols>
    <col min="1" max="1" width="6.7109375" customWidth="1"/>
    <col min="2" max="2" width="12.7109375" customWidth="1"/>
    <col min="3" max="3" width="53.28515625" customWidth="1"/>
    <col min="4" max="4" width="44" customWidth="1"/>
    <col min="5" max="5" width="9" customWidth="1"/>
    <col min="6" max="6" width="7.7109375" customWidth="1"/>
    <col min="7" max="7" width="17.85546875" customWidth="1"/>
    <col min="8" max="10" width="17.7109375" customWidth="1"/>
    <col min="11" max="11" width="14" customWidth="1"/>
    <col min="12" max="12" width="15.7109375" customWidth="1"/>
    <col min="13" max="13" width="15.5703125" customWidth="1"/>
    <col min="14" max="14" width="11.7109375" customWidth="1"/>
    <col min="15" max="15" width="16.42578125" customWidth="1"/>
  </cols>
  <sheetData>
    <row r="1" spans="1:16" s="13" customFormat="1" ht="80.099999999999994" customHeight="1" x14ac:dyDescent="0.2">
      <c r="A1" s="12"/>
      <c r="B1" s="12"/>
      <c r="C1" s="12"/>
      <c r="D1" s="68" t="s">
        <v>100</v>
      </c>
      <c r="E1" s="69"/>
      <c r="F1" s="69"/>
      <c r="G1" s="69"/>
      <c r="H1" s="69"/>
      <c r="I1" s="69"/>
      <c r="J1" s="69"/>
      <c r="K1" s="69"/>
      <c r="L1" s="69"/>
      <c r="M1" s="69"/>
      <c r="N1" s="69"/>
      <c r="O1" s="69"/>
      <c r="P1" s="19"/>
    </row>
    <row r="2" spans="1:16" s="13" customFormat="1" thickBot="1" x14ac:dyDescent="0.25">
      <c r="A2" s="14"/>
      <c r="B2" s="14"/>
      <c r="C2" s="14"/>
      <c r="D2" s="70" t="s">
        <v>99</v>
      </c>
      <c r="E2" s="71"/>
      <c r="F2" s="71"/>
      <c r="G2" s="71"/>
      <c r="H2" s="71"/>
      <c r="I2" s="71"/>
      <c r="J2" s="71"/>
      <c r="K2" s="71"/>
      <c r="L2" s="71"/>
      <c r="M2" s="71"/>
      <c r="N2" s="71"/>
      <c r="O2" s="71"/>
      <c r="P2" s="19"/>
    </row>
    <row r="3" spans="1:16" s="13" customFormat="1" ht="15.75" thickBot="1" x14ac:dyDescent="0.3">
      <c r="A3" s="15"/>
      <c r="B3" s="15"/>
      <c r="C3" s="15"/>
      <c r="D3" s="72" t="s">
        <v>101</v>
      </c>
      <c r="E3" s="73"/>
      <c r="F3" s="73"/>
      <c r="G3" s="24">
        <v>5.4100000000000002E-2</v>
      </c>
      <c r="H3" s="15"/>
      <c r="I3" s="15"/>
      <c r="J3" s="15"/>
      <c r="K3" s="88"/>
      <c r="L3" s="88"/>
      <c r="M3" s="88"/>
      <c r="N3" s="88"/>
      <c r="O3" s="88"/>
      <c r="P3" s="19"/>
    </row>
    <row r="4" spans="1:16" s="13" customFormat="1" ht="14.25" x14ac:dyDescent="0.2">
      <c r="A4" s="17"/>
      <c r="B4" s="17"/>
      <c r="C4" s="18"/>
      <c r="D4" s="16"/>
      <c r="E4" s="15"/>
      <c r="F4" s="15"/>
      <c r="G4" s="15"/>
      <c r="H4" s="15"/>
      <c r="I4" s="15"/>
      <c r="J4" s="15"/>
      <c r="K4" s="88"/>
      <c r="L4" s="88"/>
      <c r="M4" s="88"/>
      <c r="N4" s="88"/>
      <c r="O4" s="88"/>
      <c r="P4" s="19"/>
    </row>
    <row r="5" spans="1:16" ht="15.75" x14ac:dyDescent="0.25">
      <c r="A5" s="86" t="s">
        <v>0</v>
      </c>
      <c r="B5" s="86"/>
      <c r="C5" s="86"/>
      <c r="D5" s="87"/>
      <c r="E5" s="36"/>
      <c r="F5" s="1"/>
      <c r="G5" s="1"/>
      <c r="H5" s="1"/>
      <c r="I5" s="1"/>
      <c r="J5" s="1"/>
      <c r="K5" s="1"/>
      <c r="L5" s="1"/>
      <c r="M5" s="1"/>
      <c r="N5" s="1"/>
      <c r="O5" s="1"/>
      <c r="P5" s="37"/>
    </row>
    <row r="6" spans="1:16" x14ac:dyDescent="0.25">
      <c r="A6" s="20" t="s">
        <v>1</v>
      </c>
      <c r="B6" s="21"/>
      <c r="C6" s="21"/>
      <c r="D6" s="22">
        <v>34883000</v>
      </c>
      <c r="E6" s="1"/>
      <c r="F6" s="1"/>
      <c r="G6" s="1"/>
      <c r="H6" s="1"/>
      <c r="I6" s="1"/>
      <c r="J6" s="1"/>
      <c r="K6" s="1"/>
      <c r="L6" s="1"/>
      <c r="M6" s="1"/>
      <c r="N6" s="1"/>
      <c r="O6" s="34"/>
    </row>
    <row r="7" spans="1:16" x14ac:dyDescent="0.25">
      <c r="A7" s="20" t="s">
        <v>2</v>
      </c>
      <c r="B7" s="21"/>
      <c r="C7" s="21"/>
      <c r="D7" s="23">
        <v>5.4100000000000002E-2</v>
      </c>
      <c r="E7" s="1"/>
      <c r="F7" s="1"/>
      <c r="G7" s="1"/>
      <c r="H7" s="1"/>
      <c r="I7" s="1"/>
      <c r="J7" s="1"/>
      <c r="K7" s="1"/>
      <c r="L7" s="1"/>
      <c r="M7" s="1"/>
      <c r="N7" s="1"/>
      <c r="O7" s="34"/>
    </row>
    <row r="8" spans="1:16" x14ac:dyDescent="0.25">
      <c r="A8" s="84" t="s">
        <v>3</v>
      </c>
      <c r="B8" s="84"/>
      <c r="C8" s="84"/>
      <c r="D8" s="27">
        <v>46275</v>
      </c>
      <c r="E8" s="1"/>
      <c r="F8" s="1"/>
      <c r="G8" s="1"/>
      <c r="H8" s="1"/>
      <c r="I8" s="1"/>
      <c r="J8" s="1"/>
      <c r="K8" s="1"/>
      <c r="L8" s="1"/>
      <c r="M8" s="1"/>
      <c r="N8" s="1"/>
      <c r="O8" s="35"/>
    </row>
    <row r="9" spans="1:16" ht="51" x14ac:dyDescent="0.25">
      <c r="A9" s="51" t="s">
        <v>4</v>
      </c>
      <c r="B9" s="51" t="s">
        <v>5</v>
      </c>
      <c r="C9" s="51" t="s">
        <v>6</v>
      </c>
      <c r="D9" s="51" t="s">
        <v>7</v>
      </c>
      <c r="E9" s="51" t="s">
        <v>8</v>
      </c>
      <c r="F9" s="51" t="s">
        <v>9</v>
      </c>
      <c r="G9" s="51" t="s">
        <v>10</v>
      </c>
      <c r="H9" s="51" t="s">
        <v>11</v>
      </c>
      <c r="I9" s="51" t="s">
        <v>12</v>
      </c>
      <c r="J9" s="51" t="s">
        <v>13</v>
      </c>
      <c r="K9" s="51" t="s">
        <v>14</v>
      </c>
      <c r="L9" s="51" t="s">
        <v>15</v>
      </c>
      <c r="M9" s="51" t="s">
        <v>16</v>
      </c>
      <c r="N9" s="51" t="s">
        <v>17</v>
      </c>
      <c r="O9" s="51" t="s">
        <v>18</v>
      </c>
    </row>
    <row r="10" spans="1:16" s="26" customFormat="1" ht="12.75" x14ac:dyDescent="0.2">
      <c r="A10" s="85" t="s">
        <v>133</v>
      </c>
      <c r="B10" s="85"/>
      <c r="C10" s="85"/>
      <c r="D10" s="85"/>
      <c r="E10" s="85"/>
      <c r="F10" s="85"/>
      <c r="G10" s="85"/>
      <c r="H10" s="85"/>
      <c r="I10" s="85"/>
      <c r="J10" s="85"/>
      <c r="K10" s="85"/>
      <c r="L10" s="85"/>
      <c r="M10" s="85"/>
      <c r="N10" s="85"/>
      <c r="O10" s="85"/>
    </row>
    <row r="11" spans="1:16" ht="51.75" x14ac:dyDescent="0.25">
      <c r="A11" s="28" t="s">
        <v>102</v>
      </c>
      <c r="B11" s="29" t="s">
        <v>19</v>
      </c>
      <c r="C11" s="30" t="s">
        <v>20</v>
      </c>
      <c r="D11" s="30" t="s">
        <v>21</v>
      </c>
      <c r="E11" s="28" t="s">
        <v>8</v>
      </c>
      <c r="F11" s="31">
        <v>1</v>
      </c>
      <c r="G11" s="32">
        <v>316183</v>
      </c>
      <c r="H11" s="32">
        <v>226100</v>
      </c>
      <c r="I11" s="32">
        <v>142800</v>
      </c>
      <c r="J11" s="32">
        <v>169064</v>
      </c>
      <c r="K11" s="32">
        <v>74858</v>
      </c>
      <c r="L11" s="32">
        <f t="shared" ref="L11:L16" si="0">K11*(1+$D$7)</f>
        <v>78907.817800000004</v>
      </c>
      <c r="M11" s="32">
        <f t="shared" ref="M11:M14" si="1">MEDIAN(G11:J11,L11)</f>
        <v>169064</v>
      </c>
      <c r="N11" s="33">
        <f t="shared" ref="N11:N16" si="2">STDEV(G11:J11,L11)/AVERAGE(G11:J11,L11)</f>
        <v>0.48061343939544937</v>
      </c>
      <c r="O11" s="32">
        <f t="shared" ref="O11:O16" si="3">M11*F11</f>
        <v>169064</v>
      </c>
    </row>
    <row r="12" spans="1:16" ht="51.75" x14ac:dyDescent="0.25">
      <c r="A12" s="28" t="s">
        <v>103</v>
      </c>
      <c r="B12" s="29" t="s">
        <v>19</v>
      </c>
      <c r="C12" s="30" t="s">
        <v>20</v>
      </c>
      <c r="D12" s="30" t="s">
        <v>22</v>
      </c>
      <c r="E12" s="28" t="s">
        <v>8</v>
      </c>
      <c r="F12" s="31">
        <v>1</v>
      </c>
      <c r="G12" s="32">
        <v>316183</v>
      </c>
      <c r="H12" s="32">
        <v>190400</v>
      </c>
      <c r="I12" s="32">
        <v>142800</v>
      </c>
      <c r="J12" s="32">
        <v>171652</v>
      </c>
      <c r="K12" s="32">
        <v>75974</v>
      </c>
      <c r="L12" s="32">
        <f t="shared" si="0"/>
        <v>80084.193400000004</v>
      </c>
      <c r="M12" s="32">
        <f t="shared" si="1"/>
        <v>171652</v>
      </c>
      <c r="N12" s="33">
        <f t="shared" si="2"/>
        <v>0.48125124723558194</v>
      </c>
      <c r="O12" s="32">
        <f t="shared" si="3"/>
        <v>171652</v>
      </c>
    </row>
    <row r="13" spans="1:16" ht="51.75" x14ac:dyDescent="0.25">
      <c r="A13" s="28" t="s">
        <v>104</v>
      </c>
      <c r="B13" s="29" t="s">
        <v>19</v>
      </c>
      <c r="C13" s="30" t="s">
        <v>20</v>
      </c>
      <c r="D13" s="30" t="s">
        <v>23</v>
      </c>
      <c r="E13" s="28" t="s">
        <v>8</v>
      </c>
      <c r="F13" s="31">
        <v>1</v>
      </c>
      <c r="G13" s="32">
        <v>316183</v>
      </c>
      <c r="H13" s="32">
        <v>190400</v>
      </c>
      <c r="I13" s="32">
        <v>130900</v>
      </c>
      <c r="J13" s="32">
        <v>170789</v>
      </c>
      <c r="K13" s="32">
        <v>75592</v>
      </c>
      <c r="L13" s="32">
        <f t="shared" si="0"/>
        <v>79681.527199999997</v>
      </c>
      <c r="M13" s="32">
        <f t="shared" si="1"/>
        <v>170789</v>
      </c>
      <c r="N13" s="33">
        <f t="shared" si="2"/>
        <v>0.49718547198874263</v>
      </c>
      <c r="O13" s="32">
        <f t="shared" si="3"/>
        <v>170789</v>
      </c>
    </row>
    <row r="14" spans="1:16" ht="51.75" x14ac:dyDescent="0.25">
      <c r="A14" s="28" t="s">
        <v>105</v>
      </c>
      <c r="B14" s="29" t="s">
        <v>19</v>
      </c>
      <c r="C14" s="30" t="s">
        <v>20</v>
      </c>
      <c r="D14" s="30" t="s">
        <v>24</v>
      </c>
      <c r="E14" s="28" t="s">
        <v>8</v>
      </c>
      <c r="F14" s="31">
        <v>1</v>
      </c>
      <c r="G14" s="32">
        <v>355691</v>
      </c>
      <c r="H14" s="32">
        <v>95200</v>
      </c>
      <c r="I14" s="32">
        <v>53550</v>
      </c>
      <c r="J14" s="32">
        <v>154400</v>
      </c>
      <c r="K14" s="32">
        <v>68338</v>
      </c>
      <c r="L14" s="32">
        <f t="shared" si="0"/>
        <v>72035.085800000001</v>
      </c>
      <c r="M14" s="32">
        <f t="shared" si="1"/>
        <v>95200</v>
      </c>
      <c r="N14" s="33">
        <f t="shared" si="2"/>
        <v>0.84231181306469194</v>
      </c>
      <c r="O14" s="32">
        <f t="shared" si="3"/>
        <v>95200</v>
      </c>
    </row>
    <row r="15" spans="1:16" ht="51.75" x14ac:dyDescent="0.25">
      <c r="A15" s="28" t="s">
        <v>106</v>
      </c>
      <c r="B15" s="29" t="s">
        <v>19</v>
      </c>
      <c r="C15" s="30" t="s">
        <v>20</v>
      </c>
      <c r="D15" s="30" t="s">
        <v>25</v>
      </c>
      <c r="E15" s="28" t="s">
        <v>8</v>
      </c>
      <c r="F15" s="31">
        <v>1</v>
      </c>
      <c r="G15" s="32">
        <v>118524</v>
      </c>
      <c r="H15" s="32">
        <v>107100</v>
      </c>
      <c r="I15" s="32">
        <v>166600</v>
      </c>
      <c r="J15" s="32">
        <v>322993</v>
      </c>
      <c r="K15" s="32">
        <v>142959</v>
      </c>
      <c r="L15" s="32">
        <f t="shared" si="0"/>
        <v>150693.08190000002</v>
      </c>
      <c r="M15" s="32">
        <f>ROUND(MEDIAN(G15:J15,L15),0)</f>
        <v>150693</v>
      </c>
      <c r="N15" s="33">
        <f t="shared" si="2"/>
        <v>0.50294815226623957</v>
      </c>
      <c r="O15" s="32">
        <f t="shared" si="3"/>
        <v>150693</v>
      </c>
    </row>
    <row r="16" spans="1:16" ht="51.75" x14ac:dyDescent="0.25">
      <c r="A16" s="28" t="s">
        <v>107</v>
      </c>
      <c r="B16" s="29" t="s">
        <v>19</v>
      </c>
      <c r="C16" s="30" t="s">
        <v>20</v>
      </c>
      <c r="D16" s="30" t="s">
        <v>26</v>
      </c>
      <c r="E16" s="28" t="s">
        <v>8</v>
      </c>
      <c r="F16" s="31">
        <v>1</v>
      </c>
      <c r="G16" s="32">
        <v>118524</v>
      </c>
      <c r="H16" s="32">
        <v>136850</v>
      </c>
      <c r="I16" s="32">
        <v>166600</v>
      </c>
      <c r="J16" s="32">
        <v>321624</v>
      </c>
      <c r="K16" s="32">
        <v>142353</v>
      </c>
      <c r="L16" s="32">
        <f t="shared" si="0"/>
        <v>150054.29730000001</v>
      </c>
      <c r="M16" s="32">
        <f>ROUND(MEDIAN(G16:J16,L16),0)</f>
        <v>150054</v>
      </c>
      <c r="N16" s="33">
        <f t="shared" si="2"/>
        <v>0.4576883536130133</v>
      </c>
      <c r="O16" s="32">
        <f t="shared" si="3"/>
        <v>150054</v>
      </c>
    </row>
    <row r="17" spans="1:15" x14ac:dyDescent="0.25">
      <c r="A17" s="78" t="s">
        <v>134</v>
      </c>
      <c r="B17" s="79"/>
      <c r="C17" s="79"/>
      <c r="D17" s="79"/>
      <c r="E17" s="79"/>
      <c r="F17" s="79"/>
      <c r="G17" s="79"/>
      <c r="H17" s="79"/>
      <c r="I17" s="79"/>
      <c r="J17" s="79"/>
      <c r="K17" s="79"/>
      <c r="L17" s="80"/>
      <c r="M17" s="42">
        <f>SUM(M11:M16)</f>
        <v>907452</v>
      </c>
      <c r="N17" s="43"/>
      <c r="O17" s="42">
        <f>SUM(O11:O16)</f>
        <v>907452</v>
      </c>
    </row>
    <row r="18" spans="1:15" s="1" customFormat="1" x14ac:dyDescent="0.25">
      <c r="A18" s="89"/>
      <c r="B18" s="90"/>
      <c r="C18" s="90"/>
      <c r="D18" s="90"/>
      <c r="E18" s="90"/>
      <c r="F18" s="90"/>
      <c r="G18" s="90"/>
      <c r="H18" s="90"/>
      <c r="I18" s="90"/>
      <c r="J18" s="90"/>
      <c r="K18" s="90"/>
      <c r="L18" s="90"/>
      <c r="M18" s="90"/>
      <c r="N18" s="90"/>
      <c r="O18" s="91"/>
    </row>
    <row r="19" spans="1:15" s="1" customFormat="1" x14ac:dyDescent="0.25">
      <c r="A19" s="85" t="s">
        <v>135</v>
      </c>
      <c r="B19" s="85"/>
      <c r="C19" s="85"/>
      <c r="D19" s="85"/>
      <c r="E19" s="85"/>
      <c r="F19" s="85"/>
      <c r="G19" s="85"/>
      <c r="H19" s="85"/>
      <c r="I19" s="85"/>
      <c r="J19" s="85"/>
      <c r="K19" s="85"/>
      <c r="L19" s="85"/>
      <c r="M19" s="85"/>
      <c r="N19" s="85"/>
      <c r="O19" s="85"/>
    </row>
    <row r="20" spans="1:15" ht="51.75" x14ac:dyDescent="0.25">
      <c r="A20" s="28" t="s">
        <v>108</v>
      </c>
      <c r="B20" s="29" t="s">
        <v>19</v>
      </c>
      <c r="C20" s="38" t="s">
        <v>27</v>
      </c>
      <c r="D20" s="30" t="s">
        <v>28</v>
      </c>
      <c r="E20" s="28" t="s">
        <v>8</v>
      </c>
      <c r="F20" s="31">
        <v>7</v>
      </c>
      <c r="G20" s="32">
        <v>5826121</v>
      </c>
      <c r="H20" s="32">
        <v>963900</v>
      </c>
      <c r="I20" s="32">
        <v>297500</v>
      </c>
      <c r="J20" s="32">
        <v>132836</v>
      </c>
      <c r="K20" s="32">
        <v>58795</v>
      </c>
      <c r="L20" s="32">
        <f>K20*(1+$D$7)</f>
        <v>61975.809500000003</v>
      </c>
      <c r="M20" s="32">
        <f>MEDIAN(G20:J20,L20)</f>
        <v>297500</v>
      </c>
      <c r="N20" s="33">
        <f>STDEV(G20:J20,L20)/AVERAGE(G20:J20,L20)</f>
        <v>1.6949365545763742</v>
      </c>
      <c r="O20" s="32">
        <f>M20*F20</f>
        <v>2082500</v>
      </c>
    </row>
    <row r="21" spans="1:15" x14ac:dyDescent="0.25">
      <c r="A21" s="78" t="s">
        <v>136</v>
      </c>
      <c r="B21" s="79"/>
      <c r="C21" s="79"/>
      <c r="D21" s="79"/>
      <c r="E21" s="79"/>
      <c r="F21" s="79"/>
      <c r="G21" s="79"/>
      <c r="H21" s="79"/>
      <c r="I21" s="79"/>
      <c r="J21" s="79"/>
      <c r="K21" s="79"/>
      <c r="L21" s="80"/>
      <c r="M21" s="42">
        <f>SUM(M20:M20)</f>
        <v>297500</v>
      </c>
      <c r="N21" s="43"/>
      <c r="O21" s="42">
        <f>SUM(O20:O20)</f>
        <v>2082500</v>
      </c>
    </row>
    <row r="22" spans="1:15" x14ac:dyDescent="0.25">
      <c r="A22" s="89"/>
      <c r="B22" s="90"/>
      <c r="C22" s="90"/>
      <c r="D22" s="90"/>
      <c r="E22" s="90"/>
      <c r="F22" s="90"/>
      <c r="G22" s="90"/>
      <c r="H22" s="90"/>
      <c r="I22" s="90"/>
      <c r="J22" s="90"/>
      <c r="K22" s="90"/>
      <c r="L22" s="90"/>
      <c r="M22" s="90"/>
      <c r="N22" s="90"/>
      <c r="O22" s="91"/>
    </row>
    <row r="23" spans="1:15" x14ac:dyDescent="0.25">
      <c r="A23" s="85" t="s">
        <v>137</v>
      </c>
      <c r="B23" s="85"/>
      <c r="C23" s="85"/>
      <c r="D23" s="85"/>
      <c r="E23" s="85"/>
      <c r="F23" s="85"/>
      <c r="G23" s="85"/>
      <c r="H23" s="85"/>
      <c r="I23" s="85"/>
      <c r="J23" s="85"/>
      <c r="K23" s="85"/>
      <c r="L23" s="85"/>
      <c r="M23" s="85"/>
      <c r="N23" s="85"/>
      <c r="O23" s="85"/>
    </row>
    <row r="24" spans="1:15" ht="51.75" x14ac:dyDescent="0.25">
      <c r="A24" s="28" t="s">
        <v>109</v>
      </c>
      <c r="B24" s="29" t="s">
        <v>19</v>
      </c>
      <c r="C24" s="30" t="s">
        <v>29</v>
      </c>
      <c r="D24" s="30" t="s">
        <v>30</v>
      </c>
      <c r="E24" s="28" t="s">
        <v>8</v>
      </c>
      <c r="F24" s="31">
        <v>2</v>
      </c>
      <c r="G24" s="32">
        <v>513723</v>
      </c>
      <c r="H24" s="32">
        <v>714000</v>
      </c>
      <c r="I24" s="32">
        <v>357000</v>
      </c>
      <c r="J24" s="32">
        <v>280336</v>
      </c>
      <c r="K24" s="32">
        <v>124079</v>
      </c>
      <c r="L24" s="32">
        <f>K24*(1+$D$7)</f>
        <v>130791.67390000001</v>
      </c>
      <c r="M24" s="32">
        <f>MEDIAN(G24:J24,L24)</f>
        <v>357000</v>
      </c>
      <c r="N24" s="33">
        <f>STDEV(G24:J24,L24)/AVERAGE(G24:J24,L24)</f>
        <v>0.56041310573051806</v>
      </c>
      <c r="O24" s="32">
        <f>M24*F24</f>
        <v>714000</v>
      </c>
    </row>
    <row r="25" spans="1:15" ht="51.75" x14ac:dyDescent="0.25">
      <c r="A25" s="28" t="s">
        <v>110</v>
      </c>
      <c r="B25" s="29" t="s">
        <v>19</v>
      </c>
      <c r="C25" s="30" t="s">
        <v>29</v>
      </c>
      <c r="D25" s="30" t="s">
        <v>31</v>
      </c>
      <c r="E25" s="28" t="s">
        <v>8</v>
      </c>
      <c r="F25" s="31">
        <v>1</v>
      </c>
      <c r="G25" s="32">
        <v>711382</v>
      </c>
      <c r="H25" s="32">
        <v>868700</v>
      </c>
      <c r="I25" s="32">
        <v>416500</v>
      </c>
      <c r="J25" s="32">
        <v>280336</v>
      </c>
      <c r="K25" s="32">
        <v>124079</v>
      </c>
      <c r="L25" s="32">
        <f>K25*(1+$D$7)</f>
        <v>130791.67390000001</v>
      </c>
      <c r="M25" s="32">
        <f>MEDIAN(G25:J25,L25)</f>
        <v>416500</v>
      </c>
      <c r="N25" s="33">
        <f>STDEV(G25:J25,L25)/AVERAGE(G25:J25,L25)</f>
        <v>0.63198284834072482</v>
      </c>
      <c r="O25" s="32">
        <f>M25*F25</f>
        <v>416500</v>
      </c>
    </row>
    <row r="26" spans="1:15" ht="51.75" x14ac:dyDescent="0.25">
      <c r="A26" s="28" t="s">
        <v>162</v>
      </c>
      <c r="B26" s="29" t="s">
        <v>19</v>
      </c>
      <c r="C26" s="30" t="s">
        <v>29</v>
      </c>
      <c r="D26" s="30" t="s">
        <v>32</v>
      </c>
      <c r="E26" s="28" t="s">
        <v>8</v>
      </c>
      <c r="F26" s="31">
        <v>1</v>
      </c>
      <c r="G26" s="32">
        <v>513723</v>
      </c>
      <c r="H26" s="32">
        <v>714000</v>
      </c>
      <c r="I26" s="32">
        <v>380800</v>
      </c>
      <c r="J26" s="32">
        <v>280336</v>
      </c>
      <c r="K26" s="32">
        <v>124079</v>
      </c>
      <c r="L26" s="32">
        <f>K26*(1+$D$7)</f>
        <v>130791.67390000001</v>
      </c>
      <c r="M26" s="32">
        <f>MEDIAN(G26:J26,L26)</f>
        <v>380800</v>
      </c>
      <c r="N26" s="33">
        <f>STDEV(G26:J26,L26)/AVERAGE(G26:J26,L26)</f>
        <v>0.55165493212903316</v>
      </c>
      <c r="O26" s="32">
        <f>M26*F26</f>
        <v>380800</v>
      </c>
    </row>
    <row r="27" spans="1:15" ht="51.75" x14ac:dyDescent="0.25">
      <c r="A27" s="28" t="s">
        <v>111</v>
      </c>
      <c r="B27" s="29" t="s">
        <v>19</v>
      </c>
      <c r="C27" s="30" t="s">
        <v>29</v>
      </c>
      <c r="D27" s="30" t="s">
        <v>33</v>
      </c>
      <c r="E27" s="28" t="s">
        <v>8</v>
      </c>
      <c r="F27" s="31">
        <v>1</v>
      </c>
      <c r="G27" s="32">
        <v>513723</v>
      </c>
      <c r="H27" s="32">
        <v>595000</v>
      </c>
      <c r="I27" s="32">
        <v>404600</v>
      </c>
      <c r="J27" s="32">
        <v>280336</v>
      </c>
      <c r="K27" s="32">
        <v>124079</v>
      </c>
      <c r="L27" s="32">
        <f>K27*(1+$D$7)</f>
        <v>130791.67390000001</v>
      </c>
      <c r="M27" s="32">
        <f>MEDIAN(G27:J27,L27)</f>
        <v>404600</v>
      </c>
      <c r="N27" s="33">
        <f>STDEV(G27:J27,L27)/AVERAGE(G27:J27,L27)</f>
        <v>0.48018266262171239</v>
      </c>
      <c r="O27" s="32">
        <f>M27*F27</f>
        <v>404600</v>
      </c>
    </row>
    <row r="28" spans="1:15" x14ac:dyDescent="0.25">
      <c r="A28" s="78" t="s">
        <v>138</v>
      </c>
      <c r="B28" s="79"/>
      <c r="C28" s="79"/>
      <c r="D28" s="79"/>
      <c r="E28" s="79"/>
      <c r="F28" s="79"/>
      <c r="G28" s="79"/>
      <c r="H28" s="79"/>
      <c r="I28" s="79"/>
      <c r="J28" s="79"/>
      <c r="K28" s="79"/>
      <c r="L28" s="80"/>
      <c r="M28" s="42">
        <f>SUM(M24:M27)</f>
        <v>1558900</v>
      </c>
      <c r="N28" s="43"/>
      <c r="O28" s="42">
        <f>SUM(O24:O27)</f>
        <v>1915900</v>
      </c>
    </row>
    <row r="29" spans="1:15" x14ac:dyDescent="0.25">
      <c r="A29" s="39"/>
      <c r="B29" s="39"/>
      <c r="C29" s="39"/>
      <c r="D29" s="39"/>
      <c r="E29" s="39"/>
      <c r="F29" s="39"/>
      <c r="G29" s="39"/>
      <c r="H29" s="39"/>
      <c r="I29" s="39"/>
      <c r="J29" s="39"/>
      <c r="K29" s="39"/>
      <c r="L29" s="39"/>
      <c r="M29" s="40"/>
      <c r="N29" s="41"/>
      <c r="O29" s="40"/>
    </row>
    <row r="30" spans="1:15" x14ac:dyDescent="0.25">
      <c r="A30" s="85" t="s">
        <v>139</v>
      </c>
      <c r="B30" s="85"/>
      <c r="C30" s="85"/>
      <c r="D30" s="85"/>
      <c r="E30" s="85"/>
      <c r="F30" s="85"/>
      <c r="G30" s="85"/>
      <c r="H30" s="85"/>
      <c r="I30" s="85"/>
      <c r="J30" s="85"/>
      <c r="K30" s="85"/>
      <c r="L30" s="85"/>
      <c r="M30" s="85"/>
      <c r="N30" s="85"/>
      <c r="O30" s="85"/>
    </row>
    <row r="31" spans="1:15" ht="51.75" x14ac:dyDescent="0.25">
      <c r="A31" s="28" t="s">
        <v>112</v>
      </c>
      <c r="B31" s="29" t="s">
        <v>19</v>
      </c>
      <c r="C31" s="30" t="s">
        <v>34</v>
      </c>
      <c r="D31" s="30" t="s">
        <v>35</v>
      </c>
      <c r="E31" s="28" t="s">
        <v>8</v>
      </c>
      <c r="F31" s="31">
        <v>34</v>
      </c>
      <c r="G31" s="32">
        <v>118524</v>
      </c>
      <c r="H31" s="32">
        <v>142800</v>
      </c>
      <c r="I31" s="32">
        <v>83300</v>
      </c>
      <c r="J31" s="32">
        <v>280336</v>
      </c>
      <c r="K31" s="32">
        <v>124079</v>
      </c>
      <c r="L31" s="32">
        <f t="shared" ref="L31:L40" si="4">K31*(1+$D$7)</f>
        <v>130791.67390000001</v>
      </c>
      <c r="M31" s="32">
        <f>ROUND(MEDIAN(G31:J31,L31),0)</f>
        <v>130792</v>
      </c>
      <c r="N31" s="33">
        <f t="shared" ref="N31:N40" si="5">STDEV(G31:J31,L31)/AVERAGE(G31:J31,L31)</f>
        <v>0.49994376493958576</v>
      </c>
      <c r="O31" s="32">
        <f t="shared" ref="O31:O40" si="6">M31*F31</f>
        <v>4446928</v>
      </c>
    </row>
    <row r="32" spans="1:15" ht="51.75" x14ac:dyDescent="0.25">
      <c r="A32" s="28" t="s">
        <v>113</v>
      </c>
      <c r="B32" s="29" t="s">
        <v>19</v>
      </c>
      <c r="C32" s="30" t="s">
        <v>34</v>
      </c>
      <c r="D32" s="30" t="s">
        <v>36</v>
      </c>
      <c r="E32" s="28" t="s">
        <v>8</v>
      </c>
      <c r="F32" s="31">
        <v>34</v>
      </c>
      <c r="G32" s="32">
        <v>118524</v>
      </c>
      <c r="H32" s="32">
        <v>142800</v>
      </c>
      <c r="I32" s="32">
        <v>107100</v>
      </c>
      <c r="J32" s="32">
        <v>280336</v>
      </c>
      <c r="K32" s="32">
        <v>124079</v>
      </c>
      <c r="L32" s="32">
        <f t="shared" si="4"/>
        <v>130791.67390000001</v>
      </c>
      <c r="M32" s="32">
        <f>ROUND(MEDIAN(G32:J32,L32),0)</f>
        <v>130792</v>
      </c>
      <c r="N32" s="33">
        <f t="shared" si="5"/>
        <v>0.45426794836516837</v>
      </c>
      <c r="O32" s="32">
        <f t="shared" si="6"/>
        <v>4446928</v>
      </c>
    </row>
    <row r="33" spans="1:15" ht="51.75" x14ac:dyDescent="0.25">
      <c r="A33" s="28" t="s">
        <v>114</v>
      </c>
      <c r="B33" s="29" t="s">
        <v>19</v>
      </c>
      <c r="C33" s="30" t="s">
        <v>34</v>
      </c>
      <c r="D33" s="30" t="s">
        <v>37</v>
      </c>
      <c r="E33" s="28" t="s">
        <v>8</v>
      </c>
      <c r="F33" s="31">
        <v>34</v>
      </c>
      <c r="G33" s="32">
        <v>118524</v>
      </c>
      <c r="H33" s="32">
        <v>142800</v>
      </c>
      <c r="I33" s="32">
        <v>107100</v>
      </c>
      <c r="J33" s="32">
        <v>173486</v>
      </c>
      <c r="K33" s="32">
        <v>76786</v>
      </c>
      <c r="L33" s="32">
        <f t="shared" si="4"/>
        <v>80940.122600000002</v>
      </c>
      <c r="M33" s="32">
        <f t="shared" ref="M33:M40" si="7">MEDIAN(G33:J33,L33)</f>
        <v>118524</v>
      </c>
      <c r="N33" s="33">
        <f t="shared" si="5"/>
        <v>0.28297847334197068</v>
      </c>
      <c r="O33" s="32">
        <f t="shared" si="6"/>
        <v>4029816</v>
      </c>
    </row>
    <row r="34" spans="1:15" ht="51.75" x14ac:dyDescent="0.25">
      <c r="A34" s="28" t="s">
        <v>115</v>
      </c>
      <c r="B34" s="29" t="s">
        <v>19</v>
      </c>
      <c r="C34" s="30" t="s">
        <v>34</v>
      </c>
      <c r="D34" s="30" t="s">
        <v>38</v>
      </c>
      <c r="E34" s="28" t="s">
        <v>8</v>
      </c>
      <c r="F34" s="31">
        <v>34</v>
      </c>
      <c r="G34" s="32">
        <v>118524</v>
      </c>
      <c r="H34" s="32">
        <v>142800</v>
      </c>
      <c r="I34" s="32">
        <v>83300</v>
      </c>
      <c r="J34" s="32">
        <v>195516</v>
      </c>
      <c r="K34" s="32">
        <v>86536</v>
      </c>
      <c r="L34" s="32">
        <f t="shared" si="4"/>
        <v>91217.597600000008</v>
      </c>
      <c r="M34" s="32">
        <f t="shared" si="7"/>
        <v>118524</v>
      </c>
      <c r="N34" s="33">
        <f t="shared" si="5"/>
        <v>0.35864105179063754</v>
      </c>
      <c r="O34" s="32">
        <f t="shared" si="6"/>
        <v>4029816</v>
      </c>
    </row>
    <row r="35" spans="1:15" ht="51.75" x14ac:dyDescent="0.25">
      <c r="A35" s="28" t="s">
        <v>116</v>
      </c>
      <c r="B35" s="29" t="s">
        <v>19</v>
      </c>
      <c r="C35" s="30" t="s">
        <v>34</v>
      </c>
      <c r="D35" s="30" t="s">
        <v>39</v>
      </c>
      <c r="E35" s="28" t="s">
        <v>8</v>
      </c>
      <c r="F35" s="31">
        <v>34</v>
      </c>
      <c r="G35" s="32">
        <v>118524</v>
      </c>
      <c r="H35" s="32">
        <v>142800</v>
      </c>
      <c r="I35" s="32">
        <v>107100</v>
      </c>
      <c r="J35" s="32">
        <v>195516</v>
      </c>
      <c r="K35" s="32">
        <v>86536</v>
      </c>
      <c r="L35" s="32">
        <f t="shared" si="4"/>
        <v>91217.597600000008</v>
      </c>
      <c r="M35" s="32">
        <f t="shared" si="7"/>
        <v>118524</v>
      </c>
      <c r="N35" s="33">
        <f t="shared" si="5"/>
        <v>0.31026260053427457</v>
      </c>
      <c r="O35" s="32">
        <f t="shared" si="6"/>
        <v>4029816</v>
      </c>
    </row>
    <row r="36" spans="1:15" ht="51.75" x14ac:dyDescent="0.25">
      <c r="A36" s="28" t="s">
        <v>117</v>
      </c>
      <c r="B36" s="29" t="s">
        <v>19</v>
      </c>
      <c r="C36" s="30" t="s">
        <v>34</v>
      </c>
      <c r="D36" s="30" t="s">
        <v>40</v>
      </c>
      <c r="E36" s="28" t="s">
        <v>8</v>
      </c>
      <c r="F36" s="31">
        <v>34</v>
      </c>
      <c r="G36" s="32">
        <v>237167</v>
      </c>
      <c r="H36" s="32">
        <v>142800</v>
      </c>
      <c r="I36" s="32">
        <v>130900</v>
      </c>
      <c r="J36" s="32">
        <v>241520</v>
      </c>
      <c r="K36" s="32">
        <v>106899</v>
      </c>
      <c r="L36" s="32">
        <f t="shared" si="4"/>
        <v>112682.2359</v>
      </c>
      <c r="M36" s="32">
        <f t="shared" si="7"/>
        <v>142800</v>
      </c>
      <c r="N36" s="33">
        <f t="shared" si="5"/>
        <v>0.35553424970831282</v>
      </c>
      <c r="O36" s="32">
        <f t="shared" si="6"/>
        <v>4855200</v>
      </c>
    </row>
    <row r="37" spans="1:15" ht="51.75" x14ac:dyDescent="0.25">
      <c r="A37" s="28" t="s">
        <v>118</v>
      </c>
      <c r="B37" s="29" t="s">
        <v>19</v>
      </c>
      <c r="C37" s="30" t="s">
        <v>34</v>
      </c>
      <c r="D37" s="30" t="s">
        <v>41</v>
      </c>
      <c r="E37" s="28" t="s">
        <v>8</v>
      </c>
      <c r="F37" s="31">
        <v>34</v>
      </c>
      <c r="G37" s="32">
        <v>118524</v>
      </c>
      <c r="H37" s="32">
        <v>142800</v>
      </c>
      <c r="I37" s="32">
        <v>83300</v>
      </c>
      <c r="J37" s="32">
        <v>195516</v>
      </c>
      <c r="K37" s="32">
        <v>86536</v>
      </c>
      <c r="L37" s="32">
        <f t="shared" si="4"/>
        <v>91217.597600000008</v>
      </c>
      <c r="M37" s="32">
        <f t="shared" si="7"/>
        <v>118524</v>
      </c>
      <c r="N37" s="33">
        <f t="shared" si="5"/>
        <v>0.35864105179063754</v>
      </c>
      <c r="O37" s="32">
        <f t="shared" si="6"/>
        <v>4029816</v>
      </c>
    </row>
    <row r="38" spans="1:15" ht="51.75" x14ac:dyDescent="0.25">
      <c r="A38" s="28" t="s">
        <v>119</v>
      </c>
      <c r="B38" s="29" t="s">
        <v>19</v>
      </c>
      <c r="C38" s="30" t="s">
        <v>34</v>
      </c>
      <c r="D38" s="30" t="s">
        <v>42</v>
      </c>
      <c r="E38" s="28" t="s">
        <v>8</v>
      </c>
      <c r="F38" s="31">
        <v>8</v>
      </c>
      <c r="G38" s="32">
        <v>118524</v>
      </c>
      <c r="H38" s="32">
        <v>142800</v>
      </c>
      <c r="I38" s="32">
        <v>107100</v>
      </c>
      <c r="J38" s="32">
        <v>195516</v>
      </c>
      <c r="K38" s="32">
        <v>86536</v>
      </c>
      <c r="L38" s="32">
        <f t="shared" si="4"/>
        <v>91217.597600000008</v>
      </c>
      <c r="M38" s="32">
        <f t="shared" si="7"/>
        <v>118524</v>
      </c>
      <c r="N38" s="33">
        <f t="shared" si="5"/>
        <v>0.31026260053427457</v>
      </c>
      <c r="O38" s="32">
        <f t="shared" si="6"/>
        <v>948192</v>
      </c>
    </row>
    <row r="39" spans="1:15" ht="51.75" x14ac:dyDescent="0.25">
      <c r="A39" s="28" t="s">
        <v>120</v>
      </c>
      <c r="B39" s="29" t="s">
        <v>19</v>
      </c>
      <c r="C39" s="30" t="s">
        <v>34</v>
      </c>
      <c r="D39" s="30" t="s">
        <v>43</v>
      </c>
      <c r="E39" s="28" t="s">
        <v>8</v>
      </c>
      <c r="F39" s="31">
        <v>7</v>
      </c>
      <c r="G39" s="32">
        <v>118524</v>
      </c>
      <c r="H39" s="32">
        <v>142800</v>
      </c>
      <c r="I39" s="32">
        <v>107100</v>
      </c>
      <c r="J39" s="32">
        <v>195516</v>
      </c>
      <c r="K39" s="32">
        <v>86536</v>
      </c>
      <c r="L39" s="32">
        <f t="shared" si="4"/>
        <v>91217.597600000008</v>
      </c>
      <c r="M39" s="32">
        <f t="shared" si="7"/>
        <v>118524</v>
      </c>
      <c r="N39" s="33">
        <f t="shared" si="5"/>
        <v>0.31026260053427457</v>
      </c>
      <c r="O39" s="32">
        <f t="shared" si="6"/>
        <v>829668</v>
      </c>
    </row>
    <row r="40" spans="1:15" ht="51.75" x14ac:dyDescent="0.25">
      <c r="A40" s="28" t="s">
        <v>121</v>
      </c>
      <c r="B40" s="29" t="s">
        <v>19</v>
      </c>
      <c r="C40" s="30" t="s">
        <v>34</v>
      </c>
      <c r="D40" s="30" t="s">
        <v>44</v>
      </c>
      <c r="E40" s="28" t="s">
        <v>8</v>
      </c>
      <c r="F40" s="31">
        <v>7</v>
      </c>
      <c r="G40" s="32">
        <v>118524</v>
      </c>
      <c r="H40" s="32">
        <v>142800</v>
      </c>
      <c r="I40" s="32">
        <v>107100</v>
      </c>
      <c r="J40" s="32">
        <v>195516</v>
      </c>
      <c r="K40" s="32">
        <v>86536</v>
      </c>
      <c r="L40" s="32">
        <f t="shared" si="4"/>
        <v>91217.597600000008</v>
      </c>
      <c r="M40" s="32">
        <f t="shared" si="7"/>
        <v>118524</v>
      </c>
      <c r="N40" s="33">
        <f t="shared" si="5"/>
        <v>0.31026260053427457</v>
      </c>
      <c r="O40" s="32">
        <f t="shared" si="6"/>
        <v>829668</v>
      </c>
    </row>
    <row r="41" spans="1:15" x14ac:dyDescent="0.25">
      <c r="A41" s="78" t="s">
        <v>140</v>
      </c>
      <c r="B41" s="79"/>
      <c r="C41" s="79"/>
      <c r="D41" s="79"/>
      <c r="E41" s="79"/>
      <c r="F41" s="79"/>
      <c r="G41" s="79"/>
      <c r="H41" s="79"/>
      <c r="I41" s="79"/>
      <c r="J41" s="79"/>
      <c r="K41" s="79"/>
      <c r="L41" s="80"/>
      <c r="M41" s="42">
        <f>SUM(M31:M40)</f>
        <v>1234052</v>
      </c>
      <c r="N41" s="43"/>
      <c r="O41" s="42">
        <f>SUM(O31:O40)</f>
        <v>32475848</v>
      </c>
    </row>
    <row r="42" spans="1:15" x14ac:dyDescent="0.25">
      <c r="A42" s="92"/>
      <c r="B42" s="92"/>
      <c r="C42" s="92"/>
      <c r="D42" s="92"/>
      <c r="E42" s="92"/>
      <c r="F42" s="92"/>
      <c r="G42" s="92"/>
      <c r="H42" s="92"/>
      <c r="I42" s="92"/>
      <c r="J42" s="92"/>
      <c r="K42" s="92"/>
      <c r="L42" s="92"/>
      <c r="M42" s="92"/>
      <c r="N42" s="92"/>
      <c r="O42" s="92"/>
    </row>
    <row r="43" spans="1:15" x14ac:dyDescent="0.25">
      <c r="A43" s="85" t="s">
        <v>141</v>
      </c>
      <c r="B43" s="85"/>
      <c r="C43" s="85"/>
      <c r="D43" s="85"/>
      <c r="E43" s="85"/>
      <c r="F43" s="85"/>
      <c r="G43" s="85"/>
      <c r="H43" s="85"/>
      <c r="I43" s="85"/>
      <c r="J43" s="85"/>
      <c r="K43" s="85"/>
      <c r="L43" s="85"/>
      <c r="M43" s="85"/>
      <c r="N43" s="85"/>
      <c r="O43" s="85"/>
    </row>
    <row r="44" spans="1:15" ht="51.75" x14ac:dyDescent="0.25">
      <c r="A44" s="28" t="s">
        <v>122</v>
      </c>
      <c r="B44" s="29" t="s">
        <v>19</v>
      </c>
      <c r="C44" s="30" t="s">
        <v>45</v>
      </c>
      <c r="D44" s="30" t="s">
        <v>46</v>
      </c>
      <c r="E44" s="28" t="s">
        <v>8</v>
      </c>
      <c r="F44" s="31">
        <v>1</v>
      </c>
      <c r="G44" s="32">
        <v>829906</v>
      </c>
      <c r="H44" s="32">
        <v>476000</v>
      </c>
      <c r="I44" s="32">
        <v>297500</v>
      </c>
      <c r="J44" s="32">
        <v>163889</v>
      </c>
      <c r="K44" s="32">
        <v>72538</v>
      </c>
      <c r="L44" s="32">
        <f>K44*(1+$D$7)</f>
        <v>76462.305800000002</v>
      </c>
      <c r="M44" s="32">
        <f>MEDIAN(G44:J44,L44)</f>
        <v>297500</v>
      </c>
      <c r="N44" s="33">
        <f>STDEV(G44:J44,L44)/AVERAGE(G44:J44,L44)</f>
        <v>0.80975526517209029</v>
      </c>
      <c r="O44" s="32">
        <f>M44*F44</f>
        <v>297500</v>
      </c>
    </row>
    <row r="45" spans="1:15" ht="51.75" x14ac:dyDescent="0.25">
      <c r="A45" s="28" t="s">
        <v>123</v>
      </c>
      <c r="B45" s="29" t="s">
        <v>19</v>
      </c>
      <c r="C45" s="30" t="s">
        <v>45</v>
      </c>
      <c r="D45" s="30" t="s">
        <v>47</v>
      </c>
      <c r="E45" s="28" t="s">
        <v>8</v>
      </c>
      <c r="F45" s="31">
        <v>1</v>
      </c>
      <c r="G45" s="32">
        <v>790398</v>
      </c>
      <c r="H45" s="32">
        <v>476000</v>
      </c>
      <c r="I45" s="32">
        <v>321300</v>
      </c>
      <c r="J45" s="32">
        <v>163889</v>
      </c>
      <c r="K45" s="32">
        <v>72538</v>
      </c>
      <c r="L45" s="32">
        <f>K45*(1+$D$7)</f>
        <v>76462.305800000002</v>
      </c>
      <c r="M45" s="32">
        <f>MEDIAN(G45:J45,L45)</f>
        <v>321300</v>
      </c>
      <c r="N45" s="33">
        <f>STDEV(G45:J45,L45)/AVERAGE(G45:J45,L45)</f>
        <v>0.7722783567709719</v>
      </c>
      <c r="O45" s="32">
        <f>M45*F45</f>
        <v>321300</v>
      </c>
    </row>
    <row r="46" spans="1:15" ht="51.75" x14ac:dyDescent="0.25">
      <c r="A46" s="28" t="s">
        <v>124</v>
      </c>
      <c r="B46" s="29" t="s">
        <v>19</v>
      </c>
      <c r="C46" s="30" t="s">
        <v>45</v>
      </c>
      <c r="D46" s="30" t="s">
        <v>48</v>
      </c>
      <c r="E46" s="28" t="s">
        <v>8</v>
      </c>
      <c r="F46" s="31">
        <v>1</v>
      </c>
      <c r="G46" s="32">
        <v>711382</v>
      </c>
      <c r="H46" s="32">
        <v>547400</v>
      </c>
      <c r="I46" s="32">
        <v>333200</v>
      </c>
      <c r="J46" s="32">
        <v>163889</v>
      </c>
      <c r="K46" s="32">
        <v>72538</v>
      </c>
      <c r="L46" s="32">
        <f>K46*(1+$D$7)</f>
        <v>76462.305800000002</v>
      </c>
      <c r="M46" s="32">
        <f>MEDIAN(G46:J46,L46)</f>
        <v>333200</v>
      </c>
      <c r="N46" s="33">
        <f>STDEV(G46:J46,L46)/AVERAGE(G46:J46,L46)</f>
        <v>0.71931507318640997</v>
      </c>
      <c r="O46" s="32">
        <f>M46*F46</f>
        <v>333200</v>
      </c>
    </row>
    <row r="47" spans="1:15" ht="51.75" x14ac:dyDescent="0.25">
      <c r="A47" s="28" t="s">
        <v>125</v>
      </c>
      <c r="B47" s="29" t="s">
        <v>19</v>
      </c>
      <c r="C47" s="30" t="s">
        <v>45</v>
      </c>
      <c r="D47" s="30" t="s">
        <v>49</v>
      </c>
      <c r="E47" s="28" t="s">
        <v>8</v>
      </c>
      <c r="F47" s="31">
        <v>1</v>
      </c>
      <c r="G47" s="32">
        <v>908922</v>
      </c>
      <c r="H47" s="32">
        <v>785400</v>
      </c>
      <c r="I47" s="32">
        <v>357000</v>
      </c>
      <c r="J47" s="32">
        <v>163889</v>
      </c>
      <c r="K47" s="32">
        <v>72538</v>
      </c>
      <c r="L47" s="32">
        <f>K47*(1+$D$7)</f>
        <v>76462.305800000002</v>
      </c>
      <c r="M47" s="32">
        <f>MEDIAN(G47:J47,L47)</f>
        <v>357000</v>
      </c>
      <c r="N47" s="33">
        <f>STDEV(G47:J47,L47)/AVERAGE(G47:J47,L47)</f>
        <v>0.81108994770394049</v>
      </c>
      <c r="O47" s="32">
        <f>M47*F47</f>
        <v>357000</v>
      </c>
    </row>
    <row r="48" spans="1:15" x14ac:dyDescent="0.25">
      <c r="A48" s="93" t="s">
        <v>142</v>
      </c>
      <c r="B48" s="93"/>
      <c r="C48" s="93"/>
      <c r="D48" s="93"/>
      <c r="E48" s="93"/>
      <c r="F48" s="93"/>
      <c r="G48" s="93"/>
      <c r="H48" s="93"/>
      <c r="I48" s="93"/>
      <c r="J48" s="93"/>
      <c r="K48" s="93"/>
      <c r="L48" s="93"/>
      <c r="M48" s="42">
        <f>SUM(M44:M47)</f>
        <v>1309000</v>
      </c>
      <c r="N48" s="43"/>
      <c r="O48" s="42">
        <f>SUM(O44:O47)</f>
        <v>1309000</v>
      </c>
    </row>
    <row r="49" spans="1:15" x14ac:dyDescent="0.25">
      <c r="A49" s="92"/>
      <c r="B49" s="92"/>
      <c r="C49" s="92"/>
      <c r="D49" s="92"/>
      <c r="E49" s="92"/>
      <c r="F49" s="92"/>
      <c r="G49" s="92"/>
      <c r="H49" s="92"/>
      <c r="I49" s="92"/>
      <c r="J49" s="92"/>
      <c r="K49" s="92"/>
      <c r="L49" s="92"/>
      <c r="M49" s="92"/>
      <c r="N49" s="92"/>
      <c r="O49" s="92"/>
    </row>
    <row r="50" spans="1:15" x14ac:dyDescent="0.25">
      <c r="A50" s="85" t="s">
        <v>143</v>
      </c>
      <c r="B50" s="85"/>
      <c r="C50" s="85"/>
      <c r="D50" s="85"/>
      <c r="E50" s="85"/>
      <c r="F50" s="85"/>
      <c r="G50" s="85"/>
      <c r="H50" s="85"/>
      <c r="I50" s="85"/>
      <c r="J50" s="85"/>
      <c r="K50" s="85"/>
      <c r="L50" s="85"/>
      <c r="M50" s="85"/>
      <c r="N50" s="85"/>
      <c r="O50" s="85"/>
    </row>
    <row r="51" spans="1:15" ht="51.75" x14ac:dyDescent="0.25">
      <c r="A51" s="28" t="s">
        <v>126</v>
      </c>
      <c r="B51" s="29" t="s">
        <v>19</v>
      </c>
      <c r="C51" s="38" t="s">
        <v>50</v>
      </c>
      <c r="D51" s="30" t="s">
        <v>51</v>
      </c>
      <c r="E51" s="28" t="s">
        <v>8</v>
      </c>
      <c r="F51" s="31">
        <v>1</v>
      </c>
      <c r="G51" s="32">
        <v>177786</v>
      </c>
      <c r="H51" s="32">
        <v>178500</v>
      </c>
      <c r="I51" s="32">
        <v>166600</v>
      </c>
      <c r="J51" s="32">
        <v>163889</v>
      </c>
      <c r="K51" s="32">
        <v>72538</v>
      </c>
      <c r="L51" s="32">
        <f>K51*(1+$D$7)</f>
        <v>76462.305800000002</v>
      </c>
      <c r="M51" s="32">
        <f>MEDIAN(G51:J51,L51)</f>
        <v>166600</v>
      </c>
      <c r="N51" s="33">
        <f>STDEV(G51:J51,L51)/AVERAGE(G51:J51,L51)</f>
        <v>0.2822565002773042</v>
      </c>
      <c r="O51" s="32">
        <f t="shared" ref="O51:O57" si="8">M51*F51</f>
        <v>166600</v>
      </c>
    </row>
    <row r="52" spans="1:15" ht="51.75" x14ac:dyDescent="0.25">
      <c r="A52" s="28" t="s">
        <v>127</v>
      </c>
      <c r="B52" s="29" t="s">
        <v>19</v>
      </c>
      <c r="C52" s="38" t="s">
        <v>50</v>
      </c>
      <c r="D52" s="30" t="s">
        <v>52</v>
      </c>
      <c r="E52" s="28" t="s">
        <v>8</v>
      </c>
      <c r="F52" s="31">
        <v>1</v>
      </c>
      <c r="G52" s="32">
        <v>177786</v>
      </c>
      <c r="H52" s="32">
        <v>142800</v>
      </c>
      <c r="I52" s="32">
        <v>178500</v>
      </c>
      <c r="J52" s="32">
        <v>163889</v>
      </c>
      <c r="K52" s="32">
        <v>72538</v>
      </c>
      <c r="L52" s="32">
        <f>K52*(1+$D$7)</f>
        <v>76462.305800000002</v>
      </c>
      <c r="M52" s="32">
        <f>MEDIAN(G52:J52,L52)</f>
        <v>163889</v>
      </c>
      <c r="N52" s="33">
        <f>STDEV(G52:J52,L52)/AVERAGE(G52:J52,L52)</f>
        <v>0.28717247277938501</v>
      </c>
      <c r="O52" s="32">
        <f t="shared" si="8"/>
        <v>163889</v>
      </c>
    </row>
    <row r="53" spans="1:15" ht="51.75" x14ac:dyDescent="0.25">
      <c r="A53" s="28" t="s">
        <v>128</v>
      </c>
      <c r="B53" s="29" t="s">
        <v>19</v>
      </c>
      <c r="C53" s="38" t="s">
        <v>50</v>
      </c>
      <c r="D53" s="30" t="s">
        <v>53</v>
      </c>
      <c r="E53" s="28" t="s">
        <v>8</v>
      </c>
      <c r="F53" s="31">
        <v>1</v>
      </c>
      <c r="G53" s="32">
        <v>177786</v>
      </c>
      <c r="H53" s="32">
        <v>142800</v>
      </c>
      <c r="I53" s="32">
        <v>178500</v>
      </c>
      <c r="J53" s="32">
        <v>163889</v>
      </c>
      <c r="K53" s="32">
        <v>72538</v>
      </c>
      <c r="L53" s="32">
        <f>K53*(1+$D$7)</f>
        <v>76462.305800000002</v>
      </c>
      <c r="M53" s="32">
        <f>MEDIAN(G53:J53,L53)</f>
        <v>163889</v>
      </c>
      <c r="N53" s="33">
        <f>STDEV(G53:J53,L53)/AVERAGE(G53:J53,L53)</f>
        <v>0.28717247277938501</v>
      </c>
      <c r="O53" s="32">
        <f t="shared" si="8"/>
        <v>163889</v>
      </c>
    </row>
    <row r="54" spans="1:15" ht="51.75" x14ac:dyDescent="0.25">
      <c r="A54" s="28" t="s">
        <v>129</v>
      </c>
      <c r="B54" s="29" t="s">
        <v>19</v>
      </c>
      <c r="C54" s="38" t="s">
        <v>50</v>
      </c>
      <c r="D54" s="30" t="s">
        <v>54</v>
      </c>
      <c r="E54" s="28" t="s">
        <v>8</v>
      </c>
      <c r="F54" s="67">
        <v>3</v>
      </c>
      <c r="G54" s="32">
        <v>177786</v>
      </c>
      <c r="H54" s="32">
        <v>119000</v>
      </c>
      <c r="I54" s="32">
        <v>142800</v>
      </c>
      <c r="J54" s="32">
        <v>163889</v>
      </c>
      <c r="K54" s="32">
        <v>72538</v>
      </c>
      <c r="L54" s="32">
        <f>K54*(1+$D$7)</f>
        <v>76462.305800000002</v>
      </c>
      <c r="M54" s="32">
        <f>MEDIAN(G54:J54,L54)</f>
        <v>142800</v>
      </c>
      <c r="N54" s="33">
        <f>STDEV(G54:J54,L54)/AVERAGE(G54:J54,L54)</f>
        <v>0.29423305087710944</v>
      </c>
      <c r="O54" s="32">
        <f t="shared" si="8"/>
        <v>428400</v>
      </c>
    </row>
    <row r="55" spans="1:15" ht="51.75" x14ac:dyDescent="0.25">
      <c r="A55" s="28" t="s">
        <v>130</v>
      </c>
      <c r="B55" s="29" t="s">
        <v>19</v>
      </c>
      <c r="C55" s="38" t="s">
        <v>50</v>
      </c>
      <c r="D55" s="30" t="s">
        <v>55</v>
      </c>
      <c r="E55" s="28" t="s">
        <v>8</v>
      </c>
      <c r="F55" s="31">
        <v>1</v>
      </c>
      <c r="G55" s="32">
        <v>197659</v>
      </c>
      <c r="H55" s="32">
        <v>178500</v>
      </c>
      <c r="I55" s="32">
        <v>190400</v>
      </c>
      <c r="J55" s="32">
        <v>163889</v>
      </c>
      <c r="K55" s="32">
        <v>72538</v>
      </c>
      <c r="L55" s="32">
        <f>K55*(1+$D$7)</f>
        <v>76462.305800000002</v>
      </c>
      <c r="M55" s="32">
        <f>MEDIAN(G55:J55,L55)</f>
        <v>178500</v>
      </c>
      <c r="N55" s="33">
        <f>STDEV(G55:J55,L55)/AVERAGE(G55:J55,L55)</f>
        <v>0.30464880135260208</v>
      </c>
      <c r="O55" s="32">
        <f t="shared" si="8"/>
        <v>178500</v>
      </c>
    </row>
    <row r="56" spans="1:15" ht="51.75" x14ac:dyDescent="0.25">
      <c r="A56" s="28" t="s">
        <v>131</v>
      </c>
      <c r="B56" s="29" t="s">
        <v>19</v>
      </c>
      <c r="C56" s="38" t="s">
        <v>50</v>
      </c>
      <c r="D56" s="30" t="s">
        <v>56</v>
      </c>
      <c r="E56" s="28" t="s">
        <v>8</v>
      </c>
      <c r="F56" s="31">
        <v>1</v>
      </c>
      <c r="G56" s="32">
        <v>316183</v>
      </c>
      <c r="H56" s="32">
        <v>119000</v>
      </c>
      <c r="I56" s="32">
        <v>190400</v>
      </c>
      <c r="J56" s="32">
        <v>163889</v>
      </c>
      <c r="K56" s="57" t="s">
        <v>98</v>
      </c>
      <c r="L56" s="57" t="s">
        <v>98</v>
      </c>
      <c r="M56" s="32">
        <f>ROUND(MEDIAN(G56:J56),0)</f>
        <v>177145</v>
      </c>
      <c r="N56" s="33">
        <f>STDEV(G56:J56)/AVERAGE(G56:J56)</f>
        <v>0.42820613464583845</v>
      </c>
      <c r="O56" s="32">
        <f t="shared" si="8"/>
        <v>177145</v>
      </c>
    </row>
    <row r="57" spans="1:15" ht="51.75" x14ac:dyDescent="0.25">
      <c r="A57" s="28" t="s">
        <v>132</v>
      </c>
      <c r="B57" s="29" t="s">
        <v>19</v>
      </c>
      <c r="C57" s="38" t="s">
        <v>50</v>
      </c>
      <c r="D57" s="30" t="s">
        <v>57</v>
      </c>
      <c r="E57" s="28" t="s">
        <v>8</v>
      </c>
      <c r="F57" s="31">
        <v>1</v>
      </c>
      <c r="G57" s="32">
        <v>632366</v>
      </c>
      <c r="H57" s="32">
        <v>654500</v>
      </c>
      <c r="I57" s="32">
        <v>333200</v>
      </c>
      <c r="J57" s="32">
        <v>163889</v>
      </c>
      <c r="K57" s="32">
        <v>72538</v>
      </c>
      <c r="L57" s="32">
        <f>K57*(1+$D$7)</f>
        <v>76462.305800000002</v>
      </c>
      <c r="M57" s="32">
        <f>MEDIAN(G57:J57,L57)</f>
        <v>333200</v>
      </c>
      <c r="N57" s="33">
        <f>STDEV(G57:J57,L57)/AVERAGE(G57:J57,L57)</f>
        <v>0.71075255845517527</v>
      </c>
      <c r="O57" s="32">
        <f t="shared" si="8"/>
        <v>333200</v>
      </c>
    </row>
    <row r="58" spans="1:15" x14ac:dyDescent="0.25">
      <c r="A58" s="94" t="s">
        <v>144</v>
      </c>
      <c r="B58" s="95"/>
      <c r="C58" s="95"/>
      <c r="D58" s="95"/>
      <c r="E58" s="95"/>
      <c r="F58" s="95"/>
      <c r="G58" s="95"/>
      <c r="H58" s="95"/>
      <c r="I58" s="95"/>
      <c r="J58" s="95"/>
      <c r="K58" s="95"/>
      <c r="L58" s="96"/>
      <c r="M58" s="42">
        <f>SUM(M51:M57)</f>
        <v>1326023</v>
      </c>
      <c r="N58" s="43"/>
      <c r="O58" s="42">
        <f>SUM(O51:O57)</f>
        <v>1611623</v>
      </c>
    </row>
    <row r="59" spans="1:15" x14ac:dyDescent="0.25">
      <c r="A59" s="44"/>
      <c r="B59" s="44"/>
      <c r="C59" s="44"/>
      <c r="D59" s="45" t="s">
        <v>58</v>
      </c>
      <c r="E59" s="44"/>
      <c r="F59" s="44"/>
      <c r="G59" s="46"/>
      <c r="H59" s="46"/>
      <c r="I59" s="46"/>
      <c r="J59" s="46"/>
      <c r="K59" s="46"/>
      <c r="L59" s="46"/>
      <c r="M59" s="47">
        <f>M17+M21+M28+M41+M48+M58</f>
        <v>6632927</v>
      </c>
      <c r="N59" s="46"/>
      <c r="O59" s="47">
        <f>O17+O21+O28+O41+O48+O58</f>
        <v>40302323</v>
      </c>
    </row>
    <row r="60" spans="1:15" x14ac:dyDescent="0.25">
      <c r="A60" s="1"/>
      <c r="B60" s="1"/>
      <c r="C60" s="1"/>
      <c r="D60" s="1"/>
      <c r="E60" s="1"/>
      <c r="F60" s="1"/>
      <c r="G60" s="1"/>
      <c r="H60" s="1"/>
      <c r="I60" s="1"/>
      <c r="J60" s="1"/>
      <c r="K60" s="1"/>
      <c r="L60" s="1"/>
      <c r="M60" s="1"/>
      <c r="N60" s="1"/>
      <c r="O60" s="1"/>
    </row>
    <row r="61" spans="1:15" x14ac:dyDescent="0.25">
      <c r="A61" s="48" t="s">
        <v>59</v>
      </c>
      <c r="B61" s="1"/>
      <c r="C61" s="1"/>
      <c r="D61" s="1"/>
      <c r="E61" s="1"/>
      <c r="F61" s="1"/>
      <c r="G61" s="1"/>
      <c r="H61" s="1"/>
      <c r="I61" s="1"/>
      <c r="J61" s="1"/>
      <c r="K61" s="1"/>
      <c r="L61" s="1"/>
      <c r="M61" s="1"/>
      <c r="N61" s="1"/>
      <c r="O61" s="1"/>
    </row>
    <row r="62" spans="1:15" x14ac:dyDescent="0.25">
      <c r="A62" s="76" t="s">
        <v>145</v>
      </c>
      <c r="B62" s="77"/>
      <c r="C62" s="77"/>
      <c r="D62" s="77"/>
      <c r="E62" s="77"/>
      <c r="F62" s="77"/>
      <c r="G62" s="77"/>
      <c r="H62" s="77"/>
      <c r="I62" s="77"/>
      <c r="J62" s="77"/>
      <c r="K62" s="77"/>
      <c r="L62" s="77"/>
      <c r="M62" s="77"/>
      <c r="N62" s="77"/>
      <c r="O62" s="77"/>
    </row>
    <row r="63" spans="1:15" x14ac:dyDescent="0.25">
      <c r="A63" s="49"/>
      <c r="B63" s="50"/>
      <c r="C63" s="50"/>
      <c r="D63" s="50"/>
      <c r="E63" s="50"/>
      <c r="F63" s="50"/>
      <c r="G63" s="50"/>
      <c r="H63" s="50"/>
      <c r="I63" s="50"/>
      <c r="J63" s="50"/>
      <c r="K63" s="50"/>
      <c r="L63" s="50"/>
      <c r="M63" s="50"/>
      <c r="N63" s="50"/>
      <c r="O63" s="50"/>
    </row>
    <row r="64" spans="1:15" ht="51" x14ac:dyDescent="0.25">
      <c r="A64" s="58" t="s">
        <v>60</v>
      </c>
      <c r="B64" s="51" t="s">
        <v>5</v>
      </c>
      <c r="C64" s="51" t="s">
        <v>61</v>
      </c>
      <c r="D64" s="51" t="s">
        <v>62</v>
      </c>
      <c r="E64" s="51" t="s">
        <v>8</v>
      </c>
      <c r="F64" s="51"/>
      <c r="G64" s="51" t="s">
        <v>10</v>
      </c>
      <c r="H64" s="51" t="s">
        <v>11</v>
      </c>
      <c r="I64" s="51" t="s">
        <v>12</v>
      </c>
      <c r="J64" s="51" t="s">
        <v>13</v>
      </c>
      <c r="K64" s="51" t="s">
        <v>14</v>
      </c>
      <c r="L64" s="51" t="s">
        <v>15</v>
      </c>
      <c r="M64" s="51" t="s">
        <v>63</v>
      </c>
      <c r="N64" s="51" t="s">
        <v>17</v>
      </c>
      <c r="O64" s="51"/>
    </row>
    <row r="65" spans="1:15" ht="51.75" x14ac:dyDescent="0.25">
      <c r="A65" s="59">
        <v>1</v>
      </c>
      <c r="B65" s="29" t="s">
        <v>19</v>
      </c>
      <c r="C65" s="38" t="s">
        <v>64</v>
      </c>
      <c r="D65" s="38" t="s">
        <v>65</v>
      </c>
      <c r="E65" s="28" t="s">
        <v>8</v>
      </c>
      <c r="F65" s="28"/>
      <c r="G65" s="32">
        <v>120785</v>
      </c>
      <c r="H65" s="32">
        <v>178500</v>
      </c>
      <c r="I65" s="32">
        <v>136850</v>
      </c>
      <c r="J65" s="32">
        <v>293276</v>
      </c>
      <c r="K65" s="32">
        <v>108567</v>
      </c>
      <c r="L65" s="32">
        <f>K65*(1+$D$7)</f>
        <v>114440.47470000001</v>
      </c>
      <c r="M65" s="32">
        <f>MEDIAN(G65:J65,L65)</f>
        <v>136850</v>
      </c>
      <c r="N65" s="33">
        <f>STDEV(G65:J65,L65)/AVERAGE(G65:J65,L65)</f>
        <v>0.4381209557787058</v>
      </c>
      <c r="O65" s="28" t="s">
        <v>97</v>
      </c>
    </row>
    <row r="66" spans="1:15" ht="51.75" x14ac:dyDescent="0.25">
      <c r="A66" s="59">
        <v>2</v>
      </c>
      <c r="B66" s="29" t="s">
        <v>19</v>
      </c>
      <c r="C66" s="38" t="s">
        <v>64</v>
      </c>
      <c r="D66" s="38" t="s">
        <v>66</v>
      </c>
      <c r="E66" s="28" t="s">
        <v>8</v>
      </c>
      <c r="F66" s="28"/>
      <c r="G66" s="32">
        <v>482664</v>
      </c>
      <c r="H66" s="32">
        <v>214200</v>
      </c>
      <c r="I66" s="32">
        <v>214200</v>
      </c>
      <c r="J66" s="32">
        <v>726733</v>
      </c>
      <c r="K66" s="57" t="s">
        <v>98</v>
      </c>
      <c r="L66" s="57" t="s">
        <v>98</v>
      </c>
      <c r="M66" s="32">
        <f>MEDIAN(G66:J66)</f>
        <v>348432</v>
      </c>
      <c r="N66" s="33">
        <f>STDEV(G66:J66)/AVERAGE(G66:J66)</f>
        <v>0.60200702030678732</v>
      </c>
      <c r="O66" s="28" t="s">
        <v>97</v>
      </c>
    </row>
    <row r="67" spans="1:15" ht="51.75" x14ac:dyDescent="0.25">
      <c r="A67" s="59">
        <v>3</v>
      </c>
      <c r="B67" s="29" t="s">
        <v>19</v>
      </c>
      <c r="C67" s="38" t="s">
        <v>67</v>
      </c>
      <c r="D67" s="38" t="s">
        <v>65</v>
      </c>
      <c r="E67" s="28" t="s">
        <v>8</v>
      </c>
      <c r="F67" s="28"/>
      <c r="G67" s="32">
        <v>120785</v>
      </c>
      <c r="H67" s="32">
        <v>178500</v>
      </c>
      <c r="I67" s="32">
        <v>136850</v>
      </c>
      <c r="J67" s="32">
        <v>293276</v>
      </c>
      <c r="K67" s="32">
        <v>145924</v>
      </c>
      <c r="L67" s="32">
        <f t="shared" ref="L67:L78" si="9">K67*(1+$D$7)</f>
        <v>153818.4884</v>
      </c>
      <c r="M67" s="32">
        <f>ROUND(MEDIAN(G67:J67,L67),0)</f>
        <v>153818</v>
      </c>
      <c r="N67" s="33">
        <f t="shared" ref="N67:N78" si="10">STDEV(G67:J67,L67)/AVERAGE(G67:J67,L67)</f>
        <v>0.38842409826773133</v>
      </c>
      <c r="O67" s="28" t="s">
        <v>97</v>
      </c>
    </row>
    <row r="68" spans="1:15" ht="51.75" x14ac:dyDescent="0.25">
      <c r="A68" s="59">
        <v>4</v>
      </c>
      <c r="B68" s="29" t="s">
        <v>19</v>
      </c>
      <c r="C68" s="38" t="s">
        <v>67</v>
      </c>
      <c r="D68" s="38" t="s">
        <v>68</v>
      </c>
      <c r="E68" s="28" t="s">
        <v>8</v>
      </c>
      <c r="F68" s="28"/>
      <c r="G68" s="32">
        <v>90797</v>
      </c>
      <c r="H68" s="32">
        <v>142800</v>
      </c>
      <c r="I68" s="32">
        <v>208250</v>
      </c>
      <c r="J68" s="32">
        <v>726733</v>
      </c>
      <c r="K68" s="32">
        <v>126077</v>
      </c>
      <c r="L68" s="32">
        <f t="shared" si="9"/>
        <v>132897.76570000002</v>
      </c>
      <c r="M68" s="32">
        <f t="shared" ref="M68:M77" si="11">MEDIAN(G68:J68,L68)</f>
        <v>142800</v>
      </c>
      <c r="N68" s="33">
        <f t="shared" si="10"/>
        <v>1.0146932448167736</v>
      </c>
      <c r="O68" s="28" t="s">
        <v>97</v>
      </c>
    </row>
    <row r="69" spans="1:15" ht="51.75" x14ac:dyDescent="0.25">
      <c r="A69" s="59">
        <v>5</v>
      </c>
      <c r="B69" s="29" t="s">
        <v>19</v>
      </c>
      <c r="C69" s="38" t="s">
        <v>67</v>
      </c>
      <c r="D69" s="38" t="s">
        <v>69</v>
      </c>
      <c r="E69" s="28" t="s">
        <v>8</v>
      </c>
      <c r="F69" s="28"/>
      <c r="G69" s="32">
        <v>120785</v>
      </c>
      <c r="H69" s="32">
        <v>190400</v>
      </c>
      <c r="I69" s="32">
        <v>232050</v>
      </c>
      <c r="J69" s="32">
        <v>293276</v>
      </c>
      <c r="K69" s="32">
        <v>112069</v>
      </c>
      <c r="L69" s="32">
        <f t="shared" si="9"/>
        <v>118131.9329</v>
      </c>
      <c r="M69" s="32">
        <f t="shared" si="11"/>
        <v>190400</v>
      </c>
      <c r="N69" s="33">
        <f t="shared" si="10"/>
        <v>0.39181816549900306</v>
      </c>
      <c r="O69" s="28" t="s">
        <v>97</v>
      </c>
    </row>
    <row r="70" spans="1:15" ht="51.75" x14ac:dyDescent="0.25">
      <c r="A70" s="59">
        <v>6</v>
      </c>
      <c r="B70" s="29" t="s">
        <v>19</v>
      </c>
      <c r="C70" s="38" t="s">
        <v>67</v>
      </c>
      <c r="D70" s="38" t="s">
        <v>70</v>
      </c>
      <c r="E70" s="28" t="s">
        <v>8</v>
      </c>
      <c r="F70" s="28"/>
      <c r="G70" s="32">
        <v>996268</v>
      </c>
      <c r="H70" s="32">
        <v>380800</v>
      </c>
      <c r="I70" s="32">
        <v>345100</v>
      </c>
      <c r="J70" s="32">
        <v>1226593</v>
      </c>
      <c r="K70" s="32">
        <v>280174</v>
      </c>
      <c r="L70" s="32">
        <f t="shared" si="9"/>
        <v>295331.41340000002</v>
      </c>
      <c r="M70" s="32">
        <f t="shared" si="11"/>
        <v>380800</v>
      </c>
      <c r="N70" s="33">
        <f t="shared" si="10"/>
        <v>0.66452238777167205</v>
      </c>
      <c r="O70" s="28" t="s">
        <v>97</v>
      </c>
    </row>
    <row r="71" spans="1:15" ht="51.75" x14ac:dyDescent="0.25">
      <c r="A71" s="59">
        <v>7</v>
      </c>
      <c r="B71" s="29" t="s">
        <v>19</v>
      </c>
      <c r="C71" s="38" t="s">
        <v>71</v>
      </c>
      <c r="D71" s="38" t="s">
        <v>72</v>
      </c>
      <c r="E71" s="28" t="s">
        <v>8</v>
      </c>
      <c r="F71" s="28"/>
      <c r="G71" s="32">
        <v>414001</v>
      </c>
      <c r="H71" s="32">
        <v>297500</v>
      </c>
      <c r="I71" s="32">
        <v>297500</v>
      </c>
      <c r="J71" s="32">
        <v>497646</v>
      </c>
      <c r="K71" s="32">
        <v>409287</v>
      </c>
      <c r="L71" s="32">
        <f t="shared" si="9"/>
        <v>431429.42670000001</v>
      </c>
      <c r="M71" s="32">
        <f t="shared" si="11"/>
        <v>414001</v>
      </c>
      <c r="N71" s="33">
        <f t="shared" si="10"/>
        <v>0.22698588302976686</v>
      </c>
      <c r="O71" s="28" t="s">
        <v>97</v>
      </c>
    </row>
    <row r="72" spans="1:15" ht="51.75" x14ac:dyDescent="0.25">
      <c r="A72" s="59">
        <v>8</v>
      </c>
      <c r="B72" s="29" t="s">
        <v>19</v>
      </c>
      <c r="C72" s="38" t="s">
        <v>71</v>
      </c>
      <c r="D72" s="38" t="s">
        <v>73</v>
      </c>
      <c r="E72" s="28" t="s">
        <v>8</v>
      </c>
      <c r="F72" s="28"/>
      <c r="G72" s="32">
        <v>451843</v>
      </c>
      <c r="H72" s="32">
        <v>333200</v>
      </c>
      <c r="I72" s="32">
        <v>357000</v>
      </c>
      <c r="J72" s="32">
        <v>608501</v>
      </c>
      <c r="K72" s="32">
        <v>455283</v>
      </c>
      <c r="L72" s="32">
        <f t="shared" si="9"/>
        <v>479913.81030000001</v>
      </c>
      <c r="M72" s="32">
        <f t="shared" si="11"/>
        <v>451843</v>
      </c>
      <c r="N72" s="33">
        <f t="shared" si="10"/>
        <v>0.24616715679403101</v>
      </c>
      <c r="O72" s="28" t="s">
        <v>97</v>
      </c>
    </row>
    <row r="73" spans="1:15" ht="51.75" x14ac:dyDescent="0.25">
      <c r="A73" s="59">
        <v>9</v>
      </c>
      <c r="B73" s="29" t="s">
        <v>19</v>
      </c>
      <c r="C73" s="38" t="s">
        <v>74</v>
      </c>
      <c r="D73" s="38" t="s">
        <v>75</v>
      </c>
      <c r="E73" s="28" t="s">
        <v>8</v>
      </c>
      <c r="F73" s="28"/>
      <c r="G73" s="32">
        <v>63665</v>
      </c>
      <c r="H73" s="32">
        <v>119000</v>
      </c>
      <c r="I73" s="32">
        <v>220150</v>
      </c>
      <c r="J73" s="32">
        <v>276491</v>
      </c>
      <c r="K73" s="32">
        <v>279005</v>
      </c>
      <c r="L73" s="32">
        <f t="shared" si="9"/>
        <v>294099.17050000001</v>
      </c>
      <c r="M73" s="32">
        <f t="shared" si="11"/>
        <v>220150</v>
      </c>
      <c r="N73" s="33">
        <f t="shared" si="10"/>
        <v>0.51441989263702903</v>
      </c>
      <c r="O73" s="28" t="s">
        <v>97</v>
      </c>
    </row>
    <row r="74" spans="1:15" ht="51.75" x14ac:dyDescent="0.25">
      <c r="A74" s="59">
        <v>10</v>
      </c>
      <c r="B74" s="29" t="s">
        <v>19</v>
      </c>
      <c r="C74" s="38" t="s">
        <v>74</v>
      </c>
      <c r="D74" s="38" t="s">
        <v>76</v>
      </c>
      <c r="E74" s="28" t="s">
        <v>8</v>
      </c>
      <c r="F74" s="28"/>
      <c r="G74" s="32">
        <v>70686</v>
      </c>
      <c r="H74" s="32">
        <v>142800</v>
      </c>
      <c r="I74" s="32">
        <v>315350</v>
      </c>
      <c r="J74" s="32">
        <v>331641</v>
      </c>
      <c r="K74" s="32">
        <v>279005</v>
      </c>
      <c r="L74" s="32">
        <f t="shared" si="9"/>
        <v>294099.17050000001</v>
      </c>
      <c r="M74" s="32">
        <f>ROUND(MEDIAN(G74:J74,L74),0)</f>
        <v>294099</v>
      </c>
      <c r="N74" s="33">
        <f t="shared" si="10"/>
        <v>0.5064425898459165</v>
      </c>
      <c r="O74" s="28" t="s">
        <v>97</v>
      </c>
    </row>
    <row r="75" spans="1:15" ht="51.75" x14ac:dyDescent="0.25">
      <c r="A75" s="59">
        <v>11</v>
      </c>
      <c r="B75" s="29" t="s">
        <v>19</v>
      </c>
      <c r="C75" s="38" t="s">
        <v>77</v>
      </c>
      <c r="D75" s="38" t="s">
        <v>78</v>
      </c>
      <c r="E75" s="28" t="s">
        <v>8</v>
      </c>
      <c r="F75" s="28"/>
      <c r="G75" s="32">
        <v>760172</v>
      </c>
      <c r="H75" s="32">
        <v>1166200</v>
      </c>
      <c r="I75" s="32">
        <v>535500</v>
      </c>
      <c r="J75" s="32">
        <v>1087333</v>
      </c>
      <c r="K75" s="32">
        <v>490304</v>
      </c>
      <c r="L75" s="32">
        <f t="shared" si="9"/>
        <v>516829.44640000002</v>
      </c>
      <c r="M75" s="32">
        <f t="shared" si="11"/>
        <v>760172</v>
      </c>
      <c r="N75" s="33">
        <f t="shared" si="10"/>
        <v>0.37274430674272424</v>
      </c>
      <c r="O75" s="28" t="s">
        <v>97</v>
      </c>
    </row>
    <row r="76" spans="1:15" ht="51.75" x14ac:dyDescent="0.25">
      <c r="A76" s="59">
        <v>12</v>
      </c>
      <c r="B76" s="29" t="s">
        <v>19</v>
      </c>
      <c r="C76" s="38" t="s">
        <v>77</v>
      </c>
      <c r="D76" s="38" t="s">
        <v>79</v>
      </c>
      <c r="E76" s="28" t="s">
        <v>8</v>
      </c>
      <c r="F76" s="28"/>
      <c r="G76" s="32">
        <v>507416</v>
      </c>
      <c r="H76" s="32">
        <v>416500</v>
      </c>
      <c r="I76" s="32">
        <v>351050</v>
      </c>
      <c r="J76" s="32">
        <v>650585</v>
      </c>
      <c r="K76" s="32">
        <v>243117</v>
      </c>
      <c r="L76" s="32">
        <f t="shared" si="9"/>
        <v>256269.62970000002</v>
      </c>
      <c r="M76" s="32">
        <f t="shared" si="11"/>
        <v>416500</v>
      </c>
      <c r="N76" s="33">
        <f t="shared" si="10"/>
        <v>0.34574153031296995</v>
      </c>
      <c r="O76" s="28" t="s">
        <v>97</v>
      </c>
    </row>
    <row r="77" spans="1:15" ht="51.75" x14ac:dyDescent="0.25">
      <c r="A77" s="59">
        <v>13</v>
      </c>
      <c r="B77" s="29" t="s">
        <v>19</v>
      </c>
      <c r="C77" s="38" t="s">
        <v>80</v>
      </c>
      <c r="D77" s="38" t="s">
        <v>81</v>
      </c>
      <c r="E77" s="28" t="s">
        <v>8</v>
      </c>
      <c r="F77" s="28"/>
      <c r="G77" s="32">
        <v>117810</v>
      </c>
      <c r="H77" s="32">
        <v>130900</v>
      </c>
      <c r="I77" s="32">
        <v>101150</v>
      </c>
      <c r="J77" s="32">
        <v>355215</v>
      </c>
      <c r="K77" s="32">
        <v>290680</v>
      </c>
      <c r="L77" s="32">
        <f t="shared" si="9"/>
        <v>306405.788</v>
      </c>
      <c r="M77" s="32">
        <f t="shared" si="11"/>
        <v>130900</v>
      </c>
      <c r="N77" s="33">
        <f t="shared" si="10"/>
        <v>0.58847932913632162</v>
      </c>
      <c r="O77" s="28" t="s">
        <v>97</v>
      </c>
    </row>
    <row r="78" spans="1:15" ht="51.75" x14ac:dyDescent="0.25">
      <c r="A78" s="59">
        <v>14</v>
      </c>
      <c r="B78" s="29" t="s">
        <v>19</v>
      </c>
      <c r="C78" s="38" t="s">
        <v>80</v>
      </c>
      <c r="D78" s="38" t="s">
        <v>82</v>
      </c>
      <c r="E78" s="28" t="s">
        <v>8</v>
      </c>
      <c r="F78" s="28"/>
      <c r="G78" s="32">
        <v>528836</v>
      </c>
      <c r="H78" s="32">
        <v>714000</v>
      </c>
      <c r="I78" s="32">
        <v>404600</v>
      </c>
      <c r="J78" s="32">
        <v>677110</v>
      </c>
      <c r="K78" s="32">
        <v>560347</v>
      </c>
      <c r="L78" s="32">
        <f t="shared" si="9"/>
        <v>590661.77269999997</v>
      </c>
      <c r="M78" s="32">
        <f>ROUND(MEDIAN(G78:J78,L78),0)</f>
        <v>590662</v>
      </c>
      <c r="N78" s="33">
        <f t="shared" si="10"/>
        <v>0.21152089065548785</v>
      </c>
      <c r="O78" s="28" t="s">
        <v>97</v>
      </c>
    </row>
    <row r="79" spans="1:15" ht="51.75" x14ac:dyDescent="0.25">
      <c r="A79" s="59">
        <v>15</v>
      </c>
      <c r="B79" s="29" t="s">
        <v>19</v>
      </c>
      <c r="C79" s="38" t="s">
        <v>83</v>
      </c>
      <c r="D79" s="38" t="s">
        <v>84</v>
      </c>
      <c r="E79" s="28" t="s">
        <v>8</v>
      </c>
      <c r="F79" s="28"/>
      <c r="G79" s="32">
        <v>1402296</v>
      </c>
      <c r="H79" s="32">
        <v>535500</v>
      </c>
      <c r="I79" s="32">
        <v>1166200</v>
      </c>
      <c r="J79" s="32">
        <v>918561</v>
      </c>
      <c r="K79" s="57" t="s">
        <v>98</v>
      </c>
      <c r="L79" s="57" t="s">
        <v>98</v>
      </c>
      <c r="M79" s="32">
        <f>ROUND(MEDIAN(G79:J79,L79),0)</f>
        <v>1042381</v>
      </c>
      <c r="N79" s="33">
        <f>STDEV(G79:J79)/AVERAGE(G79:J79)</f>
        <v>0.36838619211255985</v>
      </c>
      <c r="O79" s="28" t="s">
        <v>97</v>
      </c>
    </row>
    <row r="80" spans="1:15" ht="51.75" x14ac:dyDescent="0.25">
      <c r="A80" s="59">
        <v>16</v>
      </c>
      <c r="B80" s="29" t="s">
        <v>19</v>
      </c>
      <c r="C80" s="38" t="s">
        <v>83</v>
      </c>
      <c r="D80" s="38" t="s">
        <v>85</v>
      </c>
      <c r="E80" s="28" t="s">
        <v>8</v>
      </c>
      <c r="F80" s="28"/>
      <c r="G80" s="32">
        <v>3469445</v>
      </c>
      <c r="H80" s="32">
        <v>535500</v>
      </c>
      <c r="I80" s="32">
        <v>2606100</v>
      </c>
      <c r="J80" s="32">
        <v>1142668</v>
      </c>
      <c r="K80" s="57" t="s">
        <v>98</v>
      </c>
      <c r="L80" s="57" t="s">
        <v>98</v>
      </c>
      <c r="M80" s="32">
        <f>MEDIAN(G80:J80)</f>
        <v>1874384</v>
      </c>
      <c r="N80" s="33">
        <f>STDEV(G80:J80)/AVERAGE(G80:J80)</f>
        <v>0.69156653758280506</v>
      </c>
      <c r="O80" s="28" t="s">
        <v>97</v>
      </c>
    </row>
    <row r="81" spans="1:15" x14ac:dyDescent="0.25">
      <c r="A81" s="52"/>
      <c r="B81" s="78" t="s">
        <v>86</v>
      </c>
      <c r="C81" s="79"/>
      <c r="D81" s="79"/>
      <c r="E81" s="79"/>
      <c r="F81" s="79"/>
      <c r="G81" s="79"/>
      <c r="H81" s="79"/>
      <c r="I81" s="79"/>
      <c r="J81" s="79"/>
      <c r="K81" s="79"/>
      <c r="L81" s="80"/>
      <c r="M81" s="42">
        <f>SUM(M65:M80)</f>
        <v>7548192</v>
      </c>
      <c r="N81" s="53"/>
      <c r="O81" s="54" t="s">
        <v>97</v>
      </c>
    </row>
    <row r="82" spans="1:15" x14ac:dyDescent="0.25">
      <c r="A82" s="81" t="s">
        <v>87</v>
      </c>
      <c r="B82" s="82"/>
      <c r="C82" s="82"/>
      <c r="D82" s="82"/>
      <c r="E82" s="82"/>
      <c r="F82" s="82"/>
      <c r="G82" s="82"/>
      <c r="H82" s="82"/>
      <c r="I82" s="82"/>
      <c r="J82" s="82"/>
      <c r="K82" s="82"/>
      <c r="L82" s="82"/>
      <c r="M82" s="82"/>
      <c r="N82" s="82"/>
      <c r="O82" s="83"/>
    </row>
    <row r="83" spans="1:15" ht="15.75" thickBot="1" x14ac:dyDescent="0.3">
      <c r="A83" s="1"/>
      <c r="B83" s="1"/>
      <c r="C83" s="1"/>
      <c r="D83" s="1"/>
      <c r="E83" s="1"/>
      <c r="F83" s="1"/>
      <c r="G83" s="1"/>
      <c r="H83" s="1"/>
      <c r="I83" s="1"/>
      <c r="J83" s="1"/>
      <c r="K83" s="1"/>
      <c r="L83" s="1"/>
      <c r="M83" s="1"/>
      <c r="N83" s="1"/>
      <c r="O83" s="1"/>
    </row>
    <row r="84" spans="1:15" ht="15.75" thickBot="1" x14ac:dyDescent="0.3">
      <c r="A84" s="1"/>
      <c r="B84" s="1"/>
      <c r="C84" s="1"/>
      <c r="D84" s="100" t="s">
        <v>88</v>
      </c>
      <c r="E84" s="101"/>
      <c r="F84" s="101"/>
      <c r="G84" s="101"/>
      <c r="H84" s="102"/>
      <c r="I84" s="1"/>
      <c r="J84" s="1"/>
      <c r="K84" s="1"/>
      <c r="L84" s="1"/>
      <c r="M84" s="1"/>
      <c r="N84" s="1"/>
      <c r="O84" s="1"/>
    </row>
    <row r="85" spans="1:15" ht="15.75" thickBot="1" x14ac:dyDescent="0.3">
      <c r="A85" s="1"/>
      <c r="B85" s="1"/>
      <c r="C85" s="1"/>
      <c r="D85" s="9" t="s">
        <v>89</v>
      </c>
      <c r="E85" s="10"/>
      <c r="F85" s="10"/>
      <c r="G85" s="5"/>
      <c r="H85" s="4">
        <f>O59</f>
        <v>40302323</v>
      </c>
      <c r="I85" s="1"/>
      <c r="J85" s="1"/>
      <c r="K85" s="1"/>
      <c r="L85" s="1"/>
      <c r="M85" s="1"/>
      <c r="N85" s="1"/>
      <c r="O85" s="1"/>
    </row>
    <row r="86" spans="1:15" ht="15.75" thickBot="1" x14ac:dyDescent="0.3">
      <c r="A86" s="1"/>
      <c r="B86" s="1"/>
      <c r="C86" s="1"/>
      <c r="D86" s="6" t="s">
        <v>90</v>
      </c>
      <c r="E86" s="10"/>
      <c r="F86" s="10"/>
      <c r="G86" s="11"/>
      <c r="H86" s="3">
        <f>M81</f>
        <v>7548192</v>
      </c>
      <c r="I86" s="1"/>
      <c r="J86" s="1"/>
      <c r="K86" s="1"/>
      <c r="L86" s="1"/>
      <c r="M86" s="1"/>
      <c r="N86" s="1"/>
      <c r="O86" s="1"/>
    </row>
    <row r="87" spans="1:15" ht="15.75" thickBot="1" x14ac:dyDescent="0.3">
      <c r="A87" s="1"/>
      <c r="B87" s="1"/>
      <c r="C87" s="1"/>
      <c r="D87" s="9" t="s">
        <v>91</v>
      </c>
      <c r="E87" s="10"/>
      <c r="F87" s="10"/>
      <c r="G87" s="7"/>
      <c r="H87" s="3">
        <f>$D$6</f>
        <v>34883000</v>
      </c>
      <c r="I87" s="1"/>
      <c r="J87" s="1"/>
      <c r="K87" s="1"/>
      <c r="L87" s="1"/>
      <c r="M87" s="1"/>
      <c r="N87" s="1"/>
      <c r="O87" s="1"/>
    </row>
    <row r="88" spans="1:15" ht="15.75" thickBot="1" x14ac:dyDescent="0.3">
      <c r="A88" s="1"/>
      <c r="B88" s="1"/>
      <c r="C88" s="1"/>
      <c r="D88" s="9" t="s">
        <v>92</v>
      </c>
      <c r="E88" s="8"/>
      <c r="F88" s="8"/>
      <c r="G88" s="11"/>
      <c r="H88" s="2">
        <f>$D$6/O59</f>
        <v>0.86553323489566591</v>
      </c>
      <c r="I88" s="1"/>
      <c r="J88" s="1"/>
      <c r="K88" s="1"/>
      <c r="L88" s="1"/>
      <c r="M88" s="1"/>
      <c r="N88" s="1"/>
      <c r="O88" s="1"/>
    </row>
    <row r="89" spans="1:15" x14ac:dyDescent="0.25">
      <c r="A89" s="1"/>
      <c r="B89" s="1"/>
      <c r="C89" s="1"/>
      <c r="D89" s="1"/>
      <c r="E89" s="1"/>
      <c r="F89" s="1"/>
      <c r="G89" s="1"/>
      <c r="H89" s="1"/>
      <c r="I89" s="1"/>
      <c r="J89" s="1"/>
      <c r="K89" s="1"/>
      <c r="L89" s="1"/>
      <c r="M89" s="1"/>
      <c r="N89" s="1"/>
      <c r="O89" s="1"/>
    </row>
    <row r="90" spans="1:15" x14ac:dyDescent="0.25">
      <c r="A90" s="1"/>
      <c r="B90" s="1"/>
      <c r="C90" s="1"/>
      <c r="D90" s="1"/>
      <c r="E90" s="1"/>
      <c r="F90" s="1"/>
      <c r="G90" s="1"/>
      <c r="H90" s="1"/>
      <c r="I90" s="1"/>
      <c r="J90" s="1"/>
      <c r="K90" s="1"/>
      <c r="L90" s="1"/>
      <c r="M90" s="1"/>
      <c r="N90" s="1"/>
      <c r="O90" s="1"/>
    </row>
    <row r="91" spans="1:15" ht="15" customHeight="1" x14ac:dyDescent="0.25">
      <c r="A91" s="103" t="s">
        <v>93</v>
      </c>
      <c r="B91" s="103"/>
      <c r="C91" s="103"/>
      <c r="D91" s="103"/>
      <c r="E91" s="103"/>
      <c r="F91" s="103"/>
      <c r="G91" s="103"/>
      <c r="H91" s="103"/>
      <c r="I91" s="103"/>
      <c r="J91" s="103"/>
      <c r="K91" s="103"/>
      <c r="L91" s="103"/>
      <c r="M91" s="103"/>
      <c r="N91" s="103"/>
      <c r="O91" s="103"/>
    </row>
    <row r="92" spans="1:15" ht="91.5" customHeight="1" x14ac:dyDescent="0.25">
      <c r="A92" s="74" t="s">
        <v>146</v>
      </c>
      <c r="B92" s="74"/>
      <c r="C92" s="74"/>
      <c r="D92" s="74"/>
      <c r="E92" s="74"/>
      <c r="F92" s="74"/>
      <c r="G92" s="74"/>
      <c r="H92" s="74"/>
      <c r="I92" s="74"/>
      <c r="J92" s="74"/>
      <c r="K92" s="74"/>
      <c r="L92" s="74"/>
      <c r="M92" s="74"/>
      <c r="N92" s="74"/>
      <c r="O92" s="74"/>
    </row>
    <row r="93" spans="1:15" x14ac:dyDescent="0.25">
      <c r="A93" s="74" t="s">
        <v>148</v>
      </c>
      <c r="B93" s="74"/>
      <c r="C93" s="74"/>
      <c r="D93" s="74"/>
      <c r="E93" s="74"/>
      <c r="F93" s="74"/>
      <c r="G93" s="74"/>
      <c r="H93" s="74"/>
      <c r="I93" s="74"/>
      <c r="J93" s="74"/>
      <c r="K93" s="74"/>
      <c r="L93" s="74"/>
      <c r="M93" s="74"/>
      <c r="N93" s="74"/>
      <c r="O93" s="74"/>
    </row>
    <row r="94" spans="1:15" x14ac:dyDescent="0.25">
      <c r="A94" s="74" t="s">
        <v>147</v>
      </c>
      <c r="B94" s="74"/>
      <c r="C94" s="74"/>
      <c r="D94" s="74"/>
      <c r="E94" s="74"/>
      <c r="F94" s="74"/>
      <c r="G94" s="74"/>
      <c r="H94" s="74"/>
      <c r="I94" s="74"/>
      <c r="J94" s="74"/>
      <c r="K94" s="74"/>
      <c r="L94" s="74"/>
      <c r="M94" s="74"/>
      <c r="N94" s="74"/>
      <c r="O94" s="74"/>
    </row>
    <row r="95" spans="1:15" x14ac:dyDescent="0.25">
      <c r="A95" s="74" t="s">
        <v>155</v>
      </c>
      <c r="B95" s="74"/>
      <c r="C95" s="74"/>
      <c r="D95" s="74"/>
      <c r="E95" s="74"/>
      <c r="F95" s="74"/>
      <c r="G95" s="74"/>
      <c r="H95" s="74"/>
      <c r="I95" s="74"/>
      <c r="J95" s="74"/>
      <c r="K95" s="74"/>
      <c r="L95" s="74"/>
      <c r="M95" s="74"/>
      <c r="N95" s="74"/>
      <c r="O95" s="74"/>
    </row>
    <row r="96" spans="1:15" ht="42" customHeight="1" x14ac:dyDescent="0.25">
      <c r="A96" s="74" t="s">
        <v>149</v>
      </c>
      <c r="B96" s="74"/>
      <c r="C96" s="74"/>
      <c r="D96" s="74"/>
      <c r="E96" s="74"/>
      <c r="F96" s="74"/>
      <c r="G96" s="74"/>
      <c r="H96" s="74"/>
      <c r="I96" s="74"/>
      <c r="J96" s="74"/>
      <c r="K96" s="74"/>
      <c r="L96" s="74"/>
      <c r="M96" s="74"/>
      <c r="N96" s="74"/>
      <c r="O96" s="74"/>
    </row>
    <row r="97" spans="1:15" ht="30" customHeight="1" x14ac:dyDescent="0.25">
      <c r="A97" s="74" t="s">
        <v>150</v>
      </c>
      <c r="B97" s="74"/>
      <c r="C97" s="74"/>
      <c r="D97" s="74"/>
      <c r="E97" s="74"/>
      <c r="F97" s="74"/>
      <c r="G97" s="74"/>
      <c r="H97" s="74"/>
      <c r="I97" s="74"/>
      <c r="J97" s="74"/>
      <c r="K97" s="74"/>
      <c r="L97" s="74"/>
      <c r="M97" s="74"/>
      <c r="N97" s="74"/>
      <c r="O97" s="74"/>
    </row>
    <row r="98" spans="1:15" ht="30" customHeight="1" x14ac:dyDescent="0.25">
      <c r="A98" s="74" t="s">
        <v>151</v>
      </c>
      <c r="B98" s="74"/>
      <c r="C98" s="74"/>
      <c r="D98" s="74"/>
      <c r="E98" s="74"/>
      <c r="F98" s="74"/>
      <c r="G98" s="74"/>
      <c r="H98" s="74"/>
      <c r="I98" s="74"/>
      <c r="J98" s="74"/>
      <c r="K98" s="74"/>
      <c r="L98" s="74"/>
      <c r="M98" s="74"/>
      <c r="N98" s="74"/>
      <c r="O98" s="74"/>
    </row>
    <row r="99" spans="1:15" x14ac:dyDescent="0.25">
      <c r="A99" s="56"/>
      <c r="B99" s="56"/>
      <c r="C99" s="56"/>
      <c r="D99" s="56"/>
      <c r="E99" s="56"/>
      <c r="F99" s="56"/>
      <c r="G99" s="56"/>
      <c r="H99" s="56"/>
      <c r="I99" s="56"/>
      <c r="J99" s="56"/>
      <c r="K99" s="56"/>
      <c r="L99" s="56"/>
      <c r="M99" s="56"/>
      <c r="N99" s="56"/>
      <c r="O99" s="56"/>
    </row>
    <row r="100" spans="1:15" x14ac:dyDescent="0.25">
      <c r="A100" s="75" t="s">
        <v>152</v>
      </c>
      <c r="B100" s="75"/>
      <c r="C100" s="75"/>
      <c r="D100" s="75"/>
      <c r="E100" s="75"/>
      <c r="F100" s="75"/>
      <c r="G100" s="75"/>
      <c r="H100" s="75"/>
      <c r="I100" s="75"/>
      <c r="J100" s="75"/>
      <c r="K100" s="75"/>
      <c r="L100" s="75"/>
      <c r="M100" s="75"/>
      <c r="N100" s="75"/>
      <c r="O100" s="75"/>
    </row>
    <row r="101" spans="1:15" x14ac:dyDescent="0.25">
      <c r="A101" s="99"/>
      <c r="B101" s="99"/>
      <c r="C101" s="99"/>
      <c r="D101" s="99"/>
      <c r="E101" s="99"/>
      <c r="F101" s="99"/>
      <c r="G101" s="99"/>
      <c r="H101" s="99"/>
      <c r="I101" s="99"/>
      <c r="J101" s="99"/>
      <c r="K101" s="99"/>
      <c r="L101" s="99"/>
      <c r="M101" s="99"/>
      <c r="N101" s="99"/>
      <c r="O101" s="99"/>
    </row>
    <row r="102" spans="1:15" ht="38.25" x14ac:dyDescent="0.25">
      <c r="A102" s="56"/>
      <c r="B102" s="56"/>
      <c r="C102" s="56"/>
      <c r="D102" s="106" t="s">
        <v>94</v>
      </c>
      <c r="E102" s="107"/>
      <c r="F102" s="107"/>
      <c r="G102" s="56"/>
      <c r="H102" s="56"/>
      <c r="I102" s="56"/>
      <c r="J102" s="56"/>
      <c r="K102" s="56"/>
      <c r="L102" s="56"/>
      <c r="M102" s="60" t="s">
        <v>95</v>
      </c>
      <c r="N102" s="56"/>
      <c r="O102" s="56"/>
    </row>
    <row r="103" spans="1:15" ht="25.5" customHeight="1" x14ac:dyDescent="0.25">
      <c r="A103" s="56"/>
      <c r="B103" s="56"/>
      <c r="C103" s="56"/>
      <c r="D103" s="108" t="s">
        <v>20</v>
      </c>
      <c r="E103" s="109"/>
      <c r="F103" s="109"/>
      <c r="G103" s="56"/>
      <c r="H103" s="56"/>
      <c r="I103" s="56"/>
      <c r="J103" s="56"/>
      <c r="K103" s="56"/>
      <c r="L103" s="56"/>
      <c r="M103" s="25">
        <f>M17</f>
        <v>907452</v>
      </c>
      <c r="N103" s="56"/>
      <c r="O103" s="56"/>
    </row>
    <row r="104" spans="1:15" x14ac:dyDescent="0.25">
      <c r="A104" s="56"/>
      <c r="B104" s="56"/>
      <c r="C104" s="56"/>
      <c r="D104" s="97" t="s">
        <v>27</v>
      </c>
      <c r="E104" s="98"/>
      <c r="F104" s="98"/>
      <c r="G104" s="56"/>
      <c r="H104" s="56"/>
      <c r="I104" s="56"/>
      <c r="J104" s="56"/>
      <c r="K104" s="56"/>
      <c r="L104" s="56"/>
      <c r="M104" s="25">
        <f>M21</f>
        <v>297500</v>
      </c>
      <c r="N104" s="56"/>
      <c r="O104" s="56"/>
    </row>
    <row r="105" spans="1:15" x14ac:dyDescent="0.25">
      <c r="A105" s="56"/>
      <c r="B105" s="56"/>
      <c r="C105" s="56"/>
      <c r="D105" s="97" t="s">
        <v>29</v>
      </c>
      <c r="E105" s="98"/>
      <c r="F105" s="98"/>
      <c r="G105" s="56"/>
      <c r="H105" s="56"/>
      <c r="I105" s="56"/>
      <c r="J105" s="56"/>
      <c r="K105" s="56"/>
      <c r="L105" s="56"/>
      <c r="M105" s="25">
        <f>M28</f>
        <v>1558900</v>
      </c>
      <c r="N105" s="56"/>
      <c r="O105" s="56"/>
    </row>
    <row r="106" spans="1:15" x14ac:dyDescent="0.25">
      <c r="A106" s="56"/>
      <c r="B106" s="56"/>
      <c r="C106" s="56"/>
      <c r="D106" s="97" t="s">
        <v>34</v>
      </c>
      <c r="E106" s="98"/>
      <c r="F106" s="98"/>
      <c r="G106" s="56"/>
      <c r="H106" s="56"/>
      <c r="I106" s="56"/>
      <c r="J106" s="56"/>
      <c r="K106" s="56"/>
      <c r="L106" s="56"/>
      <c r="M106" s="25">
        <f>M41</f>
        <v>1234052</v>
      </c>
      <c r="N106" s="56"/>
      <c r="O106" s="56"/>
    </row>
    <row r="107" spans="1:15" x14ac:dyDescent="0.25">
      <c r="A107" s="56"/>
      <c r="B107" s="56"/>
      <c r="C107" s="56"/>
      <c r="D107" s="97" t="s">
        <v>45</v>
      </c>
      <c r="E107" s="98"/>
      <c r="F107" s="98"/>
      <c r="G107" s="56"/>
      <c r="H107" s="56"/>
      <c r="I107" s="56"/>
      <c r="J107" s="56"/>
      <c r="K107" s="56"/>
      <c r="L107" s="56"/>
      <c r="M107" s="25">
        <f>M48</f>
        <v>1309000</v>
      </c>
      <c r="N107" s="56"/>
      <c r="O107" s="56"/>
    </row>
    <row r="108" spans="1:15" x14ac:dyDescent="0.25">
      <c r="A108" s="56"/>
      <c r="B108" s="56"/>
      <c r="C108" s="56"/>
      <c r="D108" s="97" t="s">
        <v>50</v>
      </c>
      <c r="E108" s="98"/>
      <c r="F108" s="98"/>
      <c r="G108" s="56"/>
      <c r="H108" s="56"/>
      <c r="I108" s="56"/>
      <c r="J108" s="56"/>
      <c r="K108" s="56"/>
      <c r="L108" s="56"/>
      <c r="M108" s="25">
        <f>M58</f>
        <v>1326023</v>
      </c>
      <c r="N108" s="56"/>
      <c r="O108" s="56"/>
    </row>
    <row r="109" spans="1:15" x14ac:dyDescent="0.25">
      <c r="A109" s="56"/>
      <c r="B109" s="56"/>
      <c r="C109" s="56"/>
      <c r="D109" s="97" t="s">
        <v>96</v>
      </c>
      <c r="E109" s="98"/>
      <c r="F109" s="98"/>
      <c r="G109" s="56"/>
      <c r="H109" s="56"/>
      <c r="I109" s="56"/>
      <c r="J109" s="56"/>
      <c r="K109" s="56"/>
      <c r="L109" s="56"/>
      <c r="M109" s="25">
        <f>M81</f>
        <v>7548192</v>
      </c>
      <c r="N109" s="56"/>
      <c r="O109" s="56"/>
    </row>
    <row r="110" spans="1:15" x14ac:dyDescent="0.25">
      <c r="A110" s="56"/>
      <c r="B110" s="56"/>
      <c r="C110" s="56"/>
      <c r="D110" s="104" t="s">
        <v>153</v>
      </c>
      <c r="E110" s="105"/>
      <c r="F110" s="105"/>
      <c r="G110" s="56"/>
      <c r="H110" s="56"/>
      <c r="I110" s="56"/>
      <c r="J110" s="56"/>
      <c r="K110" s="56"/>
      <c r="L110" s="56"/>
      <c r="M110" s="61">
        <f>M59+M81</f>
        <v>14181119</v>
      </c>
      <c r="N110" s="56"/>
      <c r="O110" s="56"/>
    </row>
    <row r="111" spans="1:15" x14ac:dyDescent="0.25">
      <c r="A111" s="56"/>
      <c r="B111" s="56"/>
      <c r="C111" s="56"/>
      <c r="D111" s="56"/>
      <c r="E111" s="56"/>
      <c r="F111" s="56"/>
      <c r="G111" s="56"/>
      <c r="H111" s="56"/>
      <c r="I111" s="56"/>
      <c r="J111" s="56"/>
      <c r="K111" s="56"/>
      <c r="L111" s="56"/>
      <c r="M111" s="56"/>
      <c r="N111" s="56"/>
      <c r="O111" s="56"/>
    </row>
    <row r="112" spans="1:15" x14ac:dyDescent="0.25">
      <c r="A112" s="55" t="s">
        <v>154</v>
      </c>
      <c r="B112" s="56"/>
      <c r="C112" s="56"/>
      <c r="D112" s="56"/>
      <c r="E112" s="56"/>
      <c r="F112" s="56"/>
      <c r="G112" s="56"/>
      <c r="H112" s="56"/>
      <c r="I112" s="56"/>
      <c r="J112" s="56"/>
      <c r="K112" s="56"/>
      <c r="L112" s="56"/>
      <c r="M112" s="56"/>
      <c r="N112" s="56"/>
      <c r="O112" s="56"/>
    </row>
    <row r="113" spans="1:15" x14ac:dyDescent="0.25">
      <c r="A113" s="56"/>
      <c r="B113" s="56"/>
      <c r="C113" s="56"/>
      <c r="D113" s="56"/>
      <c r="E113" s="56"/>
      <c r="F113" s="56"/>
      <c r="G113" s="56"/>
      <c r="H113" s="56"/>
      <c r="I113" s="56"/>
      <c r="J113" s="56"/>
      <c r="K113" s="56"/>
      <c r="L113" s="56"/>
      <c r="M113" s="56"/>
      <c r="N113" s="56"/>
      <c r="O113" s="56"/>
    </row>
  </sheetData>
  <mergeCells count="46">
    <mergeCell ref="D110:F110"/>
    <mergeCell ref="D102:F102"/>
    <mergeCell ref="D103:F103"/>
    <mergeCell ref="D104:F104"/>
    <mergeCell ref="D105:F105"/>
    <mergeCell ref="D106:F106"/>
    <mergeCell ref="A50:O50"/>
    <mergeCell ref="A58:L58"/>
    <mergeCell ref="D107:F107"/>
    <mergeCell ref="D108:F108"/>
    <mergeCell ref="D109:F109"/>
    <mergeCell ref="A101:O101"/>
    <mergeCell ref="D84:H84"/>
    <mergeCell ref="A94:O94"/>
    <mergeCell ref="A95:O95"/>
    <mergeCell ref="A96:O96"/>
    <mergeCell ref="A97:O97"/>
    <mergeCell ref="A91:O91"/>
    <mergeCell ref="A92:O92"/>
    <mergeCell ref="A93:O93"/>
    <mergeCell ref="A41:L41"/>
    <mergeCell ref="A42:O42"/>
    <mergeCell ref="A43:O43"/>
    <mergeCell ref="A48:L48"/>
    <mergeCell ref="A49:O49"/>
    <mergeCell ref="A21:L21"/>
    <mergeCell ref="A23:O23"/>
    <mergeCell ref="A28:L28"/>
    <mergeCell ref="A22:O22"/>
    <mergeCell ref="A30:O30"/>
    <mergeCell ref="D1:O1"/>
    <mergeCell ref="D2:O2"/>
    <mergeCell ref="D3:F3"/>
    <mergeCell ref="A98:O98"/>
    <mergeCell ref="A100:O100"/>
    <mergeCell ref="A62:O62"/>
    <mergeCell ref="B81:L81"/>
    <mergeCell ref="A82:O82"/>
    <mergeCell ref="A8:C8"/>
    <mergeCell ref="A10:O10"/>
    <mergeCell ref="A5:D5"/>
    <mergeCell ref="K3:O3"/>
    <mergeCell ref="K4:O4"/>
    <mergeCell ref="A17:L17"/>
    <mergeCell ref="A19:O19"/>
    <mergeCell ref="A18:O18"/>
  </mergeCells>
  <phoneticPr fontId="17" type="noConversion"/>
  <pageMargins left="0.75" right="0.75" top="1" bottom="1" header="0.511811023622047" footer="0.511811023622047"/>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9"/>
  <sheetViews>
    <sheetView zoomScale="115" zoomScaleNormal="115" workbookViewId="0">
      <selection activeCell="J21" sqref="J21"/>
    </sheetView>
  </sheetViews>
  <sheetFormatPr baseColWidth="10" defaultRowHeight="14.25" x14ac:dyDescent="0.2"/>
  <cols>
    <col min="1" max="1" width="4.85546875" style="13" customWidth="1"/>
    <col min="2" max="2" width="4.42578125" style="13" bestFit="1" customWidth="1"/>
    <col min="3" max="3" width="37.42578125" style="13" customWidth="1"/>
    <col min="4" max="8" width="16.7109375" style="13" customWidth="1"/>
    <col min="9" max="16384" width="11.42578125" style="13"/>
  </cols>
  <sheetData>
    <row r="2" spans="2:8" ht="30" x14ac:dyDescent="0.2">
      <c r="B2" s="64" t="s">
        <v>60</v>
      </c>
      <c r="C2" s="64" t="s">
        <v>94</v>
      </c>
      <c r="D2" s="65" t="s">
        <v>157</v>
      </c>
      <c r="E2" s="65" t="s">
        <v>158</v>
      </c>
      <c r="F2" s="65" t="s">
        <v>159</v>
      </c>
      <c r="G2" s="65" t="s">
        <v>160</v>
      </c>
      <c r="H2" s="64" t="s">
        <v>161</v>
      </c>
    </row>
    <row r="3" spans="2:8" ht="29.1" customHeight="1" x14ac:dyDescent="0.2">
      <c r="B3" s="66">
        <v>1</v>
      </c>
      <c r="C3" s="63" t="s">
        <v>20</v>
      </c>
      <c r="D3" s="62">
        <f>'Estudio de Mercado'!G11+'Estudio de Mercado'!G12+'Estudio de Mercado'!G13+'Estudio de Mercado'!G14+'Estudio de Mercado'!G15+'Estudio de Mercado'!G16</f>
        <v>1541288</v>
      </c>
      <c r="E3" s="62">
        <f>'Estudio de Mercado'!H11+'Estudio de Mercado'!H12+'Estudio de Mercado'!H13+'Estudio de Mercado'!H14+'Estudio de Mercado'!H15+'Estudio de Mercado'!H16</f>
        <v>946050</v>
      </c>
      <c r="F3" s="62">
        <f>'Estudio de Mercado'!I11+'Estudio de Mercado'!I12+'Estudio de Mercado'!I13+'Estudio de Mercado'!I14+'Estudio de Mercado'!I15+'Estudio de Mercado'!I16</f>
        <v>803250</v>
      </c>
      <c r="G3" s="62">
        <f>'Estudio de Mercado'!J11+'Estudio de Mercado'!J12+'Estudio de Mercado'!J13+'Estudio de Mercado'!J14+'Estudio de Mercado'!J15+'Estudio de Mercado'!J16</f>
        <v>1310522</v>
      </c>
      <c r="H3" s="62">
        <f>'Estudio de Mercado'!L11+'Estudio de Mercado'!L12+'Estudio de Mercado'!L13+'Estudio de Mercado'!L14+'Estudio de Mercado'!L15+'Estudio de Mercado'!L16</f>
        <v>611456.00340000005</v>
      </c>
    </row>
    <row r="4" spans="2:8" ht="29.1" customHeight="1" x14ac:dyDescent="0.2">
      <c r="B4" s="66">
        <v>2</v>
      </c>
      <c r="C4" s="63" t="s">
        <v>27</v>
      </c>
      <c r="D4" s="62">
        <f>'Estudio de Mercado'!G20</f>
        <v>5826121</v>
      </c>
      <c r="E4" s="62">
        <f>'Estudio de Mercado'!H20</f>
        <v>963900</v>
      </c>
      <c r="F4" s="62">
        <f>'Estudio de Mercado'!I20</f>
        <v>297500</v>
      </c>
      <c r="G4" s="62">
        <f>'Estudio de Mercado'!J20</f>
        <v>132836</v>
      </c>
      <c r="H4" s="62">
        <f>'Estudio de Mercado'!L20</f>
        <v>61975.809500000003</v>
      </c>
    </row>
    <row r="5" spans="2:8" ht="29.1" customHeight="1" x14ac:dyDescent="0.2">
      <c r="B5" s="66">
        <v>3</v>
      </c>
      <c r="C5" s="63" t="s">
        <v>156</v>
      </c>
      <c r="D5" s="62" t="e">
        <f>'Estudio de Mercado'!G24+'Estudio de Mercado'!G25+'Estudio de Mercado'!#REF!+'Estudio de Mercado'!G26+'Estudio de Mercado'!G27</f>
        <v>#REF!</v>
      </c>
      <c r="E5" s="62" t="e">
        <f>'Estudio de Mercado'!H24+'Estudio de Mercado'!H25+'Estudio de Mercado'!#REF!+'Estudio de Mercado'!H26+'Estudio de Mercado'!H27</f>
        <v>#REF!</v>
      </c>
      <c r="F5" s="62" t="e">
        <f>'Estudio de Mercado'!I24+'Estudio de Mercado'!I25+'Estudio de Mercado'!#REF!+'Estudio de Mercado'!I26+'Estudio de Mercado'!I27</f>
        <v>#REF!</v>
      </c>
      <c r="G5" s="62" t="e">
        <f>'Estudio de Mercado'!J24+'Estudio de Mercado'!J25+'Estudio de Mercado'!#REF!+'Estudio de Mercado'!J26+'Estudio de Mercado'!J27</f>
        <v>#REF!</v>
      </c>
      <c r="H5" s="62" t="e">
        <f>'Estudio de Mercado'!L24+'Estudio de Mercado'!L25+'Estudio de Mercado'!#REF!+'Estudio de Mercado'!L26+'Estudio de Mercado'!L27</f>
        <v>#REF!</v>
      </c>
    </row>
    <row r="6" spans="2:8" ht="29.1" customHeight="1" x14ac:dyDescent="0.2">
      <c r="B6" s="66">
        <v>4</v>
      </c>
      <c r="C6" s="63" t="s">
        <v>34</v>
      </c>
      <c r="D6" s="62">
        <f>'Estudio de Mercado'!G31+'Estudio de Mercado'!G32+'Estudio de Mercado'!G33+'Estudio de Mercado'!G34+'Estudio de Mercado'!G35+'Estudio de Mercado'!G36+'Estudio de Mercado'!G37+'Estudio de Mercado'!G38+'Estudio de Mercado'!G39+'Estudio de Mercado'!G40</f>
        <v>1303883</v>
      </c>
      <c r="E6" s="62">
        <f>'Estudio de Mercado'!H31+'Estudio de Mercado'!H32+'Estudio de Mercado'!H33+'Estudio de Mercado'!H34+'Estudio de Mercado'!H35+'Estudio de Mercado'!H36+'Estudio de Mercado'!H37+'Estudio de Mercado'!H38+'Estudio de Mercado'!H39+'Estudio de Mercado'!H40</f>
        <v>1428000</v>
      </c>
      <c r="F6" s="62">
        <f>'Estudio de Mercado'!I31+'Estudio de Mercado'!I32+'Estudio de Mercado'!I33+'Estudio de Mercado'!I34+'Estudio de Mercado'!I35+'Estudio de Mercado'!I36+'Estudio de Mercado'!I37+'Estudio de Mercado'!I38+'Estudio de Mercado'!I39+'Estudio de Mercado'!I40</f>
        <v>1023400</v>
      </c>
      <c r="G6" s="62">
        <f>'Estudio de Mercado'!J31+'Estudio de Mercado'!J32+'Estudio de Mercado'!J33+'Estudio de Mercado'!J34+'Estudio de Mercado'!J35+'Estudio de Mercado'!J36+'Estudio de Mercado'!J37+'Estudio de Mercado'!J38+'Estudio de Mercado'!J39+'Estudio de Mercado'!J40</f>
        <v>2148774</v>
      </c>
      <c r="H6" s="62">
        <f>'Estudio de Mercado'!L31+'Estudio de Mercado'!L32+'Estudio de Mercado'!L33+'Estudio de Mercado'!L34+'Estudio de Mercado'!L35+'Estudio de Mercado'!L36+'Estudio de Mercado'!L37+'Estudio de Mercado'!L38+'Estudio de Mercado'!L39+'Estudio de Mercado'!L40</f>
        <v>1002511.2918999998</v>
      </c>
    </row>
    <row r="7" spans="2:8" ht="29.1" customHeight="1" x14ac:dyDescent="0.2">
      <c r="B7" s="66">
        <v>5</v>
      </c>
      <c r="C7" s="63" t="s">
        <v>45</v>
      </c>
      <c r="D7" s="62">
        <f>'Estudio de Mercado'!G44+'Estudio de Mercado'!G45+'Estudio de Mercado'!G46+'Estudio de Mercado'!G47</f>
        <v>3240608</v>
      </c>
      <c r="E7" s="62">
        <f>'Estudio de Mercado'!H44+'Estudio de Mercado'!H45+'Estudio de Mercado'!H46+'Estudio de Mercado'!H47</f>
        <v>2284800</v>
      </c>
      <c r="F7" s="62">
        <f>'Estudio de Mercado'!I44+'Estudio de Mercado'!I45+'Estudio de Mercado'!I46+'Estudio de Mercado'!I47</f>
        <v>1309000</v>
      </c>
      <c r="G7" s="62">
        <f>'Estudio de Mercado'!J44+'Estudio de Mercado'!J45+'Estudio de Mercado'!J46+'Estudio de Mercado'!J47</f>
        <v>655556</v>
      </c>
      <c r="H7" s="62">
        <f>'Estudio de Mercado'!L44+'Estudio de Mercado'!L45+'Estudio de Mercado'!L46+'Estudio de Mercado'!L47</f>
        <v>305849.22320000001</v>
      </c>
    </row>
    <row r="8" spans="2:8" ht="29.1" customHeight="1" x14ac:dyDescent="0.2">
      <c r="B8" s="66">
        <v>6</v>
      </c>
      <c r="C8" s="63" t="s">
        <v>50</v>
      </c>
      <c r="D8" s="62">
        <f>'Estudio de Mercado'!G51+'Estudio de Mercado'!G52+'Estudio de Mercado'!G53+'Estudio de Mercado'!G54+'Estudio de Mercado'!G55+'Estudio de Mercado'!G57</f>
        <v>1541169</v>
      </c>
      <c r="E8" s="62">
        <f>'Estudio de Mercado'!H51+'Estudio de Mercado'!H52+'Estudio de Mercado'!H53+'Estudio de Mercado'!H54+'Estudio de Mercado'!H55+'Estudio de Mercado'!H57</f>
        <v>1416100</v>
      </c>
      <c r="F8" s="62">
        <f>'Estudio de Mercado'!I51+'Estudio de Mercado'!I52+'Estudio de Mercado'!I53+'Estudio de Mercado'!I54+'Estudio de Mercado'!I55+'Estudio de Mercado'!I57</f>
        <v>1190000</v>
      </c>
      <c r="G8" s="62">
        <f>'Estudio de Mercado'!J51+'Estudio de Mercado'!J52+'Estudio de Mercado'!J53+'Estudio de Mercado'!J54+'Estudio de Mercado'!J55+'Estudio de Mercado'!J57</f>
        <v>983334</v>
      </c>
      <c r="H8" s="62">
        <f>'Estudio de Mercado'!L51+'Estudio de Mercado'!L52+'Estudio de Mercado'!L53+'Estudio de Mercado'!L54+'Estudio de Mercado'!L55+'Estudio de Mercado'!L57</f>
        <v>458773.83479999995</v>
      </c>
    </row>
    <row r="9" spans="2:8" ht="29.1" customHeight="1" x14ac:dyDescent="0.2">
      <c r="B9" s="66">
        <v>7</v>
      </c>
      <c r="C9" s="63" t="s">
        <v>96</v>
      </c>
      <c r="D9" s="62">
        <f>'Estudio de Mercado'!G65+'Estudio de Mercado'!G67+'Estudio de Mercado'!G68+'Estudio de Mercado'!G69+'Estudio de Mercado'!G70+'Estudio de Mercado'!G71+'Estudio de Mercado'!G72+'Estudio de Mercado'!G73+'Estudio de Mercado'!G74+'Estudio de Mercado'!G75+'Estudio de Mercado'!G76+'Estudio de Mercado'!G77+'Estudio de Mercado'!G78</f>
        <v>4363849</v>
      </c>
      <c r="E9" s="62">
        <f>'Estudio de Mercado'!H65+'Estudio de Mercado'!H67+'Estudio de Mercado'!H68+'Estudio de Mercado'!H69+'Estudio de Mercado'!H70+'Estudio de Mercado'!H71+'Estudio de Mercado'!H72+'Estudio de Mercado'!H73+'Estudio de Mercado'!H74+'Estudio de Mercado'!H75+'Estudio de Mercado'!H76+'Estudio de Mercado'!H77+'Estudio de Mercado'!H78</f>
        <v>4391100</v>
      </c>
      <c r="F9" s="62">
        <f>'Estudio de Mercado'!I65+'Estudio de Mercado'!I67+'Estudio de Mercado'!I68+'Estudio de Mercado'!I69+'Estudio de Mercado'!I70+'Estudio de Mercado'!I71+'Estudio de Mercado'!I72+'Estudio de Mercado'!I73+'Estudio de Mercado'!I74+'Estudio de Mercado'!I75+'Estudio de Mercado'!I76+'Estudio de Mercado'!I77+'Estudio de Mercado'!I78</f>
        <v>3641400</v>
      </c>
      <c r="G9" s="62">
        <f>'Estudio de Mercado'!J65+'Estudio de Mercado'!J67+'Estudio de Mercado'!J68+'Estudio de Mercado'!J69+'Estudio de Mercado'!J70+'Estudio de Mercado'!J71+'Estudio de Mercado'!J72+'Estudio de Mercado'!J73+'Estudio de Mercado'!J74+'Estudio de Mercado'!J75+'Estudio de Mercado'!J76+'Estudio de Mercado'!J77+'Estudio de Mercado'!J78</f>
        <v>7317676</v>
      </c>
      <c r="H9" s="62">
        <f>'Estudio de Mercado'!L65+'Estudio de Mercado'!L67+'Estudio de Mercado'!L68+'Estudio de Mercado'!L69+'Estudio de Mercado'!L70+'Estudio de Mercado'!L71+'Estudio de Mercado'!L72+'Estudio de Mercado'!L73+'Estudio de Mercado'!L74+'Estudio de Mercado'!L75+'Estudio de Mercado'!L76+'Estudio de Mercado'!L77+'Estudio de Mercado'!L78</f>
        <v>3984328.2898999997</v>
      </c>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Gráfico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Diego Felipe Garcia Velez</cp:lastModifiedBy>
  <cp:revision>0</cp:revision>
  <dcterms:created xsi:type="dcterms:W3CDTF">2026-09-10T21:42:39Z</dcterms:created>
  <dcterms:modified xsi:type="dcterms:W3CDTF">2026-10-07T16:40:52Z</dcterms:modified>
  <dc:language>en-US</dc:language>
</cp:coreProperties>
</file>