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R\1.FGN\2026\1.ESTUDIO DEL SECTOR\17.Vigilancia\Estudio Sector\1A Anexos\"/>
    </mc:Choice>
  </mc:AlternateContent>
  <bookViews>
    <workbookView xWindow="0" yWindow="0" windowWidth="23040" windowHeight="9072" tabRatio="757" firstSheet="4" activeTab="4"/>
  </bookViews>
  <sheets>
    <sheet name="Solicitud cotizaciones" sheetId="1" state="hidden" r:id="rId1"/>
    <sheet name="GENERAL" sheetId="10" state="hidden" r:id="rId2"/>
    <sheet name="Anexo 1" sheetId="2" state="hidden" r:id="rId3"/>
    <sheet name="Anexo 2" sheetId="3" state="hidden" r:id="rId4"/>
    <sheet name="Presupuesto 2026 (1-31 dic)" sheetId="17" r:id="rId5"/>
    <sheet name="Presupuesto 2027 (12 meses)" sheetId="33" r:id="rId6"/>
    <sheet name="Presupuesto 2028 (11 meses)" sheetId="35" r:id="rId7"/>
    <sheet name="Presupuesto 3 Vigencias" sheetId="28" r:id="rId8"/>
  </sheets>
  <definedNames>
    <definedName name="_xlnm.Print_Area" localSheetId="7">'Presupuesto 3 Vigencias'!$A$1:$F$22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8" l="1"/>
  <c r="M40" i="35" l="1"/>
  <c r="M41" i="35"/>
  <c r="M42" i="35"/>
  <c r="M39" i="35"/>
  <c r="E11" i="28"/>
  <c r="M40" i="33"/>
  <c r="M41" i="33"/>
  <c r="M42" i="33"/>
  <c r="M39" i="33"/>
  <c r="D5" i="35"/>
  <c r="D7" i="35" s="1"/>
  <c r="D9" i="35" s="1"/>
  <c r="K43" i="35"/>
  <c r="D5" i="33"/>
  <c r="M43" i="35" l="1"/>
  <c r="M43" i="33"/>
  <c r="B13" i="35"/>
  <c r="B14" i="35"/>
  <c r="D41" i="35"/>
  <c r="D42" i="35"/>
  <c r="G41" i="35" l="1"/>
  <c r="H41" i="35" s="1"/>
  <c r="D14" i="35"/>
  <c r="E14" i="35" s="1"/>
  <c r="G42" i="35"/>
  <c r="H42" i="35" s="1"/>
  <c r="D39" i="35"/>
  <c r="D40" i="35"/>
  <c r="D13" i="35"/>
  <c r="E13" i="35" s="1"/>
  <c r="I42" i="35" l="1"/>
  <c r="J42" i="35" s="1"/>
  <c r="L42" i="35" s="1"/>
  <c r="N42" i="35" s="1"/>
  <c r="I41" i="35"/>
  <c r="J41" i="35" s="1"/>
  <c r="L41" i="35" s="1"/>
  <c r="N41" i="35" s="1"/>
  <c r="G40" i="35"/>
  <c r="H40" i="35" s="1"/>
  <c r="G39" i="35"/>
  <c r="H39" i="35"/>
  <c r="K43" i="33"/>
  <c r="L47" i="17"/>
  <c r="L48" i="17" s="1"/>
  <c r="J47" i="17"/>
  <c r="I47" i="17"/>
  <c r="H47" i="17"/>
  <c r="G47" i="17"/>
  <c r="L42" i="17"/>
  <c r="L43" i="17" s="1"/>
  <c r="L41" i="17"/>
  <c r="L40" i="17"/>
  <c r="L39" i="17"/>
  <c r="J41" i="17"/>
  <c r="J40" i="17"/>
  <c r="J39" i="17"/>
  <c r="I42" i="17"/>
  <c r="J42" i="17" s="1"/>
  <c r="I41" i="17"/>
  <c r="I40" i="17"/>
  <c r="I39" i="17"/>
  <c r="H42" i="17"/>
  <c r="H41" i="17"/>
  <c r="H40" i="17"/>
  <c r="H39" i="17"/>
  <c r="G42" i="17"/>
  <c r="G41" i="17"/>
  <c r="G40" i="17"/>
  <c r="G39" i="17"/>
  <c r="E14" i="17"/>
  <c r="E13" i="17"/>
  <c r="D7" i="17"/>
  <c r="I40" i="35" l="1"/>
  <c r="J40" i="35" s="1"/>
  <c r="L40" i="35" s="1"/>
  <c r="N40" i="35" s="1"/>
  <c r="I39" i="35"/>
  <c r="J39" i="35" s="1"/>
  <c r="L39" i="35" s="1"/>
  <c r="D7" i="33"/>
  <c r="D9" i="33" s="1"/>
  <c r="B13" i="33" s="1"/>
  <c r="L43" i="35" l="1"/>
  <c r="N39" i="35"/>
  <c r="N43" i="35" s="1"/>
  <c r="E6" i="28" s="1"/>
  <c r="B14" i="33"/>
  <c r="D42" i="33"/>
  <c r="D41" i="33"/>
  <c r="G41" i="33" s="1"/>
  <c r="H41" i="33" s="1"/>
  <c r="D39" i="33"/>
  <c r="D40" i="33"/>
  <c r="D13" i="33"/>
  <c r="E13" i="33" s="1"/>
  <c r="D14" i="33"/>
  <c r="E14" i="33" s="1"/>
  <c r="G42" i="33"/>
  <c r="H42" i="33" s="1"/>
  <c r="I41" i="33" l="1"/>
  <c r="J41" i="33" s="1"/>
  <c r="L41" i="33" s="1"/>
  <c r="N41" i="33" s="1"/>
  <c r="I42" i="33"/>
  <c r="J42" i="33" s="1"/>
  <c r="L42" i="33" s="1"/>
  <c r="N42" i="33" s="1"/>
  <c r="G40" i="33"/>
  <c r="H40" i="33" s="1"/>
  <c r="G39" i="33"/>
  <c r="H39" i="33" s="1"/>
  <c r="I40" i="33" l="1"/>
  <c r="J40" i="33" s="1"/>
  <c r="L40" i="33" s="1"/>
  <c r="N40" i="33" s="1"/>
  <c r="I39" i="33"/>
  <c r="J39" i="33" s="1"/>
  <c r="L39" i="33" s="1"/>
  <c r="N39" i="33" l="1"/>
  <c r="N43" i="33" s="1"/>
  <c r="D6" i="28" s="1"/>
  <c r="L43" i="33"/>
  <c r="D11" i="28"/>
  <c r="D9" i="17"/>
  <c r="D41" i="17" s="1"/>
  <c r="D42" i="17" l="1"/>
  <c r="D47" i="17"/>
  <c r="B14" i="17"/>
  <c r="B13" i="17"/>
  <c r="D13" i="17" l="1"/>
  <c r="D39" i="17"/>
  <c r="K48" i="17" l="1"/>
  <c r="K43" i="17"/>
  <c r="A11" i="3"/>
  <c r="A9" i="3"/>
  <c r="A7" i="3"/>
  <c r="C8" i="2"/>
  <c r="C7" i="2"/>
  <c r="C6" i="2"/>
  <c r="AB2" i="10"/>
  <c r="Y2" i="10"/>
  <c r="C2" i="10"/>
  <c r="D14" i="17" l="1"/>
  <c r="D40" i="17"/>
  <c r="F10" i="28" l="1"/>
  <c r="F11" i="28" s="1"/>
  <c r="C11" i="28"/>
  <c r="E7" i="28"/>
  <c r="D7" i="28"/>
  <c r="C6" i="28" l="1"/>
  <c r="C7" i="28" l="1"/>
  <c r="F7" i="28" s="1"/>
  <c r="F12" i="28" s="1"/>
  <c r="F6" i="28"/>
</calcChain>
</file>

<file path=xl/sharedStrings.xml><?xml version="1.0" encoding="utf-8"?>
<sst xmlns="http://schemas.openxmlformats.org/spreadsheetml/2006/main" count="305" uniqueCount="181">
  <si>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</si>
  <si>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</si>
  <si>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</si>
  <si>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</si>
  <si>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</si>
  <si>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</si>
  <si>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</si>
  <si>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</si>
  <si>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</si>
  <si>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</si>
  <si>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</si>
  <si>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</si>
  <si>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</si>
  <si>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</si>
  <si>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</si>
  <si>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</si>
  <si>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</si>
  <si>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</si>
  <si>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</si>
  <si>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</si>
  <si>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</si>
  <si>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</si>
  <si>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</si>
  <si>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</si>
  <si>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</si>
  <si>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</si>
  <si>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</si>
  <si>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</si>
  <si>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</si>
  <si>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</si>
  <si>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</si>
  <si>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No. Estudio</t>
  </si>
  <si>
    <t>DIA Y MES</t>
  </si>
  <si>
    <t>valor estudios previos</t>
  </si>
  <si>
    <t>Dependencia solicitante</t>
  </si>
  <si>
    <t>Destino</t>
  </si>
  <si>
    <t>Plazo de Ejecución</t>
  </si>
  <si>
    <t>No. COTIZACIONES</t>
  </si>
  <si>
    <t>No. COTIZACIONES LETRAS</t>
  </si>
  <si>
    <t>EMPRESA 1</t>
  </si>
  <si>
    <t>EMPRESA 2</t>
  </si>
  <si>
    <t>EMPRESA 3</t>
  </si>
  <si>
    <t>EMPRESA 4</t>
  </si>
  <si>
    <t>NUMERO DE EMPRESAS SECOP</t>
  </si>
  <si>
    <t>PROCESO HISTORICO ANALIZADO</t>
  </si>
  <si>
    <t>IPC INICIAL</t>
  </si>
  <si>
    <t>IPC FINAL</t>
  </si>
  <si>
    <t>OFERTAS DEL HISTORICO</t>
  </si>
  <si>
    <t>CONTRATISTA HISTORICO</t>
  </si>
  <si>
    <t>VALOR DEL CONTRATO</t>
  </si>
  <si>
    <t>TERMINO DE EJECUCION</t>
  </si>
  <si>
    <t>LINK</t>
  </si>
  <si>
    <t>MODALIAD DE CONTRATACION</t>
  </si>
  <si>
    <t>FECHA DE SUSCRIPCION DEL CONTRATO</t>
  </si>
  <si>
    <t>FECHA DE INICIO DEL CONTRATO</t>
  </si>
  <si>
    <t xml:space="preserve">V/R ESTUDIO </t>
  </si>
  <si>
    <t>BIEN O SERVICIO</t>
  </si>
  <si>
    <t>FORMULA UTILIZADA</t>
  </si>
  <si>
    <t>CODIGOS CUPS UTILIZADOS</t>
  </si>
  <si>
    <t>DESCRIPCION SEGMENTO</t>
  </si>
  <si>
    <t># EMPRESAS POTENCIALES</t>
  </si>
  <si>
    <t># DE EMPRESAS INTERESADAS</t>
  </si>
  <si>
    <t>Jefe Departamento de Seguridad y el Director Protección y Asistencia de la Fiscalía General de la Nación</t>
  </si>
  <si>
    <t>El contrato se ejecutará en los lugares relacionados en las “FICHA TÉCNICA DE BIENES Y SERVICIOS DE CARACTERÍSTICAS TÉCNICAS UNIFORMES Y DE COMÚN UTILIZACIÓN”, de cada una de las Regionales, anexas al presente proceso contractual.</t>
  </si>
  <si>
    <t>desde el 01 de diciembre de 2020 hasta el 31 de julio de 2022</t>
  </si>
  <si>
    <t>COLVISEG</t>
  </si>
  <si>
    <t xml:space="preserve">SEGURIDAD HORUS LTDA </t>
  </si>
  <si>
    <t>COSEQUIN LTDA</t>
  </si>
  <si>
    <t>PRESTAR LOS SERVICIOS DE VIGILANCIA Y SEGURIDAD PRIVADA FIJA Y MOVIL, CON MEDIOS TECNOLÓGICOS Y PERSONAL UNIFORMADO CON Y SIN ARMAS, PARA LA ADECUADA PROTECCIÓN, CUSTODIA, AMPARO Y SALVAGUARDA DE LAS PERSONAS QUE LABORAN E INGRESAN A LAS INSTALACIONES, Y LOS BIENES MUEBLES E INMUEBLES DEL NIVEL CENTRAL</t>
  </si>
  <si>
    <t>PROCESO FGN-IPSE-040-2018 NC</t>
  </si>
  <si>
    <t xml:space="preserve">PRESTAR LOS SERVICIOS DE VIGILANCIA Y SEGURIDAD PRIVADA FIJA Y MOVIL, CON MEDIOS TECNOLÓGICOS Y PERSONAL UNIFORMADO CON Y SIN ARMAS, PARA LA ADECUADA PROTECCIÓN, CUSTODIA, AMPARO Y SALVAGUARDA DE LAS PERSONAS QUE LABORAN E INGRESAN A LAS INSTALACIONES, Y LOS BIENES MUEBLES E INMUEBLES DE LAS DIFERENTES REGIONALES QUE CONFORMAN LA FISCALIA GENERAL DE LA NACIÓN- GRUPO 9: NIVEL CENTRAL
</t>
  </si>
  <si>
    <t>SU OPORTUNO SERVICIO LTDA.</t>
  </si>
  <si>
    <t>29,379,751,963</t>
  </si>
  <si>
    <t>60 DIAS</t>
  </si>
  <si>
    <t>https://www.contratos.gov.co/consultas/detalleProceso.do?numConstancia=18-9-449535</t>
  </si>
  <si>
    <t>SUBASTA INVERSA</t>
  </si>
  <si>
    <t>01  DE DICIEMBRE DE  2018</t>
  </si>
  <si>
    <t>BIENES</t>
  </si>
  <si>
    <t>PARA CALCULAR EL VALOR  QUE CORRESPONDE AL FACTOR HUMANO  SE EMPLEARON LOS VALORES ESTABLECIDOS POR LA SUPERINTENDENCIA DE VIGILANCIA Y SEGURIDAD  PARA EL AÑO 2020 SEGÚN CIRCULAR EXTERNA Nº 20201300000015  Y PARA EL FACTOR TECNOLOGICO SE EMPLEARON LOS VALORES DE REFERENCIA.</t>
  </si>
  <si>
    <t>IVA INCLUIDO Y TODOS LOS COSTOS DIRECTOS E INDIRECTOS</t>
  </si>
  <si>
    <t>01 de diciembre de 2020</t>
  </si>
  <si>
    <t>LISTADO DE POSIBLES PROVEEDORES</t>
  </si>
  <si>
    <t xml:space="preserve">No. </t>
  </si>
  <si>
    <t>Nombre Empresa</t>
  </si>
  <si>
    <t>Telefono Fijo y/o celular</t>
  </si>
  <si>
    <t>Correo electronico</t>
  </si>
  <si>
    <t>auxiliarcomercial.cosequin@gmail.com</t>
  </si>
  <si>
    <t xml:space="preserve">comercial2@horusseguridad.com </t>
  </si>
  <si>
    <t xml:space="preserve">dircomercial@colviseg.com </t>
  </si>
  <si>
    <t>ANEXO 2</t>
  </si>
  <si>
    <t xml:space="preserve">EXPERIENCIA EN CONTRATACIÓN EN LOS ÚLTIMOS AÑOS </t>
  </si>
  <si>
    <t>Con el fin de conocer la experiencia con la que cuentan las empresas del sector relacionadas con el objeto del presente estudio de mercado, agradecemos diligenciar el cuadro relacionado a continuación con base en los contratos suscritos en los ultimos 5 años</t>
  </si>
  <si>
    <t>EMPRESA</t>
  </si>
  <si>
    <t>FECHA DE SUSCRIPCIÓN</t>
  </si>
  <si>
    <t>% DE PARTICIPACIÓN</t>
  </si>
  <si>
    <t>VALOR TOTAL EJECUTADO DEL CONTRATO DE ACUERDO AL % DE PARTICIPACIÓN</t>
  </si>
  <si>
    <t>NO SE EVIDENCIAN PROCESOS DE CONTRATACION PUBLICA ADELANTADOS POR ESTE OFERENTE</t>
  </si>
  <si>
    <t>TARIFA MINIMA SECTOR PUBLICO</t>
  </si>
  <si>
    <t>VALOR TARIFA MINIMA SECTOR PUBLICO</t>
  </si>
  <si>
    <t>MODALIDAD DE MEDIO, TARIFA, PORCENTAJE  ADMINISTRACION  Y SUPERVISION.</t>
  </si>
  <si>
    <t>MODALIDAD MEDIO</t>
  </si>
  <si>
    <t>TARIFA</t>
  </si>
  <si>
    <t xml:space="preserve">PORCENTAJE A Y S </t>
  </si>
  <si>
    <t>VALOR A Y S</t>
  </si>
  <si>
    <t>TARIFA + A Y S</t>
  </si>
  <si>
    <t>24 HORAS 30 DIAS AL MES MEDIO HUMANO SIN ARMA</t>
  </si>
  <si>
    <t>24 HORAS 30 DIAS AL MES MEDIO HUMANO CON  ARMA</t>
  </si>
  <si>
    <t xml:space="preserve">LUNES A VIERNES SIN FESTIVOS </t>
  </si>
  <si>
    <t>LUNES A VIERNES CON FESTIVOS</t>
  </si>
  <si>
    <t>LUNES A SABADO SIN FESTIVOS</t>
  </si>
  <si>
    <t>LUNES A SABADO CON FESTIVOS</t>
  </si>
  <si>
    <t>FESTIVOS</t>
  </si>
  <si>
    <t>SABADOS Y DOMINGOS</t>
  </si>
  <si>
    <t>SABADOS, DOMINGOS Y FESTIVOS</t>
  </si>
  <si>
    <t>VARIABLE DE PROPORCIONALIDAD SOBRE EL VALOR DEL SERVICIO ESTABLECIDO PARA UN SERVICIO DE VEINTICUATRO (24) HORAS Y TREINTA (30) DÍAS AL MES Y EN LOS TÉRMINOS DE LA JORNADA LABORAL VIGENTE.</t>
  </si>
  <si>
    <t xml:space="preserve">JORNADA LABORAL  </t>
  </si>
  <si>
    <t>VARIABLE DE PROPORCIONALIDAD</t>
  </si>
  <si>
    <t>JORNADA LABORAL</t>
  </si>
  <si>
    <t>NECESIDAD FGN ( VALORES UNITARIOS  MES)</t>
  </si>
  <si>
    <t>VALIDACION TOTAL DE CIFRAS</t>
  </si>
  <si>
    <t>MODALIDAD /MEDIO</t>
  </si>
  <si>
    <t xml:space="preserve">DIAS  AL MES SEGÚN CIRCULAR DE SUPERVIGILANCIA </t>
  </si>
  <si>
    <t>VALOR MES</t>
  </si>
  <si>
    <t>%  ADMINISTRACION Y SUPERVISION</t>
  </si>
  <si>
    <t>VALOR MES  ADMINISTRACION Y SUPERVISION</t>
  </si>
  <si>
    <t>VALOR MES INCLUIDO  ADMINISTRACION Y SUPERVISION</t>
  </si>
  <si>
    <t>IVA</t>
  </si>
  <si>
    <t>VALOR MES INCLUIDO AYS E IVA</t>
  </si>
  <si>
    <t xml:space="preserve">CONSOLIDADO PUESTOS </t>
  </si>
  <si>
    <t>24 HRS CON ARMA</t>
  </si>
  <si>
    <t>DOMINGO A DOMINGO</t>
  </si>
  <si>
    <t>24 HRS SIN  ARMA</t>
  </si>
  <si>
    <t>12 HRS DIURNO SIN  ARMA</t>
  </si>
  <si>
    <t>LUNES A VIERNES SIN FESTIVOS</t>
  </si>
  <si>
    <t>DESCRIPCIÓN DEL SERVICIO</t>
  </si>
  <si>
    <t xml:space="preserve"> </t>
  </si>
  <si>
    <t>FACTOR HUMANO – F.G.N.</t>
  </si>
  <si>
    <t>TOTAL FGN</t>
  </si>
  <si>
    <t>FACTOR HUMANO – F.E.A.B.</t>
  </si>
  <si>
    <t>TOTAL FEAB</t>
  </si>
  <si>
    <t>SALARIO MINIMO 2026</t>
  </si>
  <si>
    <t>VARIABLES ESTABLECIDAS POR LA  SUPERINTENDENCIA DE VIGILANCIA Y SEGURIDAD PARA EL AÑO 2026 SEGÚN CIRCULAR EXTERNA Nº 202513000001105CS DEL 30 DE DICIEMBRE DE 2025</t>
  </si>
  <si>
    <t>DIAS A TENER EN CUENTA PARA EL COBRO DE LAS TARIFAS MINIMAS EN LA PRESTACION DE LOS SERVICIOS DE VIGILANCIA Y SEGURIDAD PRIVADA PARA 2026</t>
  </si>
  <si>
    <t>VALOR 2026
 1 MES</t>
  </si>
  <si>
    <t>VALOR 2026
  1 MES</t>
  </si>
  <si>
    <t>VALOR TOTAL 2026
 (1 MES)</t>
  </si>
  <si>
    <t>VALOR TOTAL 2027
 (12 MESES)</t>
  </si>
  <si>
    <t>VALOR TOTAL 2028 
(11 MESES)</t>
  </si>
  <si>
    <t>VALOR TOTAL PRESUPUESTO
2026 - 2028</t>
  </si>
  <si>
    <t>6:00:00 a. m. a 7:00 p.m. (Turno de 13 horas Diurnas)</t>
  </si>
  <si>
    <t>7:00 a 6:00 a.m. (Turno de 11 horas Nocturnas)</t>
  </si>
  <si>
    <t>VALOR PRIMA SEGURO DE VIDA</t>
  </si>
  <si>
    <t>VALOR TARIFA MÍNIMA MAS PRIMA SEGURO DE VIDA</t>
  </si>
  <si>
    <t>PRESTAR LOS SERVICIOS DE VIGILANCIA Y SEGURIDAD PRIVADA, FIJA Y MÓVIL, MEDIANTE EL USO DE MEDIOS TECNOLÓGICOS Y PERSONAL UNIFORMADO, CON Y SIN ARMAS, CON EL FIN DE GARANTIZAR LA PROTECCIÓN, CUSTODIA, AMPARO Y SALVAGUARDA DE LAS PERSONAS QUE LABORAN E INGRESAN A LAS INSTALACIONES, AL IGUAL QUE  DE LOS BIENES MUEBLES E INMUEBLES DE LA FISCALÍA GENERAL DE LA NACIÓN Y DEL FONDO ESPECIAL PARA LA ADMINISTRACIÓN DE BIENES (FEAB), EN LA REGIONAL PACIFICO, CONFORMADA POR:  I) CAUCA, II) NARIÑO Y III) CALI – VALLE DEL CAUCA.</t>
  </si>
  <si>
    <t>SUBDIRECCIÓN REGIONAL DE APOYO DEL PACÍFICO</t>
  </si>
  <si>
    <t>Tomar el valor resultante de la aplicación de la variable de proporcionalidad anteriormente establecida, dividirlo por treinta (30) días y multiplicarlo por el número de días en que se prestará el servicio, luego dividirlo por la jornada laboral y el resultado multiplicarlo por las horas requeridas del servicio.
Lo anterior, corresponde a la aplicación de la siguiente fórmula matemática:  (SMLMV x TARIFA DE SERVICIOS) x VARIABLE PROPORCIONALIDAD) /30) x DÍAS
QUE SE REQUIERE EL SERVICIO) /JORNADA LABORAL) x HORAS REQUERIDAS DEL SERVICIO.</t>
  </si>
  <si>
    <t>12 HRS DIURNO CON  ARMA</t>
  </si>
  <si>
    <r>
      <t xml:space="preserve">NECESIDAD FGN ( VALORES UNITARIOS  MES): </t>
    </r>
    <r>
      <rPr>
        <sz val="14"/>
        <color theme="1"/>
        <rFont val="Arial Narrow"/>
        <family val="2"/>
      </rPr>
      <t>servicios (puestos) de viglancia que se requieren desde el 1 al 31 de diciembre de 2026</t>
    </r>
  </si>
  <si>
    <r>
      <t xml:space="preserve">NECESIDAD FEAB ( VALORES UNITARIOS  MES): </t>
    </r>
    <r>
      <rPr>
        <sz val="14"/>
        <color theme="1"/>
        <rFont val="Arial Narrow"/>
        <family val="2"/>
      </rPr>
      <t>servicios de Viglancia que se requieren desde el 1 al 31 de diciembre de 2026</t>
    </r>
  </si>
  <si>
    <r>
      <t xml:space="preserve">SALARIO MINIMO 2027
</t>
    </r>
    <r>
      <rPr>
        <sz val="10"/>
        <color theme="1"/>
        <rFont val="Arial Narrow"/>
        <family val="2"/>
      </rPr>
      <t>Para la estimación del SMMLV 2027, se proyectó un aumento del IPC en  4,4%. Esto con fundamento a la Circular Interna de la FGN No. 30000-00023 DE 2026.
Entonces para el 2027 se tiene una estimación del SMMLV de $1.827.945 COP</t>
    </r>
  </si>
  <si>
    <t xml:space="preserve">PUESTOS 1 MES </t>
  </si>
  <si>
    <t>VALOR 2027
 1 MES</t>
  </si>
  <si>
    <t>VALOR 2028
 1 MES</t>
  </si>
  <si>
    <r>
      <t xml:space="preserve">NECESIDAD FGN ( VALORES UNITARIOS  MES): </t>
    </r>
    <r>
      <rPr>
        <sz val="14"/>
        <color theme="1"/>
        <rFont val="Arial Narrow"/>
        <family val="2"/>
      </rPr>
      <t>servicios (puestos) de viglancia que se requieren durante 11 meses del 2028 (1-ene al 30-nov)</t>
    </r>
  </si>
  <si>
    <t>FACTOR HUMANO - VIGENCIA 2026 (1 MES)</t>
  </si>
  <si>
    <t>FACTOR HUMANO - VIGENCIA 2028 (11 MES)</t>
  </si>
  <si>
    <t>FACTOR HUMANO - VIGENCIA 2027 (12 MESES)</t>
  </si>
  <si>
    <t>Subtotal Cifras para 1 mes de 2027</t>
  </si>
  <si>
    <t>TOTAL CIFRAS PARA 12 MESES DE 2027</t>
  </si>
  <si>
    <t>VALOR 2027
 (12 Meses)</t>
  </si>
  <si>
    <t xml:space="preserve">CONSOLIDADO PUESTOS 2027
(12 Meses) </t>
  </si>
  <si>
    <r>
      <t xml:space="preserve">SALARIO MINIMO 2028
</t>
    </r>
    <r>
      <rPr>
        <sz val="10"/>
        <color theme="1"/>
        <rFont val="Arial Narrow"/>
        <family val="2"/>
      </rPr>
      <t>Para la estimación del SMMLV 2028, se proyectó un aumento del IPC en  3,0% sobre la proyección del SMMLV 2027.  Esto con fundamento a la Circular Interna de la FGN No. 30000-00023 DE 2026.
Entonces para el 2028 se tiene una estimación del SMMLV de $1.882.783 COP</t>
    </r>
  </si>
  <si>
    <t>Subtotal Cifras para 1 mes de 2028</t>
  </si>
  <si>
    <t>TOTAL CIFRAS PARA 11 MESES DE 2028</t>
  </si>
  <si>
    <t>CONSOLIDADO FACTOR HUMANO (2026-2027-2028)</t>
  </si>
  <si>
    <t>VALOR TOTAL PRESUPUESTO FACTOR HUMANO VIGENCIAS 2026 - 2027 - 2028</t>
  </si>
  <si>
    <t xml:space="preserve">SUBDIRECCIÓN REGIONAL DE APOYO DEL PACÍFICO </t>
  </si>
  <si>
    <t>VALOR 2028
 (11 Meses)</t>
  </si>
  <si>
    <t xml:space="preserve">CONSOLIDADO PUESTOS 2028
(11 Meses) </t>
  </si>
  <si>
    <r>
      <t xml:space="preserve">FGN
</t>
    </r>
    <r>
      <rPr>
        <sz val="12"/>
        <rFont val="Arial Narrow"/>
        <family val="2"/>
      </rPr>
      <t>(1-dic-2026 al 
30-nov-2028)</t>
    </r>
  </si>
  <si>
    <r>
      <t xml:space="preserve">FEAB
</t>
    </r>
    <r>
      <rPr>
        <sz val="12"/>
        <rFont val="Arial Narrow"/>
        <family val="2"/>
      </rPr>
      <t>(1 al 31 de diciembre de 2028)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</si>
</sst>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&quot;$&quot;\ #,##0.00"/>
    <numFmt numFmtId="167" formatCode="&quot;$&quot;#,##0"/>
    <numFmt numFmtId="168" formatCode="&quot;$&quot;\ #,##0"/>
    <numFmt numFmtId="169" formatCode="#,##0.0"/>
    <numFmt numFmtId="170" formatCode="_-&quot;$&quot;* #,##0_-;\-&quot;$&quot;* #,##0_-;_-&quot;$&quot;* &quot;-&quot;??_-;_-@_-"/>
    <numFmt numFmtId="171" formatCode="dd/mm/yyyy;@"/>
    <numFmt numFmtId="172" formatCode="&quot;$&quot;#,##0.00"/>
  </numFmts>
  <fonts count="4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0"/>
      <name val="Arial Narrow"/>
      <family val="2"/>
    </font>
    <font>
      <b/>
      <sz val="14"/>
      <color theme="1"/>
      <name val="Arial Narrow"/>
      <family val="2"/>
    </font>
    <font>
      <sz val="13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3"/>
      <color theme="1"/>
      <name val="Arial Narrow"/>
      <family val="2"/>
    </font>
    <font>
      <sz val="8"/>
      <color theme="1"/>
      <name val="Arial"/>
      <family val="2"/>
    </font>
    <font>
      <b/>
      <sz val="14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3D3D3D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3D3D3D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8"/>
      <name val="Calibri"/>
      <family val="2"/>
      <scheme val="minor"/>
    </font>
    <font>
      <sz val="14"/>
      <color theme="1"/>
      <name val="Arial Narrow"/>
      <family val="2"/>
    </font>
    <font>
      <sz val="11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890133365886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8">
    <xf numFmtId="0" fontId="0" fillId="0" borderId="0"/>
    <xf numFmtId="165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27" fillId="0" borderId="0" applyNumberFormat="0" applyFill="0" applyBorder="0" applyAlignment="0" applyProtection="0"/>
    <xf numFmtId="165" fontId="39" fillId="0" borderId="0" applyFont="0" applyFill="0" applyBorder="0" applyAlignment="0" applyProtection="0"/>
    <xf numFmtId="0" fontId="38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7">
    <xf numFmtId="0" fontId="0" fillId="0" borderId="0" xfId="0"/>
    <xf numFmtId="0" fontId="3" fillId="3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6" fontId="0" fillId="0" borderId="0" xfId="0" applyNumberFormat="1"/>
    <xf numFmtId="0" fontId="4" fillId="0" borderId="0" xfId="0" applyFont="1"/>
    <xf numFmtId="1" fontId="4" fillId="3" borderId="0" xfId="0" applyNumberFormat="1" applyFont="1" applyFill="1" applyAlignment="1">
      <alignment vertical="center" wrapText="1"/>
    </xf>
    <xf numFmtId="167" fontId="4" fillId="3" borderId="0" xfId="0" applyNumberFormat="1" applyFont="1" applyFill="1"/>
    <xf numFmtId="168" fontId="4" fillId="0" borderId="0" xfId="0" applyNumberFormat="1" applyFont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1" fontId="4" fillId="3" borderId="0" xfId="0" applyNumberFormat="1" applyFont="1" applyFill="1" applyAlignment="1">
      <alignment horizontal="left" vertical="center"/>
    </xf>
    <xf numFmtId="167" fontId="9" fillId="3" borderId="0" xfId="0" applyNumberFormat="1" applyFont="1" applyFill="1"/>
    <xf numFmtId="168" fontId="4" fillId="3" borderId="0" xfId="0" applyNumberFormat="1" applyFont="1" applyFill="1"/>
    <xf numFmtId="0" fontId="8" fillId="0" borderId="0" xfId="0" applyFont="1" applyAlignment="1">
      <alignment vertical="center"/>
    </xf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8" fillId="0" borderId="0" xfId="0" applyFont="1"/>
    <xf numFmtId="0" fontId="10" fillId="0" borderId="0" xfId="0" applyFont="1" applyAlignment="1">
      <alignment horizontal="center" wrapText="1"/>
    </xf>
    <xf numFmtId="167" fontId="8" fillId="0" borderId="0" xfId="0" applyNumberFormat="1" applyFont="1" applyAlignment="1">
      <alignment horizontal="center" vertical="center"/>
    </xf>
    <xf numFmtId="169" fontId="8" fillId="0" borderId="0" xfId="0" applyNumberFormat="1" applyFont="1" applyAlignment="1">
      <alignment horizontal="center"/>
    </xf>
    <xf numFmtId="167" fontId="8" fillId="0" borderId="0" xfId="0" applyNumberFormat="1" applyFont="1" applyAlignment="1">
      <alignment horizontal="center"/>
    </xf>
    <xf numFmtId="0" fontId="13" fillId="0" borderId="33" xfId="0" applyFont="1" applyBorder="1" applyAlignment="1">
      <alignment horizontal="left"/>
    </xf>
    <xf numFmtId="0" fontId="13" fillId="0" borderId="0" xfId="0" applyFont="1" applyAlignment="1">
      <alignment horizontal="left"/>
    </xf>
    <xf numFmtId="167" fontId="8" fillId="0" borderId="30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7" fillId="0" borderId="29" xfId="0" applyFont="1" applyBorder="1"/>
    <xf numFmtId="0" fontId="17" fillId="0" borderId="29" xfId="0" applyFont="1" applyBorder="1" applyAlignment="1">
      <alignment horizontal="center" wrapText="1"/>
    </xf>
    <xf numFmtId="0" fontId="8" fillId="0" borderId="39" xfId="0" applyFont="1" applyBorder="1" applyAlignment="1">
      <alignment wrapText="1"/>
    </xf>
    <xf numFmtId="9" fontId="8" fillId="0" borderId="40" xfId="0" applyNumberFormat="1" applyFont="1" applyBorder="1" applyAlignment="1">
      <alignment horizontal="center" vertical="center"/>
    </xf>
    <xf numFmtId="167" fontId="8" fillId="0" borderId="0" xfId="0" applyNumberFormat="1" applyFont="1"/>
    <xf numFmtId="0" fontId="8" fillId="0" borderId="15" xfId="0" applyFont="1" applyBorder="1" applyAlignment="1">
      <alignment wrapText="1"/>
    </xf>
    <xf numFmtId="9" fontId="8" fillId="0" borderId="41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wrapText="1"/>
    </xf>
    <xf numFmtId="9" fontId="8" fillId="0" borderId="0" xfId="0" applyNumberFormat="1" applyFont="1"/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33" xfId="0" applyFont="1" applyBorder="1" applyAlignment="1">
      <alignment horizontal="left" wrapText="1"/>
    </xf>
    <xf numFmtId="0" fontId="10" fillId="7" borderId="20" xfId="0" applyFont="1" applyFill="1" applyBorder="1" applyAlignment="1">
      <alignment horizontal="center"/>
    </xf>
    <xf numFmtId="0" fontId="17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8" fillId="0" borderId="19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17" fillId="0" borderId="29" xfId="0" applyFont="1" applyBorder="1" applyAlignment="1">
      <alignment horizontal="center" vertical="center" wrapText="1"/>
    </xf>
    <xf numFmtId="166" fontId="8" fillId="0" borderId="0" xfId="0" applyNumberFormat="1" applyFont="1"/>
    <xf numFmtId="1" fontId="4" fillId="3" borderId="0" xfId="0" applyNumberFormat="1" applyFont="1" applyFill="1"/>
    <xf numFmtId="44" fontId="8" fillId="0" borderId="0" xfId="0" applyNumberFormat="1" applyFont="1"/>
    <xf numFmtId="164" fontId="8" fillId="0" borderId="0" xfId="0" applyNumberFormat="1" applyFont="1"/>
    <xf numFmtId="0" fontId="19" fillId="0" borderId="0" xfId="0" applyFont="1" applyAlignment="1">
      <alignment horizontal="center"/>
    </xf>
    <xf numFmtId="0" fontId="0" fillId="3" borderId="0" xfId="0" applyFill="1"/>
    <xf numFmtId="0" fontId="22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167" fontId="24" fillId="0" borderId="0" xfId="0" applyNumberFormat="1" applyFont="1"/>
    <xf numFmtId="0" fontId="25" fillId="0" borderId="0" xfId="0" applyFont="1"/>
    <xf numFmtId="170" fontId="0" fillId="0" borderId="0" xfId="1" applyNumberFormat="1" applyFont="1"/>
    <xf numFmtId="0" fontId="25" fillId="0" borderId="29" xfId="0" applyFont="1" applyBorder="1" applyAlignment="1">
      <alignment horizontal="center" vertical="center" wrapText="1"/>
    </xf>
    <xf numFmtId="0" fontId="27" fillId="0" borderId="29" xfId="3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8" fillId="0" borderId="0" xfId="0" applyFont="1" applyAlignment="1">
      <alignment wrapText="1"/>
    </xf>
    <xf numFmtId="1" fontId="0" fillId="0" borderId="0" xfId="0" applyNumberFormat="1"/>
    <xf numFmtId="0" fontId="7" fillId="0" borderId="11" xfId="0" applyFont="1" applyBorder="1" applyAlignment="1">
      <alignment wrapText="1"/>
    </xf>
    <xf numFmtId="0" fontId="29" fillId="0" borderId="11" xfId="0" applyFont="1" applyBorder="1" applyAlignment="1">
      <alignment wrapText="1"/>
    </xf>
    <xf numFmtId="171" fontId="29" fillId="0" borderId="11" xfId="0" applyNumberFormat="1" applyFont="1" applyBorder="1" applyAlignment="1">
      <alignment wrapText="1"/>
    </xf>
    <xf numFmtId="167" fontId="29" fillId="0" borderId="11" xfId="0" applyNumberFormat="1" applyFont="1" applyBorder="1" applyAlignment="1">
      <alignment wrapText="1"/>
    </xf>
    <xf numFmtId="0" fontId="28" fillId="0" borderId="11" xfId="0" applyFont="1" applyBorder="1" applyAlignment="1">
      <alignment wrapText="1"/>
    </xf>
    <xf numFmtId="0" fontId="24" fillId="0" borderId="0" xfId="0" applyFont="1"/>
    <xf numFmtId="0" fontId="30" fillId="0" borderId="0" xfId="0" applyFont="1"/>
    <xf numFmtId="0" fontId="24" fillId="6" borderId="0" xfId="0" applyFont="1" applyFill="1" applyAlignment="1">
      <alignment vertical="center" wrapText="1"/>
    </xf>
    <xf numFmtId="14" fontId="29" fillId="0" borderId="11" xfId="0" applyNumberFormat="1" applyFont="1" applyBorder="1" applyAlignment="1">
      <alignment wrapText="1"/>
    </xf>
    <xf numFmtId="0" fontId="27" fillId="0" borderId="11" xfId="3" applyBorder="1" applyAlignment="1">
      <alignment wrapText="1"/>
    </xf>
    <xf numFmtId="0" fontId="24" fillId="6" borderId="11" xfId="0" applyFont="1" applyFill="1" applyBorder="1" applyAlignment="1">
      <alignment vertical="center" wrapText="1"/>
    </xf>
    <xf numFmtId="1" fontId="7" fillId="0" borderId="0" xfId="0" applyNumberFormat="1" applyFont="1" applyAlignment="1">
      <alignment wrapText="1"/>
    </xf>
    <xf numFmtId="0" fontId="30" fillId="0" borderId="11" xfId="0" applyFont="1" applyBorder="1"/>
    <xf numFmtId="167" fontId="28" fillId="0" borderId="11" xfId="0" applyNumberFormat="1" applyFont="1" applyBorder="1" applyAlignment="1">
      <alignment wrapText="1"/>
    </xf>
    <xf numFmtId="1" fontId="31" fillId="0" borderId="11" xfId="0" applyNumberFormat="1" applyFont="1" applyBorder="1" applyAlignment="1">
      <alignment wrapText="1"/>
    </xf>
    <xf numFmtId="0" fontId="32" fillId="0" borderId="0" xfId="0" applyFont="1"/>
    <xf numFmtId="0" fontId="33" fillId="3" borderId="0" xfId="0" applyFont="1" applyFill="1" applyAlignment="1">
      <alignment horizontal="center"/>
    </xf>
    <xf numFmtId="0" fontId="5" fillId="9" borderId="37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29" fillId="3" borderId="31" xfId="0" applyFont="1" applyFill="1" applyBorder="1"/>
    <xf numFmtId="0" fontId="29" fillId="3" borderId="24" xfId="0" applyFont="1" applyFill="1" applyBorder="1"/>
    <xf numFmtId="0" fontId="29" fillId="3" borderId="0" xfId="0" applyFont="1" applyFill="1"/>
    <xf numFmtId="0" fontId="29" fillId="3" borderId="30" xfId="0" applyFont="1" applyFill="1" applyBorder="1"/>
    <xf numFmtId="0" fontId="14" fillId="3" borderId="0" xfId="0" applyFont="1" applyFill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5" fillId="3" borderId="32" xfId="0" applyFont="1" applyFill="1" applyBorder="1" applyAlignment="1">
      <alignment horizontal="left" vertical="center" wrapText="1"/>
    </xf>
    <xf numFmtId="0" fontId="15" fillId="3" borderId="26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vertical="center" wrapText="1"/>
    </xf>
    <xf numFmtId="0" fontId="36" fillId="3" borderId="0" xfId="0" applyFont="1" applyFill="1"/>
    <xf numFmtId="0" fontId="37" fillId="3" borderId="0" xfId="0" applyFont="1" applyFill="1"/>
    <xf numFmtId="0" fontId="3" fillId="3" borderId="0" xfId="0" applyFont="1" applyFill="1"/>
    <xf numFmtId="172" fontId="8" fillId="0" borderId="40" xfId="0" applyNumberFormat="1" applyFont="1" applyBorder="1" applyAlignment="1">
      <alignment horizontal="center" vertical="center"/>
    </xf>
    <xf numFmtId="172" fontId="8" fillId="0" borderId="41" xfId="0" applyNumberFormat="1" applyFont="1" applyBorder="1" applyAlignment="1">
      <alignment horizontal="center" vertical="center"/>
    </xf>
    <xf numFmtId="172" fontId="8" fillId="0" borderId="42" xfId="0" applyNumberFormat="1" applyFont="1" applyBorder="1" applyAlignment="1">
      <alignment horizontal="center" vertical="center"/>
    </xf>
    <xf numFmtId="172" fontId="8" fillId="0" borderId="2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31" xfId="0" applyFont="1" applyBorder="1" applyAlignment="1">
      <alignment horizontal="center" vertical="center" wrapText="1"/>
    </xf>
    <xf numFmtId="172" fontId="8" fillId="0" borderId="42" xfId="0" applyNumberFormat="1" applyFont="1" applyBorder="1"/>
    <xf numFmtId="172" fontId="8" fillId="0" borderId="29" xfId="0" applyNumberFormat="1" applyFont="1" applyBorder="1"/>
    <xf numFmtId="0" fontId="2" fillId="0" borderId="0" xfId="0" applyFont="1"/>
    <xf numFmtId="166" fontId="0" fillId="0" borderId="0" xfId="0" applyNumberFormat="1" applyAlignment="1">
      <alignment vertical="center"/>
    </xf>
    <xf numFmtId="172" fontId="8" fillId="3" borderId="9" xfId="0" applyNumberFormat="1" applyFont="1" applyFill="1" applyBorder="1"/>
    <xf numFmtId="172" fontId="8" fillId="0" borderId="0" xfId="0" applyNumberFormat="1" applyFont="1"/>
    <xf numFmtId="172" fontId="8" fillId="0" borderId="3" xfId="0" applyNumberFormat="1" applyFont="1" applyBorder="1"/>
    <xf numFmtId="8" fontId="6" fillId="0" borderId="11" xfId="0" applyNumberFormat="1" applyFont="1" applyBorder="1" applyAlignment="1">
      <alignment horizontal="center" vertical="center" wrapText="1"/>
    </xf>
    <xf numFmtId="8" fontId="6" fillId="0" borderId="12" xfId="0" applyNumberFormat="1" applyFont="1" applyBorder="1" applyAlignment="1">
      <alignment horizontal="center" vertical="center" wrapText="1"/>
    </xf>
    <xf numFmtId="8" fontId="5" fillId="0" borderId="11" xfId="0" applyNumberFormat="1" applyFont="1" applyBorder="1" applyAlignment="1">
      <alignment horizontal="center" vertical="center" wrapText="1"/>
    </xf>
    <xf numFmtId="8" fontId="5" fillId="0" borderId="12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9" fontId="8" fillId="0" borderId="21" xfId="2" applyFont="1" applyFill="1" applyBorder="1" applyAlignment="1">
      <alignment horizontal="center"/>
    </xf>
    <xf numFmtId="9" fontId="8" fillId="0" borderId="29" xfId="2" applyFont="1" applyFill="1" applyBorder="1" applyAlignment="1">
      <alignment horizontal="center"/>
    </xf>
    <xf numFmtId="1" fontId="8" fillId="0" borderId="9" xfId="0" applyNumberFormat="1" applyFont="1" applyBorder="1" applyAlignment="1">
      <alignment horizontal="center"/>
    </xf>
    <xf numFmtId="165" fontId="4" fillId="3" borderId="0" xfId="1" applyFont="1" applyFill="1"/>
    <xf numFmtId="8" fontId="0" fillId="0" borderId="0" xfId="0" applyNumberFormat="1"/>
    <xf numFmtId="166" fontId="43" fillId="0" borderId="0" xfId="0" applyNumberFormat="1" applyFont="1"/>
    <xf numFmtId="0" fontId="8" fillId="0" borderId="0" xfId="0" applyFont="1" applyAlignment="1">
      <alignment horizontal="center"/>
    </xf>
    <xf numFmtId="0" fontId="8" fillId="0" borderId="26" xfId="0" applyFont="1" applyBorder="1" applyAlignment="1">
      <alignment horizontal="center" vertical="center"/>
    </xf>
    <xf numFmtId="0" fontId="10" fillId="7" borderId="20" xfId="0" applyFont="1" applyFill="1" applyBorder="1" applyAlignment="1">
      <alignment horizontal="center"/>
    </xf>
    <xf numFmtId="0" fontId="8" fillId="0" borderId="29" xfId="0" applyFont="1" applyBorder="1" applyAlignment="1">
      <alignment vertical="center" wrapText="1"/>
    </xf>
    <xf numFmtId="0" fontId="10" fillId="0" borderId="29" xfId="0" applyFont="1" applyBorder="1" applyAlignment="1">
      <alignment horizontal="center" wrapText="1"/>
    </xf>
    <xf numFmtId="0" fontId="13" fillId="0" borderId="0" xfId="0" applyFont="1" applyBorder="1" applyAlignment="1">
      <alignment horizontal="left" wrapText="1"/>
    </xf>
    <xf numFmtId="0" fontId="8" fillId="0" borderId="0" xfId="0" applyFont="1" applyBorder="1"/>
    <xf numFmtId="0" fontId="8" fillId="0" borderId="29" xfId="0" applyFont="1" applyBorder="1" applyAlignment="1">
      <alignment horizontal="center" vertical="center"/>
    </xf>
    <xf numFmtId="172" fontId="8" fillId="0" borderId="29" xfId="0" applyNumberFormat="1" applyFont="1" applyBorder="1" applyAlignment="1">
      <alignment vertical="center"/>
    </xf>
    <xf numFmtId="172" fontId="8" fillId="0" borderId="29" xfId="0" applyNumberFormat="1" applyFont="1" applyBorder="1" applyAlignment="1">
      <alignment horizontal="right" vertical="center"/>
    </xf>
    <xf numFmtId="9" fontId="8" fillId="0" borderId="21" xfId="2" applyFont="1" applyFill="1" applyBorder="1" applyAlignment="1">
      <alignment horizontal="center" vertical="center"/>
    </xf>
    <xf numFmtId="172" fontId="8" fillId="0" borderId="42" xfId="0" applyNumberFormat="1" applyFont="1" applyBorder="1" applyAlignment="1">
      <alignment vertical="center"/>
    </xf>
    <xf numFmtId="9" fontId="8" fillId="0" borderId="26" xfId="2" applyFont="1" applyFill="1" applyBorder="1" applyAlignment="1">
      <alignment horizontal="center" vertical="center"/>
    </xf>
    <xf numFmtId="172" fontId="8" fillId="0" borderId="19" xfId="0" applyNumberFormat="1" applyFont="1" applyBorder="1" applyAlignment="1">
      <alignment vertical="center"/>
    </xf>
    <xf numFmtId="172" fontId="8" fillId="3" borderId="9" xfId="0" applyNumberFormat="1" applyFont="1" applyFill="1" applyBorder="1" applyAlignment="1">
      <alignment vertical="center"/>
    </xf>
    <xf numFmtId="172" fontId="8" fillId="3" borderId="48" xfId="0" applyNumberFormat="1" applyFont="1" applyFill="1" applyBorder="1" applyAlignment="1">
      <alignment vertical="center"/>
    </xf>
    <xf numFmtId="0" fontId="13" fillId="0" borderId="19" xfId="0" applyFont="1" applyFill="1" applyBorder="1" applyAlignment="1">
      <alignment horizontal="center"/>
    </xf>
    <xf numFmtId="0" fontId="17" fillId="11" borderId="29" xfId="0" applyFont="1" applyFill="1" applyBorder="1" applyAlignment="1">
      <alignment horizontal="center" vertical="center" wrapText="1"/>
    </xf>
    <xf numFmtId="172" fontId="13" fillId="11" borderId="29" xfId="0" applyNumberFormat="1" applyFont="1" applyFill="1" applyBorder="1"/>
    <xf numFmtId="0" fontId="17" fillId="0" borderId="29" xfId="0" applyFont="1" applyFill="1" applyBorder="1" applyAlignment="1">
      <alignment horizontal="center" vertical="center" wrapText="1"/>
    </xf>
    <xf numFmtId="172" fontId="13" fillId="0" borderId="29" xfId="0" applyNumberFormat="1" applyFont="1" applyFill="1" applyBorder="1"/>
    <xf numFmtId="166" fontId="13" fillId="11" borderId="29" xfId="0" applyNumberFormat="1" applyFont="1" applyFill="1" applyBorder="1"/>
    <xf numFmtId="0" fontId="13" fillId="11" borderId="19" xfId="0" applyFont="1" applyFill="1" applyBorder="1" applyAlignment="1">
      <alignment horizontal="center"/>
    </xf>
    <xf numFmtId="172" fontId="8" fillId="3" borderId="9" xfId="0" applyNumberFormat="1" applyFont="1" applyFill="1" applyBorder="1" applyAlignment="1">
      <alignment horizontal="center" vertical="center"/>
    </xf>
    <xf numFmtId="8" fontId="3" fillId="11" borderId="18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165" fontId="8" fillId="0" borderId="0" xfId="1" applyFont="1"/>
    <xf numFmtId="0" fontId="20" fillId="8" borderId="33" xfId="0" applyFont="1" applyFill="1" applyBorder="1" applyAlignment="1">
      <alignment horizontal="center"/>
    </xf>
    <xf numFmtId="0" fontId="20" fillId="8" borderId="0" xfId="0" applyFont="1" applyFill="1" applyAlignment="1">
      <alignment horizontal="center"/>
    </xf>
    <xf numFmtId="0" fontId="34" fillId="3" borderId="0" xfId="0" applyFont="1" applyFill="1" applyAlignment="1">
      <alignment horizontal="center" wrapText="1"/>
    </xf>
    <xf numFmtId="0" fontId="35" fillId="9" borderId="8" xfId="0" applyFont="1" applyFill="1" applyBorder="1" applyAlignment="1">
      <alignment horizontal="center" vertical="center" wrapText="1"/>
    </xf>
    <xf numFmtId="0" fontId="35" fillId="9" borderId="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6" fillId="3" borderId="45" xfId="0" applyFont="1" applyFill="1" applyBorder="1" applyAlignment="1">
      <alignment horizontal="left" vertical="center" wrapText="1"/>
    </xf>
    <xf numFmtId="0" fontId="6" fillId="3" borderId="28" xfId="0" applyFont="1" applyFill="1" applyBorder="1" applyAlignment="1">
      <alignment horizontal="left" vertical="center" wrapText="1"/>
    </xf>
    <xf numFmtId="0" fontId="6" fillId="3" borderId="3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37" fillId="3" borderId="0" xfId="0" applyFont="1" applyFill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 wrapText="1"/>
    </xf>
    <xf numFmtId="0" fontId="6" fillId="3" borderId="36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26" fillId="7" borderId="19" xfId="0" applyFont="1" applyFill="1" applyBorder="1" applyAlignment="1">
      <alignment horizontal="center"/>
    </xf>
    <xf numFmtId="0" fontId="26" fillId="7" borderId="20" xfId="0" applyFont="1" applyFill="1" applyBorder="1" applyAlignment="1">
      <alignment horizontal="center"/>
    </xf>
    <xf numFmtId="0" fontId="26" fillId="7" borderId="21" xfId="0" applyFont="1" applyFill="1" applyBorder="1" applyAlignment="1">
      <alignment horizontal="center"/>
    </xf>
    <xf numFmtId="0" fontId="26" fillId="5" borderId="23" xfId="0" applyFont="1" applyFill="1" applyBorder="1" applyAlignment="1">
      <alignment horizontal="center" vertical="center"/>
    </xf>
    <xf numFmtId="0" fontId="26" fillId="5" borderId="31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0" fillId="8" borderId="19" xfId="0" applyFont="1" applyFill="1" applyBorder="1" applyAlignment="1">
      <alignment horizontal="center" vertical="center" wrapText="1"/>
    </xf>
    <xf numFmtId="0" fontId="20" fillId="8" borderId="20" xfId="0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21" fillId="9" borderId="19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8" fillId="0" borderId="19" xfId="2" applyNumberFormat="1" applyFont="1" applyBorder="1" applyAlignment="1">
      <alignment horizontal="center"/>
    </xf>
    <xf numFmtId="0" fontId="8" fillId="0" borderId="21" xfId="2" applyNumberFormat="1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3" fillId="0" borderId="19" xfId="0" applyFont="1" applyBorder="1" applyAlignment="1">
      <alignment horizontal="left"/>
    </xf>
    <xf numFmtId="0" fontId="13" fillId="0" borderId="20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172" fontId="8" fillId="0" borderId="19" xfId="0" applyNumberFormat="1" applyFont="1" applyBorder="1" applyAlignment="1">
      <alignment horizontal="center"/>
    </xf>
    <xf numFmtId="172" fontId="8" fillId="0" borderId="21" xfId="0" applyNumberFormat="1" applyFont="1" applyBorder="1" applyAlignment="1">
      <alignment horizontal="center"/>
    </xf>
    <xf numFmtId="0" fontId="10" fillId="7" borderId="23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167" fontId="8" fillId="0" borderId="19" xfId="0" applyNumberFormat="1" applyFont="1" applyBorder="1" applyAlignment="1">
      <alignment horizontal="center"/>
    </xf>
    <xf numFmtId="167" fontId="8" fillId="0" borderId="21" xfId="0" applyNumberFormat="1" applyFont="1" applyBorder="1" applyAlignment="1">
      <alignment horizontal="center"/>
    </xf>
    <xf numFmtId="0" fontId="13" fillId="0" borderId="31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8" fillId="0" borderId="0" xfId="0" applyFont="1" applyAlignment="1" applyProtection="1">
      <alignment horizontal="center" vertical="center"/>
      <protection hidden="1"/>
    </xf>
    <xf numFmtId="0" fontId="13" fillId="7" borderId="19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10" fontId="8" fillId="0" borderId="19" xfId="0" applyNumberFormat="1" applyFont="1" applyBorder="1" applyAlignment="1">
      <alignment horizontal="center"/>
    </xf>
    <xf numFmtId="0" fontId="11" fillId="0" borderId="0" xfId="0" applyFont="1" applyAlignment="1" applyProtection="1">
      <alignment horizontal="center" vertical="center" wrapText="1"/>
      <protection hidden="1"/>
    </xf>
    <xf numFmtId="0" fontId="18" fillId="0" borderId="0" xfId="0" applyFont="1" applyAlignment="1" applyProtection="1">
      <alignment horizontal="center" vertical="center" wrapText="1"/>
      <protection hidden="1"/>
    </xf>
    <xf numFmtId="10" fontId="8" fillId="0" borderId="23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10" borderId="19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167" fontId="8" fillId="0" borderId="19" xfId="0" applyNumberFormat="1" applyFont="1" applyBorder="1" applyAlignment="1">
      <alignment horizontal="center" vertical="center"/>
    </xf>
    <xf numFmtId="167" fontId="8" fillId="0" borderId="2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20" fontId="8" fillId="0" borderId="23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11" borderId="15" xfId="0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8" fontId="40" fillId="4" borderId="11" xfId="0" applyNumberFormat="1" applyFont="1" applyFill="1" applyBorder="1" applyAlignment="1">
      <alignment horizontal="center" vertical="center" wrapText="1"/>
    </xf>
    <xf numFmtId="8" fontId="5" fillId="4" borderId="1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8" fontId="5" fillId="4" borderId="12" xfId="0" applyNumberFormat="1" applyFont="1" applyFill="1" applyBorder="1" applyAlignment="1">
      <alignment horizontal="center" vertical="center" wrapText="1"/>
    </xf>
  </cellXfs>
  <cellStyles count="8">
    <cellStyle name="Hipervínculo" xfId="3" builtinId="8"/>
    <cellStyle name="Moneda" xfId="1" builtinId="4"/>
    <cellStyle name="Moneda 2" xfId="4"/>
    <cellStyle name="Moneda 3" xfId="6"/>
    <cellStyle name="Normal" xfId="0" builtinId="0"/>
    <cellStyle name="Normal 2" xfId="5"/>
    <cellStyle name="Porcentaje" xfId="2" builtinId="5"/>
    <cellStyle name="Porcentaje 2" xfId="7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695324</xdr:colOff>
      <xdr:row>1</xdr:row>
      <xdr:rowOff>28575</xdr:rowOff>
    </xdr:from>
    <xdr:to>
      <xdr:col>1</xdr:col>
      <xdr:colOff>1314449</xdr:colOff>
      <xdr:row>1</xdr:row>
      <xdr:rowOff>452600</xdr:rowOff>
    </xdr:to>
    <xdr:pic>
      <xdr:nvPicPr>
        <xdr:cNvPr id="3" name="Imagen 20" descr="LogoHorizontal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2900" y="238125"/>
          <a:ext cx="952500" cy="423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</xdr:colOff>
      <xdr:row>1</xdr:row>
      <xdr:rowOff>34172</xdr:rowOff>
    </xdr:from>
    <xdr:to>
      <xdr:col>2</xdr:col>
      <xdr:colOff>1190626</xdr:colOff>
      <xdr:row>2</xdr:row>
      <xdr:rowOff>1</xdr:rowOff>
    </xdr:to>
    <xdr:pic>
      <xdr:nvPicPr>
        <xdr:cNvPr id="4" name="Imagen 20" descr="LogoHorizontal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2900" y="243205"/>
          <a:ext cx="2143125" cy="423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1</xdr:row>
      <xdr:rowOff>28575</xdr:rowOff>
    </xdr:from>
    <xdr:to>
      <xdr:col>1</xdr:col>
      <xdr:colOff>867828</xdr:colOff>
      <xdr:row>1</xdr:row>
      <xdr:rowOff>695325</xdr:rowOff>
    </xdr:to>
    <xdr:pic>
      <xdr:nvPicPr>
        <xdr:cNvPr id="3" name="Imagen 20" descr="LogoHorizontal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6990" y="352425"/>
          <a:ext cx="258254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170159</xdr:colOff>
      <xdr:row>2</xdr:row>
      <xdr:rowOff>200025</xdr:rowOff>
    </xdr:from>
    <xdr:to>
      <xdr:col>0</xdr:col>
      <xdr:colOff>2781300</xdr:colOff>
      <xdr:row>2</xdr:row>
      <xdr:rowOff>1328650</xdr:rowOff>
    </xdr:to>
    <xdr:pic>
      <xdr:nvPicPr>
        <xdr:cNvPr id="2" name="Imagen 20" descr="LogoHorizonta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0159" y="1038225"/>
          <a:ext cx="2611141" cy="11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170159</xdr:colOff>
      <xdr:row>2</xdr:row>
      <xdr:rowOff>200025</xdr:rowOff>
    </xdr:from>
    <xdr:to>
      <xdr:col>0</xdr:col>
      <xdr:colOff>2781300</xdr:colOff>
      <xdr:row>2</xdr:row>
      <xdr:rowOff>1328650</xdr:rowOff>
    </xdr:to>
    <xdr:pic>
      <xdr:nvPicPr>
        <xdr:cNvPr id="2" name="Imagen 20" descr="LogoHorizonta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0159" y="1038225"/>
          <a:ext cx="2611141" cy="11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170159</xdr:colOff>
      <xdr:row>2</xdr:row>
      <xdr:rowOff>200025</xdr:rowOff>
    </xdr:from>
    <xdr:to>
      <xdr:col>0</xdr:col>
      <xdr:colOff>2781300</xdr:colOff>
      <xdr:row>2</xdr:row>
      <xdr:rowOff>1328650</xdr:rowOff>
    </xdr:to>
    <xdr:pic>
      <xdr:nvPicPr>
        <xdr:cNvPr id="2" name="Imagen 20" descr="LogoHorizonta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0159" y="1038225"/>
          <a:ext cx="2611141" cy="11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274321</xdr:rowOff>
    </xdr:from>
    <xdr:to>
      <xdr:col>0</xdr:col>
      <xdr:colOff>1551378</xdr:colOff>
      <xdr:row>1</xdr:row>
      <xdr:rowOff>944880</xdr:rowOff>
    </xdr:to>
    <xdr:pic>
      <xdr:nvPicPr>
        <xdr:cNvPr id="5" name="Imagen 20" descr="LogoHorizonta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601981"/>
          <a:ext cx="1551378" cy="67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tos.gov.co/consultas/detalleProceso.do?numConstancia=18-9-44953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comercial2@horusseguridad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.edu.co/" TargetMode="External"/><Relationship Id="rId2" Type="http://schemas.openxmlformats.org/officeDocument/2006/relationships/hyperlink" Target="http://www.ut.edu.co/" TargetMode="External"/><Relationship Id="rId1" Type="http://schemas.openxmlformats.org/officeDocument/2006/relationships/hyperlink" Target="http://www.ut.edu.co/" TargetMode="Externa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workbookViewId="0">
      <selection sqref="A1:G1"/>
    </sheetView>
  </sheetViews>
  <sheetFormatPr baseColWidth="10" defaultColWidth="11" defaultRowHeight="14.4"/>
  <cols>
    <col min="1" max="1" width="7.6640625" customWidth="1"/>
    <col min="2" max="2" width="21.109375" customWidth="1"/>
    <col min="3" max="3" width="15.88671875" customWidth="1"/>
  </cols>
  <sheetData>
    <row r="1" spans="1:7" ht="21">
      <c r="A1" s="154" t="s">
        <v>0</v>
      </c>
      <c r="B1" s="155"/>
      <c r="C1" s="155"/>
      <c r="D1" s="155"/>
      <c r="E1" s="155"/>
      <c r="F1" s="155"/>
      <c r="G1" s="155"/>
    </row>
    <row r="2" spans="1:7" ht="18">
      <c r="A2" s="80"/>
      <c r="B2" s="80"/>
    </row>
    <row r="3" spans="1:7" ht="41.25" customHeight="1">
      <c r="A3" s="156" t="s">
        <v>1</v>
      </c>
      <c r="B3" s="156"/>
      <c r="C3" s="156"/>
      <c r="D3" s="156"/>
      <c r="E3" s="156"/>
      <c r="F3" s="156"/>
      <c r="G3" s="156"/>
    </row>
    <row r="4" spans="1:7">
      <c r="A4" s="52"/>
      <c r="B4" s="52"/>
      <c r="C4" s="52"/>
      <c r="D4" s="52"/>
      <c r="E4" s="52"/>
      <c r="F4" s="52"/>
      <c r="G4" s="52"/>
    </row>
    <row r="5" spans="1:7">
      <c r="A5" s="81" t="s">
        <v>2</v>
      </c>
      <c r="B5" s="157" t="s">
        <v>3</v>
      </c>
      <c r="C5" s="157"/>
      <c r="D5" s="157"/>
      <c r="E5" s="157"/>
      <c r="F5" s="157"/>
      <c r="G5" s="158"/>
    </row>
    <row r="6" spans="1:7" ht="48" customHeight="1">
      <c r="A6" s="82">
        <v>1</v>
      </c>
      <c r="B6" s="83" t="s">
        <v>4</v>
      </c>
      <c r="C6" s="159" t="s">
        <v>5</v>
      </c>
      <c r="D6" s="159"/>
      <c r="E6" s="159"/>
      <c r="F6" s="159"/>
      <c r="G6" s="160"/>
    </row>
    <row r="7" spans="1:7">
      <c r="A7" s="82">
        <v>2</v>
      </c>
      <c r="B7" s="83" t="s">
        <v>6</v>
      </c>
      <c r="C7" s="159" t="s">
        <v>7</v>
      </c>
      <c r="D7" s="159"/>
      <c r="E7" s="159"/>
      <c r="F7" s="159"/>
      <c r="G7" s="160"/>
    </row>
    <row r="8" spans="1:7" ht="27.6">
      <c r="A8" s="82">
        <v>3</v>
      </c>
      <c r="B8" s="83" t="s">
        <v>8</v>
      </c>
      <c r="C8" s="161" t="s">
        <v>9</v>
      </c>
      <c r="D8" s="161"/>
      <c r="E8" s="161"/>
      <c r="F8" s="161"/>
      <c r="G8" s="162"/>
    </row>
    <row r="9" spans="1:7">
      <c r="A9" s="174">
        <v>4</v>
      </c>
      <c r="B9" s="175" t="s">
        <v>10</v>
      </c>
      <c r="C9" s="177" t="s">
        <v>11</v>
      </c>
      <c r="D9" s="84"/>
      <c r="E9" s="85"/>
      <c r="F9" s="85"/>
      <c r="G9" s="86"/>
    </row>
    <row r="10" spans="1:7">
      <c r="A10" s="174"/>
      <c r="B10" s="175"/>
      <c r="C10" s="178"/>
      <c r="D10" s="180"/>
      <c r="E10" s="87"/>
      <c r="F10" s="87"/>
      <c r="G10" s="88"/>
    </row>
    <row r="11" spans="1:7">
      <c r="A11" s="174"/>
      <c r="B11" s="175"/>
      <c r="C11" s="178"/>
      <c r="D11" s="180"/>
      <c r="E11" s="87"/>
      <c r="F11" s="87"/>
      <c r="G11" s="88"/>
    </row>
    <row r="12" spans="1:7">
      <c r="A12" s="174"/>
      <c r="B12" s="175"/>
      <c r="C12" s="178"/>
      <c r="D12" s="89"/>
      <c r="E12" s="89"/>
      <c r="F12" s="89"/>
      <c r="G12" s="90"/>
    </row>
    <row r="13" spans="1:7">
      <c r="A13" s="174"/>
      <c r="B13" s="175"/>
      <c r="C13" s="179"/>
      <c r="D13" s="91"/>
      <c r="E13" s="91"/>
      <c r="F13" s="91"/>
      <c r="G13" s="92"/>
    </row>
    <row r="14" spans="1:7" ht="27.6">
      <c r="A14" s="174">
        <v>5</v>
      </c>
      <c r="B14" s="176" t="s">
        <v>12</v>
      </c>
      <c r="C14" s="93" t="s">
        <v>13</v>
      </c>
      <c r="D14" s="163"/>
      <c r="E14" s="163"/>
      <c r="F14" s="163"/>
      <c r="G14" s="164"/>
    </row>
    <row r="15" spans="1:7" ht="50.25" customHeight="1">
      <c r="A15" s="174"/>
      <c r="B15" s="176"/>
      <c r="C15" s="83" t="s">
        <v>14</v>
      </c>
      <c r="D15" s="159" t="s">
        <v>15</v>
      </c>
      <c r="E15" s="159"/>
      <c r="F15" s="159"/>
      <c r="G15" s="160"/>
    </row>
    <row r="16" spans="1:7">
      <c r="A16" s="174"/>
      <c r="B16" s="176"/>
      <c r="C16" s="167" t="s">
        <v>16</v>
      </c>
      <c r="D16" s="165" t="s">
        <v>17</v>
      </c>
      <c r="E16" s="165"/>
      <c r="F16" s="165"/>
      <c r="G16" s="166"/>
    </row>
    <row r="17" spans="1:7">
      <c r="A17" s="174"/>
      <c r="B17" s="176"/>
      <c r="C17" s="167"/>
      <c r="D17" s="167"/>
      <c r="E17" s="167"/>
      <c r="F17" s="167"/>
      <c r="G17" s="168"/>
    </row>
    <row r="18" spans="1:7">
      <c r="A18" s="174"/>
      <c r="B18" s="176"/>
      <c r="C18" s="167"/>
      <c r="D18" s="170"/>
      <c r="E18" s="170"/>
      <c r="F18" s="170"/>
      <c r="G18" s="171"/>
    </row>
    <row r="19" spans="1:7" ht="41.4">
      <c r="A19" s="82">
        <v>6</v>
      </c>
      <c r="B19" s="83" t="s">
        <v>18</v>
      </c>
      <c r="C19" s="94" t="s">
        <v>19</v>
      </c>
      <c r="D19" s="94"/>
      <c r="E19" s="94" t="s">
        <v>20</v>
      </c>
      <c r="F19" s="94" t="s">
        <v>21</v>
      </c>
      <c r="G19" s="95" t="s">
        <v>22</v>
      </c>
    </row>
    <row r="20" spans="1:7" ht="41.4">
      <c r="A20" s="96">
        <v>7</v>
      </c>
      <c r="B20" s="97" t="s">
        <v>23</v>
      </c>
      <c r="C20" s="172" t="s">
        <v>24</v>
      </c>
      <c r="D20" s="172"/>
      <c r="E20" s="172"/>
      <c r="F20" s="172"/>
      <c r="G20" s="173"/>
    </row>
    <row r="21" spans="1:7" ht="16.8">
      <c r="A21" s="98" t="s">
        <v>25</v>
      </c>
      <c r="B21" s="87"/>
      <c r="C21" s="87"/>
      <c r="D21" s="87"/>
      <c r="E21" s="87"/>
      <c r="F21" s="87"/>
      <c r="G21" s="87"/>
    </row>
    <row r="22" spans="1:7">
      <c r="A22" s="169" t="s">
        <v>26</v>
      </c>
      <c r="B22" s="169"/>
      <c r="C22" s="169"/>
      <c r="D22" s="169"/>
      <c r="E22" s="169"/>
      <c r="F22" s="169"/>
      <c r="G22" s="169"/>
    </row>
    <row r="23" spans="1:7" ht="46.5" customHeight="1">
      <c r="A23" s="169"/>
      <c r="B23" s="169"/>
      <c r="C23" s="169"/>
      <c r="D23" s="169"/>
      <c r="E23" s="169"/>
      <c r="F23" s="169"/>
      <c r="G23" s="169"/>
    </row>
    <row r="24" spans="1:7" ht="16.8">
      <c r="A24" s="99" t="s">
        <v>27</v>
      </c>
      <c r="B24" s="87"/>
      <c r="C24" s="87"/>
      <c r="D24" s="87"/>
      <c r="E24" s="87"/>
      <c r="F24" s="87"/>
      <c r="G24" s="87"/>
    </row>
    <row r="25" spans="1:7">
      <c r="A25" s="87"/>
      <c r="B25" s="87"/>
      <c r="C25" s="87"/>
      <c r="D25" s="87"/>
      <c r="E25" s="87"/>
      <c r="F25" s="87"/>
      <c r="G25" s="87"/>
    </row>
    <row r="26" spans="1:7" ht="16.8">
      <c r="A26" s="98" t="s">
        <v>28</v>
      </c>
      <c r="B26" s="87"/>
      <c r="C26" s="87"/>
      <c r="D26" s="87"/>
      <c r="E26" s="87"/>
      <c r="F26" s="87"/>
      <c r="G26" s="87"/>
    </row>
    <row r="27" spans="1:7" ht="15.6">
      <c r="A27" s="100" t="s">
        <v>29</v>
      </c>
      <c r="B27" s="87"/>
      <c r="C27" s="87"/>
      <c r="D27" s="87"/>
      <c r="E27" s="87"/>
      <c r="F27" s="87"/>
      <c r="G27" s="87"/>
    </row>
    <row r="28" spans="1:7" ht="15.6">
      <c r="A28" s="100" t="s">
        <v>30</v>
      </c>
      <c r="B28" s="87"/>
      <c r="C28" s="87"/>
      <c r="D28" s="87"/>
      <c r="E28" s="87"/>
      <c r="F28" s="87"/>
      <c r="G28" s="87"/>
    </row>
  </sheetData>
  <mergeCells count="20"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  <mergeCell ref="C8:G8"/>
    <mergeCell ref="D14:G14"/>
    <mergeCell ref="D15:G15"/>
    <mergeCell ref="D16:G16"/>
    <mergeCell ref="D17:G17"/>
    <mergeCell ref="A1:G1"/>
    <mergeCell ref="A3:G3"/>
    <mergeCell ref="B5:G5"/>
    <mergeCell ref="C6:G6"/>
    <mergeCell ref="C7:G7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"/>
  <sheetViews>
    <sheetView workbookViewId="0"/>
  </sheetViews>
  <sheetFormatPr baseColWidth="10" defaultColWidth="11" defaultRowHeight="14.4"/>
  <cols>
    <col min="1" max="1" width="11.109375" customWidth="1"/>
    <col min="2" max="2" width="11.88671875" customWidth="1"/>
    <col min="3" max="3" width="20.5546875" customWidth="1"/>
    <col min="4" max="4" width="27.109375" customWidth="1"/>
    <col min="5" max="6" width="17" customWidth="1"/>
    <col min="7" max="7" width="14.5546875" customWidth="1"/>
    <col min="8" max="8" width="11.5546875" customWidth="1"/>
    <col min="9" max="9" width="13.6640625" customWidth="1"/>
    <col min="10" max="10" width="16.44140625" customWidth="1"/>
    <col min="11" max="11" width="15.5546875" customWidth="1"/>
    <col min="12" max="13" width="10.88671875" customWidth="1"/>
    <col min="14" max="14" width="40.88671875" customWidth="1"/>
    <col min="15" max="16" width="26" customWidth="1"/>
    <col min="17" max="17" width="9.5546875" customWidth="1"/>
    <col min="18" max="18" width="10" customWidth="1"/>
    <col min="19" max="19" width="6.6640625" customWidth="1"/>
    <col min="20" max="20" width="9.88671875" customWidth="1"/>
    <col min="21" max="24" width="11.109375" customWidth="1"/>
    <col min="25" max="25" width="14.44140625" customWidth="1"/>
    <col min="26" max="27" width="10.88671875" customWidth="1"/>
    <col min="28" max="28" width="20.33203125" customWidth="1"/>
    <col min="29" max="29" width="13.109375" style="63" customWidth="1"/>
    <col min="30" max="30" width="34.6640625" customWidth="1"/>
  </cols>
  <sheetData>
    <row r="1" spans="1:35" s="61" customFormat="1" ht="45" customHeight="1">
      <c r="A1" s="61" t="s">
        <v>31</v>
      </c>
      <c r="B1" s="61" t="s">
        <v>32</v>
      </c>
      <c r="C1" s="61" t="s">
        <v>33</v>
      </c>
      <c r="D1" s="61" t="s">
        <v>34</v>
      </c>
      <c r="E1" s="61" t="s">
        <v>35</v>
      </c>
      <c r="F1" s="61" t="s">
        <v>36</v>
      </c>
      <c r="G1" s="61" t="s">
        <v>37</v>
      </c>
      <c r="H1" s="64" t="s">
        <v>38</v>
      </c>
      <c r="I1" s="61" t="s">
        <v>39</v>
      </c>
      <c r="J1" s="61" t="s">
        <v>40</v>
      </c>
      <c r="K1" s="61" t="s">
        <v>41</v>
      </c>
      <c r="L1" s="61" t="s">
        <v>42</v>
      </c>
      <c r="M1" s="61" t="s">
        <v>43</v>
      </c>
      <c r="N1" s="61" t="s">
        <v>7</v>
      </c>
      <c r="O1" s="61" t="s">
        <v>44</v>
      </c>
      <c r="P1" s="61" t="s">
        <v>6</v>
      </c>
      <c r="Q1" s="61" t="s">
        <v>45</v>
      </c>
      <c r="R1" s="61" t="s">
        <v>46</v>
      </c>
      <c r="S1" s="61" t="s">
        <v>47</v>
      </c>
      <c r="T1" s="61" t="s">
        <v>48</v>
      </c>
      <c r="U1" s="61" t="s">
        <v>49</v>
      </c>
      <c r="V1" s="61" t="s">
        <v>50</v>
      </c>
      <c r="W1" s="61" t="s">
        <v>51</v>
      </c>
      <c r="X1" s="61" t="s">
        <v>52</v>
      </c>
      <c r="Y1" s="61" t="s">
        <v>53</v>
      </c>
      <c r="Z1" s="61" t="s">
        <v>54</v>
      </c>
      <c r="AA1" s="61" t="s">
        <v>47</v>
      </c>
      <c r="AB1" s="61" t="s">
        <v>55</v>
      </c>
      <c r="AC1" s="75" t="s">
        <v>56</v>
      </c>
      <c r="AD1" s="61" t="s">
        <v>57</v>
      </c>
      <c r="AF1" s="61" t="s">
        <v>58</v>
      </c>
      <c r="AG1" s="61" t="s">
        <v>59</v>
      </c>
      <c r="AH1" s="61" t="s">
        <v>60</v>
      </c>
      <c r="AI1" s="61" t="s">
        <v>61</v>
      </c>
    </row>
    <row r="2" spans="1:35" s="62" customFormat="1" ht="288">
      <c r="A2" s="65">
        <v>200</v>
      </c>
      <c r="B2" s="66">
        <v>44764</v>
      </c>
      <c r="C2" s="67" t="e">
        <f>+AB2</f>
        <v>#REF!</v>
      </c>
      <c r="D2" s="65" t="s">
        <v>62</v>
      </c>
      <c r="E2" s="65" t="s">
        <v>63</v>
      </c>
      <c r="F2" s="65" t="s">
        <v>64</v>
      </c>
      <c r="G2" s="65"/>
      <c r="H2" s="65"/>
      <c r="I2" s="65" t="s">
        <v>65</v>
      </c>
      <c r="J2" s="65" t="s">
        <v>66</v>
      </c>
      <c r="K2" s="68" t="s">
        <v>67</v>
      </c>
      <c r="L2" s="68"/>
      <c r="M2" s="68"/>
      <c r="N2" s="65" t="s">
        <v>68</v>
      </c>
      <c r="O2" s="69" t="s">
        <v>69</v>
      </c>
      <c r="P2" s="65" t="s">
        <v>70</v>
      </c>
      <c r="Q2" s="65">
        <v>99.7</v>
      </c>
      <c r="R2" s="65">
        <v>105.36</v>
      </c>
      <c r="S2" s="65"/>
      <c r="T2" s="71" t="s">
        <v>71</v>
      </c>
      <c r="U2" s="69" t="s">
        <v>72</v>
      </c>
      <c r="V2" s="72" t="s">
        <v>73</v>
      </c>
      <c r="W2" s="73" t="s">
        <v>74</v>
      </c>
      <c r="X2" s="74" t="s">
        <v>75</v>
      </c>
      <c r="Y2" s="76" t="str">
        <f>+O3</f>
        <v>01 de diciembre de 2020</v>
      </c>
      <c r="Z2" s="76" t="s">
        <v>76</v>
      </c>
      <c r="AA2" s="65"/>
      <c r="AB2" s="77" t="e">
        <f>#REF!</f>
        <v>#REF!</v>
      </c>
      <c r="AC2" s="78" t="s">
        <v>77</v>
      </c>
      <c r="AD2" s="78" t="s">
        <v>78</v>
      </c>
      <c r="AE2" s="78" t="s">
        <v>79</v>
      </c>
      <c r="AF2" s="79"/>
    </row>
    <row r="3" spans="1:35" ht="15.6">
      <c r="O3" s="70" t="s">
        <v>80</v>
      </c>
    </row>
  </sheetData>
  <hyperlinks>
    <hyperlink ref="W2" r:id="rId1"/>
  </hyperlinks>
  <pageMargins left="0.7" right="0.7" top="0.75" bottom="0.75" header="0.3" footer="0.3"/>
  <pageSetup orientation="portrait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"/>
  <sheetViews>
    <sheetView workbookViewId="0"/>
  </sheetViews>
  <sheetFormatPr baseColWidth="10" defaultColWidth="11" defaultRowHeight="14.4"/>
  <cols>
    <col min="1" max="1" width="5.109375" customWidth="1"/>
    <col min="2" max="2" width="14.33203125" customWidth="1"/>
    <col min="3" max="3" width="32.33203125" customWidth="1"/>
    <col min="4" max="4" width="22" customWidth="1"/>
    <col min="5" max="5" width="46" customWidth="1"/>
    <col min="7" max="7" width="14.109375" style="58" customWidth="1"/>
    <col min="8" max="8" width="11.44140625" style="58"/>
  </cols>
  <sheetData>
    <row r="1" spans="2:5" s="57" customFormat="1" ht="15.6">
      <c r="B1" s="181" t="s">
        <v>0</v>
      </c>
      <c r="C1" s="182"/>
      <c r="D1" s="182"/>
      <c r="E1" s="183"/>
    </row>
    <row r="2" spans="2:5" s="57" customFormat="1" ht="36" customHeight="1"/>
    <row r="3" spans="2:5" s="57" customFormat="1" ht="13.8"/>
    <row r="4" spans="2:5" s="57" customFormat="1" ht="15.6">
      <c r="B4" s="184" t="s">
        <v>81</v>
      </c>
      <c r="C4" s="185"/>
      <c r="D4" s="185"/>
      <c r="E4" s="186"/>
    </row>
    <row r="5" spans="2:5" s="57" customFormat="1" ht="14.25" customHeight="1">
      <c r="B5" s="59" t="s">
        <v>82</v>
      </c>
      <c r="C5" s="59" t="s">
        <v>83</v>
      </c>
      <c r="D5" s="59" t="s">
        <v>84</v>
      </c>
      <c r="E5" s="59" t="s">
        <v>85</v>
      </c>
    </row>
    <row r="6" spans="2:5" s="57" customFormat="1" ht="32.25" customHeight="1">
      <c r="B6" s="59">
        <v>1</v>
      </c>
      <c r="C6" s="59" t="str">
        <f>+GENERAL!K2</f>
        <v>COSEQUIN LTDA</v>
      </c>
      <c r="D6" s="59">
        <v>4343584</v>
      </c>
      <c r="E6" s="59" t="s">
        <v>86</v>
      </c>
    </row>
    <row r="7" spans="2:5" s="57" customFormat="1" ht="32.25" customHeight="1">
      <c r="B7" s="59">
        <v>2</v>
      </c>
      <c r="C7" s="59" t="str">
        <f>+GENERAL!J2</f>
        <v>SEGURIDAD HORUS LTDA</v>
      </c>
      <c r="D7" s="59">
        <v>6311500</v>
      </c>
      <c r="E7" s="60" t="s">
        <v>87</v>
      </c>
    </row>
    <row r="8" spans="2:5" s="57" customFormat="1" ht="29.25" customHeight="1">
      <c r="B8" s="59">
        <v>3</v>
      </c>
      <c r="C8" s="59" t="str">
        <f>+GENERAL!I2</f>
        <v>COLVISEG</v>
      </c>
      <c r="D8" s="59">
        <v>5189191</v>
      </c>
      <c r="E8" s="59" t="s">
        <v>88</v>
      </c>
    </row>
  </sheetData>
  <mergeCells count="2">
    <mergeCell ref="B1:E1"/>
    <mergeCell ref="B4:E4"/>
  </mergeCells>
  <hyperlinks>
    <hyperlink ref="E7" r:id="rId1"/>
  </hyperlinks>
  <printOptions horizontalCentered="1"/>
  <pageMargins left="0.70866141732283505" right="0.70866141732283505" top="0.74803149606299202" bottom="0.74803149606299202" header="0.31496062992126" footer="0.31496062992126"/>
  <pageSetup paperSize="14" orientation="landscape" verticalDpi="30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workbookViewId="0">
      <selection sqref="A1:E1"/>
    </sheetView>
  </sheetViews>
  <sheetFormatPr baseColWidth="10" defaultColWidth="11" defaultRowHeight="14.4"/>
  <cols>
    <col min="1" max="1" width="26.44140625" customWidth="1"/>
    <col min="2" max="2" width="45.6640625" customWidth="1"/>
    <col min="3" max="3" width="23.33203125" customWidth="1"/>
    <col min="4" max="4" width="19.6640625" customWidth="1"/>
    <col min="5" max="5" width="28.33203125" customWidth="1"/>
  </cols>
  <sheetData>
    <row r="1" spans="1:5" ht="25.5" customHeight="1">
      <c r="A1" s="190" t="s">
        <v>89</v>
      </c>
      <c r="B1" s="191"/>
      <c r="C1" s="191"/>
      <c r="D1" s="191"/>
      <c r="E1" s="192"/>
    </row>
    <row r="2" spans="1:5" ht="57" customHeight="1">
      <c r="A2" s="52"/>
      <c r="B2" s="52"/>
      <c r="C2" s="52"/>
      <c r="D2" s="52"/>
      <c r="E2" s="52"/>
    </row>
    <row r="3" spans="1:5" ht="32.25" customHeight="1">
      <c r="A3" s="193" t="s">
        <v>90</v>
      </c>
      <c r="B3" s="194"/>
      <c r="C3" s="194"/>
      <c r="D3" s="194"/>
      <c r="E3" s="195"/>
    </row>
    <row r="4" spans="1:5" ht="15.6">
      <c r="A4" s="53"/>
      <c r="B4" s="53"/>
      <c r="C4" s="53"/>
      <c r="D4" s="53"/>
      <c r="E4" s="53"/>
    </row>
    <row r="5" spans="1:5" ht="26.25" hidden="1" customHeight="1">
      <c r="A5" s="196" t="s">
        <v>91</v>
      </c>
      <c r="B5" s="197"/>
      <c r="C5" s="197"/>
      <c r="D5" s="197"/>
      <c r="E5" s="198"/>
    </row>
    <row r="6" spans="1:5" s="51" customFormat="1" ht="54.75" customHeight="1">
      <c r="A6" s="54" t="s">
        <v>92</v>
      </c>
      <c r="B6" s="54" t="s">
        <v>7</v>
      </c>
      <c r="C6" s="54" t="s">
        <v>93</v>
      </c>
      <c r="D6" s="54" t="s">
        <v>94</v>
      </c>
      <c r="E6" s="55" t="s">
        <v>95</v>
      </c>
    </row>
    <row r="7" spans="1:5" s="51" customFormat="1" ht="18" customHeight="1">
      <c r="A7" s="187" t="str">
        <f>+GENERAL!K2</f>
        <v>COSEQUIN LTDA</v>
      </c>
      <c r="B7" s="188"/>
      <c r="C7" s="188"/>
      <c r="D7" s="188"/>
      <c r="E7" s="189"/>
    </row>
    <row r="8" spans="1:5" s="51" customFormat="1" ht="54.75" customHeight="1">
      <c r="A8" s="187" t="s">
        <v>96</v>
      </c>
      <c r="B8" s="188"/>
      <c r="C8" s="188"/>
      <c r="D8" s="188"/>
      <c r="E8" s="189"/>
    </row>
    <row r="9" spans="1:5" s="51" customFormat="1" ht="18" customHeight="1">
      <c r="A9" s="187" t="str">
        <f>+GENERAL!J2</f>
        <v>SEGURIDAD HORUS LTDA</v>
      </c>
      <c r="B9" s="188"/>
      <c r="C9" s="188"/>
      <c r="D9" s="188"/>
      <c r="E9" s="189"/>
    </row>
    <row r="10" spans="1:5" s="51" customFormat="1" ht="54.75" customHeight="1">
      <c r="A10" s="187" t="s">
        <v>96</v>
      </c>
      <c r="B10" s="188"/>
      <c r="C10" s="188"/>
      <c r="D10" s="188"/>
      <c r="E10" s="189"/>
    </row>
    <row r="11" spans="1:5" s="51" customFormat="1" ht="18" customHeight="1">
      <c r="A11" s="187" t="str">
        <f>+'Anexo 1'!C8</f>
        <v>COLVISEG</v>
      </c>
      <c r="B11" s="188"/>
      <c r="C11" s="188"/>
      <c r="D11" s="188"/>
      <c r="E11" s="189"/>
    </row>
    <row r="12" spans="1:5" s="51" customFormat="1" ht="54.75" customHeight="1">
      <c r="A12" s="187" t="s">
        <v>96</v>
      </c>
      <c r="B12" s="188"/>
      <c r="C12" s="188"/>
      <c r="D12" s="188"/>
      <c r="E12" s="189"/>
    </row>
    <row r="13" spans="1:5">
      <c r="E13" s="56"/>
    </row>
  </sheetData>
  <mergeCells count="9">
    <mergeCell ref="A9:E9"/>
    <mergeCell ref="A10:E10"/>
    <mergeCell ref="A11:E11"/>
    <mergeCell ref="A12:E12"/>
    <mergeCell ref="A1:E1"/>
    <mergeCell ref="A3:E3"/>
    <mergeCell ref="A5:E5"/>
    <mergeCell ref="A7:E7"/>
    <mergeCell ref="A8:E8"/>
  </mergeCells>
  <hyperlinks>
    <hyperlink ref="A12" r:id="rId1"/>
    <hyperlink ref="A10" r:id="rId2"/>
    <hyperlink ref="A8" r:id="rId3"/>
  </hyperlinks>
  <printOptions horizontalCentered="1"/>
  <pageMargins left="0.70866141732283505" right="0.70866141732283505" top="0.74803149606299202" bottom="0.74803149606299202" header="0.31496062992126" footer="0.31496062992126"/>
  <pageSetup paperSize="14" orientation="landscape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showGridLines="0" tabSelected="1" topLeftCell="A37" zoomScale="80" zoomScaleNormal="80" workbookViewId="0">
      <selection activeCell="I54" sqref="I54"/>
    </sheetView>
  </sheetViews>
  <sheetFormatPr baseColWidth="10" defaultColWidth="11.44140625" defaultRowHeight="13.8"/>
  <cols>
    <col min="1" max="1" width="43.5546875" style="18" customWidth="1"/>
    <col min="2" max="2" width="26.5546875" style="18" customWidth="1"/>
    <col min="3" max="3" width="17.6640625" style="18" customWidth="1"/>
    <col min="4" max="4" width="19" style="18" customWidth="1"/>
    <col min="5" max="5" width="17.33203125" style="18" customWidth="1"/>
    <col min="6" max="6" width="1.88671875" style="18" customWidth="1"/>
    <col min="7" max="7" width="17.44140625" style="18" customWidth="1"/>
    <col min="8" max="8" width="18.44140625" style="18" customWidth="1"/>
    <col min="9" max="9" width="13" style="18" customWidth="1"/>
    <col min="10" max="10" width="14.88671875" style="18" customWidth="1"/>
    <col min="11" max="11" width="14.109375" style="36" customWidth="1"/>
    <col min="12" max="13" width="18.6640625" style="18" customWidth="1"/>
    <col min="14" max="14" width="18.44140625" style="18" customWidth="1"/>
    <col min="15" max="15" width="26.6640625" style="18" customWidth="1"/>
    <col min="16" max="16" width="14.33203125" style="18" bestFit="1" customWidth="1"/>
    <col min="17" max="16384" width="11.44140625" style="18"/>
  </cols>
  <sheetData>
    <row r="1" spans="1:11" ht="37.5" customHeight="1" thickBot="1">
      <c r="A1" s="240" t="s">
        <v>164</v>
      </c>
      <c r="B1" s="241"/>
      <c r="C1" s="241"/>
      <c r="D1" s="241"/>
      <c r="E1" s="242"/>
    </row>
    <row r="2" spans="1:11" ht="29.25" customHeight="1" thickBot="1"/>
    <row r="3" spans="1:11" ht="144" customHeight="1" thickBot="1">
      <c r="A3" s="131" t="s">
        <v>154</v>
      </c>
      <c r="B3" s="243" t="s">
        <v>153</v>
      </c>
      <c r="C3" s="244"/>
      <c r="D3" s="244"/>
      <c r="E3" s="245"/>
    </row>
    <row r="4" spans="1:11" ht="60" customHeight="1" thickBot="1">
      <c r="A4" s="246" t="s">
        <v>141</v>
      </c>
      <c r="B4" s="247"/>
      <c r="C4" s="247"/>
      <c r="D4" s="247"/>
      <c r="E4" s="248"/>
      <c r="F4" s="19"/>
    </row>
    <row r="5" spans="1:11" s="15" customFormat="1" ht="42" customHeight="1" thickBot="1">
      <c r="A5" s="249" t="s">
        <v>140</v>
      </c>
      <c r="B5" s="250"/>
      <c r="C5" s="251"/>
      <c r="D5" s="252">
        <v>1750905</v>
      </c>
      <c r="E5" s="253"/>
      <c r="F5" s="20"/>
      <c r="K5" s="105"/>
    </row>
    <row r="6" spans="1:11" ht="14.4" thickBot="1">
      <c r="A6" s="204" t="s">
        <v>97</v>
      </c>
      <c r="B6" s="205"/>
      <c r="C6" s="206"/>
      <c r="D6" s="199">
        <v>10.210000000000001</v>
      </c>
      <c r="E6" s="200"/>
      <c r="F6" s="21"/>
    </row>
    <row r="7" spans="1:11" ht="14.4" thickBot="1">
      <c r="A7" s="204" t="s">
        <v>98</v>
      </c>
      <c r="B7" s="205"/>
      <c r="C7" s="206"/>
      <c r="D7" s="207">
        <f>ROUND(D5*D6,0)</f>
        <v>17876740</v>
      </c>
      <c r="E7" s="208"/>
      <c r="F7" s="22"/>
    </row>
    <row r="8" spans="1:11" ht="14.4" thickBot="1">
      <c r="A8" s="204" t="s">
        <v>151</v>
      </c>
      <c r="B8" s="205"/>
      <c r="C8" s="206"/>
      <c r="D8" s="215">
        <v>1500</v>
      </c>
      <c r="E8" s="216"/>
      <c r="F8" s="22"/>
    </row>
    <row r="9" spans="1:11" ht="14.4" thickBot="1">
      <c r="A9" s="204" t="s">
        <v>152</v>
      </c>
      <c r="B9" s="205"/>
      <c r="C9" s="206"/>
      <c r="D9" s="207">
        <f>D7+D8</f>
        <v>17878240</v>
      </c>
      <c r="E9" s="208"/>
      <c r="F9" s="22"/>
    </row>
    <row r="10" spans="1:11" ht="14.4" thickBot="1">
      <c r="A10" s="23"/>
      <c r="B10" s="24"/>
      <c r="C10" s="24"/>
      <c r="D10" s="22"/>
      <c r="E10" s="25"/>
      <c r="F10" s="22"/>
    </row>
    <row r="11" spans="1:11" ht="18.600000000000001" thickBot="1">
      <c r="A11" s="209" t="s">
        <v>99</v>
      </c>
      <c r="B11" s="210"/>
      <c r="C11" s="210"/>
      <c r="D11" s="210"/>
      <c r="E11" s="211"/>
      <c r="F11" s="26"/>
    </row>
    <row r="12" spans="1:11" s="16" customFormat="1" ht="24.75" customHeight="1" thickBot="1">
      <c r="A12" s="27" t="s">
        <v>100</v>
      </c>
      <c r="B12" s="28" t="s">
        <v>101</v>
      </c>
      <c r="C12" s="28" t="s">
        <v>102</v>
      </c>
      <c r="D12" s="28" t="s">
        <v>103</v>
      </c>
      <c r="E12" s="28" t="s">
        <v>104</v>
      </c>
      <c r="K12" s="106"/>
    </row>
    <row r="13" spans="1:11" ht="27.6">
      <c r="A13" s="29" t="s">
        <v>105</v>
      </c>
      <c r="B13" s="101">
        <f>D9</f>
        <v>17878240</v>
      </c>
      <c r="C13" s="30">
        <v>0.08</v>
      </c>
      <c r="D13" s="103">
        <f>ROUND(B13*C13,2)</f>
        <v>1430259.2</v>
      </c>
      <c r="E13" s="103">
        <f>ROUND(B13+D13,0)</f>
        <v>19308499</v>
      </c>
      <c r="F13" s="31"/>
    </row>
    <row r="14" spans="1:11" ht="28.2" thickBot="1">
      <c r="A14" s="32" t="s">
        <v>106</v>
      </c>
      <c r="B14" s="102">
        <f>D9</f>
        <v>17878240</v>
      </c>
      <c r="C14" s="33">
        <v>0.1</v>
      </c>
      <c r="D14" s="104">
        <f>ROUND(B14*C14,2)</f>
        <v>1787824</v>
      </c>
      <c r="E14" s="104">
        <f>ROUND(B14+D14,0)</f>
        <v>19666064</v>
      </c>
      <c r="F14" s="31"/>
    </row>
    <row r="15" spans="1:11">
      <c r="A15" s="34"/>
      <c r="B15" s="31"/>
      <c r="C15" s="35"/>
      <c r="D15" s="31"/>
      <c r="E15" s="31"/>
      <c r="F15" s="31"/>
    </row>
    <row r="17" spans="1:11" ht="43.5" customHeight="1" thickBot="1">
      <c r="A17" s="212" t="s">
        <v>142</v>
      </c>
      <c r="B17" s="213"/>
      <c r="C17" s="213"/>
      <c r="D17" s="213"/>
      <c r="E17" s="214"/>
      <c r="F17" s="19"/>
    </row>
    <row r="18" spans="1:11" ht="14.4" thickBot="1">
      <c r="A18" s="201" t="s">
        <v>107</v>
      </c>
      <c r="B18" s="202"/>
      <c r="C18" s="203"/>
      <c r="D18" s="201">
        <v>20</v>
      </c>
      <c r="E18" s="203"/>
      <c r="F18" s="36"/>
    </row>
    <row r="19" spans="1:11" ht="14.4" thickBot="1">
      <c r="A19" s="201" t="s">
        <v>108</v>
      </c>
      <c r="B19" s="202"/>
      <c r="C19" s="203"/>
      <c r="D19" s="201">
        <v>22</v>
      </c>
      <c r="E19" s="203"/>
      <c r="F19" s="36"/>
    </row>
    <row r="20" spans="1:11" ht="14.4" thickBot="1">
      <c r="A20" s="201" t="s">
        <v>109</v>
      </c>
      <c r="B20" s="202"/>
      <c r="C20" s="203"/>
      <c r="D20" s="201">
        <v>24</v>
      </c>
      <c r="E20" s="203"/>
      <c r="F20" s="36"/>
    </row>
    <row r="21" spans="1:11" ht="14.4" thickBot="1">
      <c r="A21" s="201" t="s">
        <v>110</v>
      </c>
      <c r="B21" s="202"/>
      <c r="C21" s="203"/>
      <c r="D21" s="201">
        <v>26</v>
      </c>
      <c r="E21" s="203"/>
      <c r="F21" s="36"/>
    </row>
    <row r="22" spans="1:11" ht="14.4" thickBot="1">
      <c r="A22" s="201" t="s">
        <v>111</v>
      </c>
      <c r="B22" s="202"/>
      <c r="C22" s="203"/>
      <c r="D22" s="201">
        <v>2</v>
      </c>
      <c r="E22" s="203"/>
      <c r="F22" s="36"/>
    </row>
    <row r="23" spans="1:11" ht="14.4" thickBot="1">
      <c r="A23" s="201" t="s">
        <v>112</v>
      </c>
      <c r="B23" s="202"/>
      <c r="C23" s="203"/>
      <c r="D23" s="201">
        <v>8</v>
      </c>
      <c r="E23" s="203"/>
      <c r="F23" s="36"/>
    </row>
    <row r="24" spans="1:11" ht="14.4" thickBot="1">
      <c r="A24" s="201" t="s">
        <v>113</v>
      </c>
      <c r="B24" s="202"/>
      <c r="C24" s="203"/>
      <c r="D24" s="201">
        <v>10</v>
      </c>
      <c r="E24" s="203"/>
      <c r="F24" s="36"/>
    </row>
    <row r="25" spans="1:11">
      <c r="A25" s="36"/>
      <c r="B25" s="36"/>
      <c r="C25" s="36"/>
      <c r="D25" s="255"/>
      <c r="E25" s="255"/>
      <c r="F25" s="36"/>
    </row>
    <row r="26" spans="1:11" ht="14.4" thickBot="1"/>
    <row r="27" spans="1:11" ht="53.25" customHeight="1" thickBot="1">
      <c r="A27" s="246" t="s">
        <v>114</v>
      </c>
      <c r="B27" s="247"/>
      <c r="C27" s="247"/>
      <c r="D27" s="247"/>
      <c r="E27" s="248"/>
      <c r="F27" s="11"/>
    </row>
    <row r="28" spans="1:11" s="15" customFormat="1" ht="43.5" customHeight="1" thickBot="1">
      <c r="A28" s="222" t="s">
        <v>115</v>
      </c>
      <c r="B28" s="223"/>
      <c r="C28" s="222" t="s">
        <v>116</v>
      </c>
      <c r="D28" s="224"/>
      <c r="E28" s="223"/>
      <c r="F28" s="37"/>
      <c r="G28" s="225"/>
      <c r="H28" s="225"/>
      <c r="I28" s="225"/>
      <c r="J28" s="225"/>
      <c r="K28" s="225"/>
    </row>
    <row r="29" spans="1:11" ht="17.25" customHeight="1">
      <c r="A29" s="256" t="s">
        <v>149</v>
      </c>
      <c r="B29" s="233"/>
      <c r="C29" s="231">
        <v>0.47589999999999999</v>
      </c>
      <c r="D29" s="232"/>
      <c r="E29" s="233"/>
      <c r="F29" s="36"/>
      <c r="G29" s="229"/>
      <c r="H29" s="229"/>
      <c r="I29" s="229"/>
      <c r="J29" s="229"/>
      <c r="K29" s="229"/>
    </row>
    <row r="30" spans="1:11" ht="17.25" customHeight="1" thickBot="1">
      <c r="A30" s="234"/>
      <c r="B30" s="236"/>
      <c r="C30" s="234"/>
      <c r="D30" s="235"/>
      <c r="E30" s="236"/>
      <c r="F30" s="36"/>
      <c r="G30" s="229"/>
      <c r="H30" s="229"/>
      <c r="I30" s="229"/>
      <c r="J30" s="229"/>
      <c r="K30" s="229"/>
    </row>
    <row r="31" spans="1:11" ht="17.25" customHeight="1" thickBot="1">
      <c r="A31" s="201" t="s">
        <v>150</v>
      </c>
      <c r="B31" s="203"/>
      <c r="C31" s="228">
        <v>0.52410000000000001</v>
      </c>
      <c r="D31" s="202"/>
      <c r="E31" s="203"/>
      <c r="F31" s="36"/>
      <c r="G31" s="229"/>
      <c r="H31" s="229"/>
      <c r="I31" s="229"/>
      <c r="J31" s="229"/>
      <c r="K31" s="229"/>
    </row>
    <row r="32" spans="1:11" ht="17.25" customHeight="1" thickBot="1">
      <c r="G32" s="230"/>
      <c r="H32" s="230"/>
      <c r="I32" s="230"/>
      <c r="J32" s="230"/>
      <c r="K32" s="230"/>
    </row>
    <row r="33" spans="1:19" ht="146.4" customHeight="1" thickBot="1">
      <c r="A33" s="237" t="s">
        <v>155</v>
      </c>
      <c r="B33" s="238"/>
      <c r="C33" s="238"/>
      <c r="D33" s="238"/>
      <c r="E33" s="239"/>
      <c r="F33" s="11"/>
    </row>
    <row r="34" spans="1:19" ht="18" customHeight="1">
      <c r="A34" s="254"/>
      <c r="B34" s="254"/>
      <c r="C34" s="254"/>
      <c r="D34" s="254"/>
      <c r="E34" s="254"/>
      <c r="F34" s="132"/>
      <c r="G34" s="133"/>
    </row>
    <row r="35" spans="1:19" ht="6" customHeight="1">
      <c r="A35" s="38"/>
      <c r="B35" s="10"/>
      <c r="C35" s="10"/>
      <c r="D35" s="10"/>
      <c r="E35" s="10"/>
      <c r="F35" s="10"/>
    </row>
    <row r="36" spans="1:19" ht="13.8" customHeight="1" thickBot="1">
      <c r="A36" s="38"/>
      <c r="B36" s="10"/>
      <c r="C36" s="10"/>
      <c r="D36" s="10"/>
      <c r="E36" s="10"/>
      <c r="F36" s="10"/>
    </row>
    <row r="37" spans="1:19" ht="26.25" customHeight="1" thickBot="1">
      <c r="A37" s="219" t="s">
        <v>157</v>
      </c>
      <c r="B37" s="220"/>
      <c r="C37" s="220"/>
      <c r="D37" s="220"/>
      <c r="E37" s="220"/>
      <c r="F37" s="220"/>
      <c r="G37" s="220"/>
      <c r="H37" s="221"/>
      <c r="I37" s="39"/>
      <c r="J37" s="39"/>
      <c r="K37" s="226" t="s">
        <v>119</v>
      </c>
      <c r="L37" s="227"/>
    </row>
    <row r="38" spans="1:19" s="17" customFormat="1" ht="77.25" customHeight="1" thickBot="1">
      <c r="A38" s="40" t="s">
        <v>120</v>
      </c>
      <c r="B38" s="41" t="s">
        <v>117</v>
      </c>
      <c r="C38" s="42" t="s">
        <v>121</v>
      </c>
      <c r="D38" s="42" t="s">
        <v>122</v>
      </c>
      <c r="E38" s="43" t="s">
        <v>123</v>
      </c>
      <c r="F38" s="217"/>
      <c r="G38" s="43" t="s">
        <v>124</v>
      </c>
      <c r="H38" s="43" t="s">
        <v>125</v>
      </c>
      <c r="I38" s="43" t="s">
        <v>126</v>
      </c>
      <c r="J38" s="43" t="s">
        <v>127</v>
      </c>
      <c r="K38" s="46" t="s">
        <v>128</v>
      </c>
      <c r="L38" s="144" t="s">
        <v>143</v>
      </c>
    </row>
    <row r="39" spans="1:19" ht="14.4" thickBot="1">
      <c r="A39" s="45" t="s">
        <v>129</v>
      </c>
      <c r="B39" s="45" t="s">
        <v>130</v>
      </c>
      <c r="C39" s="120">
        <v>30</v>
      </c>
      <c r="D39" s="109">
        <f>+B13</f>
        <v>17878240</v>
      </c>
      <c r="E39" s="121">
        <v>0.1</v>
      </c>
      <c r="F39" s="218"/>
      <c r="G39" s="108">
        <f>ROUND(D39*E39,0)</f>
        <v>1787824</v>
      </c>
      <c r="H39" s="108">
        <f>ROUND(D39+G39,0)</f>
        <v>19666064</v>
      </c>
      <c r="I39" s="108">
        <f>ROUND(H39*10%*19%,0)</f>
        <v>373655</v>
      </c>
      <c r="J39" s="108">
        <f>ROUND(H39+I39,0)</f>
        <v>20039719</v>
      </c>
      <c r="K39" s="120">
        <v>60</v>
      </c>
      <c r="L39" s="112">
        <f>ROUND(K39*J39,0)*1</f>
        <v>1202383140</v>
      </c>
    </row>
    <row r="40" spans="1:19" ht="14.4" thickBot="1">
      <c r="A40" s="45" t="s">
        <v>131</v>
      </c>
      <c r="B40" s="45" t="s">
        <v>130</v>
      </c>
      <c r="C40" s="120">
        <v>30</v>
      </c>
      <c r="D40" s="109">
        <f>+B13</f>
        <v>17878240</v>
      </c>
      <c r="E40" s="122">
        <v>0.08</v>
      </c>
      <c r="F40" s="218"/>
      <c r="G40" s="108">
        <f>ROUND(D40*E40,0)</f>
        <v>1430259</v>
      </c>
      <c r="H40" s="108">
        <f>ROUND(D40+G40,0)</f>
        <v>19308499</v>
      </c>
      <c r="I40" s="138">
        <f>ROUND(H40*10%*19%,0)</f>
        <v>366861</v>
      </c>
      <c r="J40" s="108">
        <f>ROUND(H40+I40,0)</f>
        <v>19675360</v>
      </c>
      <c r="K40" s="120">
        <v>2</v>
      </c>
      <c r="L40" s="112">
        <f>ROUND(K40*J40,0)*1</f>
        <v>39350720</v>
      </c>
    </row>
    <row r="41" spans="1:19" ht="28.2" thickBot="1">
      <c r="A41" s="130" t="s">
        <v>156</v>
      </c>
      <c r="B41" s="45" t="s">
        <v>133</v>
      </c>
      <c r="C41" s="134">
        <v>20</v>
      </c>
      <c r="D41" s="136">
        <f>ROUND($D$9*$C$29/30*C41/13*12,0)</f>
        <v>5235849</v>
      </c>
      <c r="E41" s="137">
        <v>0.1</v>
      </c>
      <c r="F41" s="218"/>
      <c r="G41" s="138">
        <f>ROUND(D41*E41,0)</f>
        <v>523585</v>
      </c>
      <c r="H41" s="138">
        <f>ROUND(D41+G41,0)</f>
        <v>5759434</v>
      </c>
      <c r="I41" s="138">
        <f>ROUND(H41*10%*19%,0)</f>
        <v>109429</v>
      </c>
      <c r="J41" s="138">
        <f>ROUND(H41+I41,0)</f>
        <v>5868863</v>
      </c>
      <c r="K41" s="128">
        <v>58</v>
      </c>
      <c r="L41" s="141">
        <f>ROUND(K41*J41,0)*1</f>
        <v>340394054</v>
      </c>
    </row>
    <row r="42" spans="1:19" ht="28.2" thickBot="1">
      <c r="A42" s="130" t="s">
        <v>132</v>
      </c>
      <c r="B42" s="130" t="s">
        <v>133</v>
      </c>
      <c r="C42" s="134">
        <v>20</v>
      </c>
      <c r="D42" s="135">
        <f>ROUND($D$9*$C$29/30*C42/13*12,0)</f>
        <v>5235849</v>
      </c>
      <c r="E42" s="139">
        <v>0.08</v>
      </c>
      <c r="F42" s="218"/>
      <c r="G42" s="135">
        <f>ROUND(D42*E42,0)</f>
        <v>418868</v>
      </c>
      <c r="H42" s="135">
        <f>ROUND(D42+G42,0)</f>
        <v>5654717</v>
      </c>
      <c r="I42" s="135">
        <f>ROUND(H42*10%*19%,0)</f>
        <v>107440</v>
      </c>
      <c r="J42" s="140">
        <f>ROUND(H42+I42,0)</f>
        <v>5762157</v>
      </c>
      <c r="K42" s="134">
        <v>24</v>
      </c>
      <c r="L42" s="142">
        <f>ROUND(K42*J42,0)*1</f>
        <v>138291768</v>
      </c>
    </row>
    <row r="43" spans="1:19" ht="14.4" thickBot="1">
      <c r="G43" s="113"/>
      <c r="H43" s="113"/>
      <c r="I43" s="113"/>
      <c r="J43" s="113"/>
      <c r="K43" s="143">
        <f>SUM(K39:K42)</f>
        <v>144</v>
      </c>
      <c r="L43" s="145">
        <f>ROUND(SUM(L39:L42),0)</f>
        <v>1720419682</v>
      </c>
      <c r="M43" s="126"/>
      <c r="N43" s="47"/>
      <c r="O43" s="50"/>
    </row>
    <row r="44" spans="1:19" ht="14.4" thickBot="1">
      <c r="M44" s="31"/>
      <c r="O44" s="50"/>
    </row>
    <row r="45" spans="1:19" ht="18.600000000000001" thickBot="1">
      <c r="A45" s="219" t="s">
        <v>158</v>
      </c>
      <c r="B45" s="220"/>
      <c r="C45" s="220"/>
      <c r="D45" s="220"/>
      <c r="E45" s="220"/>
      <c r="F45" s="220"/>
      <c r="G45" s="220"/>
      <c r="H45" s="221"/>
      <c r="I45" s="39"/>
      <c r="J45" s="39"/>
      <c r="K45" s="226" t="s">
        <v>119</v>
      </c>
      <c r="L45" s="227"/>
      <c r="M45" s="31"/>
    </row>
    <row r="46" spans="1:19" s="6" customFormat="1" ht="58.5" customHeight="1" thickBot="1">
      <c r="A46" s="40" t="s">
        <v>120</v>
      </c>
      <c r="B46" s="41" t="s">
        <v>117</v>
      </c>
      <c r="C46" s="107" t="s">
        <v>121</v>
      </c>
      <c r="D46" s="43" t="s">
        <v>122</v>
      </c>
      <c r="E46" s="43" t="s">
        <v>123</v>
      </c>
      <c r="F46" s="217"/>
      <c r="G46" s="43" t="s">
        <v>124</v>
      </c>
      <c r="H46" s="43" t="s">
        <v>125</v>
      </c>
      <c r="I46" s="43" t="s">
        <v>126</v>
      </c>
      <c r="J46" s="43" t="s">
        <v>127</v>
      </c>
      <c r="K46" s="46" t="s">
        <v>128</v>
      </c>
      <c r="L46" s="144" t="s">
        <v>144</v>
      </c>
      <c r="M46" s="48"/>
      <c r="N46" s="48"/>
      <c r="O46" s="48"/>
      <c r="P46" s="48"/>
      <c r="Q46" s="48"/>
      <c r="R46" s="48"/>
      <c r="S46" s="48"/>
    </row>
    <row r="47" spans="1:19" s="6" customFormat="1" ht="16.2" thickBot="1">
      <c r="A47" s="44" t="s">
        <v>129</v>
      </c>
      <c r="B47" s="45" t="s">
        <v>130</v>
      </c>
      <c r="C47" s="119">
        <v>30</v>
      </c>
      <c r="D47" s="109">
        <f>+D9</f>
        <v>17878240</v>
      </c>
      <c r="E47" s="122">
        <v>0.1</v>
      </c>
      <c r="F47" s="218"/>
      <c r="G47" s="109">
        <f>ROUND(D47*E47,0)</f>
        <v>1787824</v>
      </c>
      <c r="H47" s="114">
        <f>ROUND(D47+G47,0)</f>
        <v>19666064</v>
      </c>
      <c r="I47" s="114">
        <f>ROUND(H47*10%*19%,0)</f>
        <v>373655</v>
      </c>
      <c r="J47" s="114">
        <f>ROUND(H47+I47,0)</f>
        <v>20039719</v>
      </c>
      <c r="K47" s="123">
        <v>8</v>
      </c>
      <c r="L47" s="112">
        <f>ROUND(K47*J47,0)*1</f>
        <v>160317752</v>
      </c>
      <c r="M47" s="31"/>
      <c r="N47" s="124"/>
      <c r="O47" s="48"/>
      <c r="P47" s="48"/>
      <c r="Q47" s="48"/>
      <c r="R47" s="48"/>
      <c r="S47" s="48"/>
    </row>
    <row r="48" spans="1:19" ht="14.4" thickBot="1">
      <c r="K48" s="143">
        <f>SUM(K47:K47)</f>
        <v>8</v>
      </c>
      <c r="L48" s="148">
        <f>ROUND(SUM(L47:L47),0)</f>
        <v>160317752</v>
      </c>
      <c r="N48" s="47"/>
      <c r="O48" s="50"/>
    </row>
    <row r="49" spans="10:15">
      <c r="O49" s="50"/>
    </row>
    <row r="54" spans="10:15">
      <c r="J54" s="47"/>
    </row>
  </sheetData>
  <mergeCells count="49">
    <mergeCell ref="A34:E34"/>
    <mergeCell ref="A21:C21"/>
    <mergeCell ref="D21:E21"/>
    <mergeCell ref="A22:C22"/>
    <mergeCell ref="D22:E22"/>
    <mergeCell ref="A23:C23"/>
    <mergeCell ref="D23:E23"/>
    <mergeCell ref="A24:C24"/>
    <mergeCell ref="D24:E24"/>
    <mergeCell ref="A27:E27"/>
    <mergeCell ref="D25:E25"/>
    <mergeCell ref="A29:B30"/>
    <mergeCell ref="A1:E1"/>
    <mergeCell ref="B3:E3"/>
    <mergeCell ref="A4:E4"/>
    <mergeCell ref="A5:C5"/>
    <mergeCell ref="D5:E5"/>
    <mergeCell ref="F46:F47"/>
    <mergeCell ref="A45:H45"/>
    <mergeCell ref="A28:B28"/>
    <mergeCell ref="C28:E28"/>
    <mergeCell ref="G28:K28"/>
    <mergeCell ref="K45:L45"/>
    <mergeCell ref="F38:F42"/>
    <mergeCell ref="A31:B31"/>
    <mergeCell ref="C31:E31"/>
    <mergeCell ref="G31:K31"/>
    <mergeCell ref="G32:K32"/>
    <mergeCell ref="A37:H37"/>
    <mergeCell ref="K37:L37"/>
    <mergeCell ref="C29:E30"/>
    <mergeCell ref="G29:K30"/>
    <mergeCell ref="A33:E33"/>
    <mergeCell ref="D6:E6"/>
    <mergeCell ref="A19:C19"/>
    <mergeCell ref="D19:E19"/>
    <mergeCell ref="A20:C20"/>
    <mergeCell ref="A7:C7"/>
    <mergeCell ref="D7:E7"/>
    <mergeCell ref="A11:E11"/>
    <mergeCell ref="A17:E17"/>
    <mergeCell ref="A18:C18"/>
    <mergeCell ref="D18:E18"/>
    <mergeCell ref="D20:E20"/>
    <mergeCell ref="A6:C6"/>
    <mergeCell ref="A8:C8"/>
    <mergeCell ref="D8:E8"/>
    <mergeCell ref="A9:C9"/>
    <mergeCell ref="D9:E9"/>
  </mergeCells>
  <phoneticPr fontId="41" type="noConversion"/>
  <printOptions horizontalCentered="1"/>
  <pageMargins left="0.70866141732283472" right="0.70866141732283472" top="0.74803149606299213" bottom="0.74803149606299213" header="0.31496062992125984" footer="0.31496062992125984"/>
  <pageSetup paperSize="256" scale="6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GridLines="0" topLeftCell="C35" zoomScale="90" zoomScaleNormal="90" workbookViewId="0">
      <selection activeCell="M42" sqref="M42"/>
    </sheetView>
  </sheetViews>
  <sheetFormatPr baseColWidth="10" defaultColWidth="11.44140625" defaultRowHeight="13.8"/>
  <cols>
    <col min="1" max="1" width="43.5546875" style="18" customWidth="1"/>
    <col min="2" max="2" width="26.5546875" style="18" customWidth="1"/>
    <col min="3" max="3" width="17.6640625" style="18" customWidth="1"/>
    <col min="4" max="4" width="19" style="18" customWidth="1"/>
    <col min="5" max="5" width="17.33203125" style="18" customWidth="1"/>
    <col min="6" max="6" width="1.88671875" style="18" customWidth="1"/>
    <col min="7" max="7" width="17.44140625" style="18" customWidth="1"/>
    <col min="8" max="8" width="18.44140625" style="18" customWidth="1"/>
    <col min="9" max="9" width="13" style="18" customWidth="1"/>
    <col min="10" max="10" width="14.88671875" style="18" customWidth="1"/>
    <col min="11" max="11" width="14.109375" style="127" customWidth="1"/>
    <col min="12" max="13" width="18.6640625" style="18" customWidth="1"/>
    <col min="14" max="14" width="20.77734375" style="18" customWidth="1"/>
    <col min="15" max="15" width="26.6640625" style="18" customWidth="1"/>
    <col min="16" max="16" width="14.33203125" style="18" bestFit="1" customWidth="1"/>
    <col min="17" max="16384" width="11.44140625" style="18"/>
  </cols>
  <sheetData>
    <row r="1" spans="1:11" ht="37.5" customHeight="1" thickBot="1">
      <c r="A1" s="240" t="s">
        <v>166</v>
      </c>
      <c r="B1" s="241"/>
      <c r="C1" s="241"/>
      <c r="D1" s="241"/>
      <c r="E1" s="242"/>
    </row>
    <row r="2" spans="1:11" ht="29.25" customHeight="1" thickBot="1"/>
    <row r="3" spans="1:11" ht="150.6" customHeight="1" thickBot="1">
      <c r="A3" s="131" t="s">
        <v>154</v>
      </c>
      <c r="B3" s="243" t="s">
        <v>153</v>
      </c>
      <c r="C3" s="244"/>
      <c r="D3" s="244"/>
      <c r="E3" s="245"/>
    </row>
    <row r="4" spans="1:11" ht="60" customHeight="1" thickBot="1">
      <c r="A4" s="246" t="s">
        <v>141</v>
      </c>
      <c r="B4" s="247"/>
      <c r="C4" s="247"/>
      <c r="D4" s="247"/>
      <c r="E4" s="248"/>
      <c r="F4" s="19"/>
    </row>
    <row r="5" spans="1:11" s="15" customFormat="1" ht="63.6" customHeight="1" thickBot="1">
      <c r="A5" s="257" t="s">
        <v>159</v>
      </c>
      <c r="B5" s="250"/>
      <c r="C5" s="251"/>
      <c r="D5" s="252">
        <f>ROUND((1750905*(1+4.4%)),0)</f>
        <v>1827945</v>
      </c>
      <c r="E5" s="253"/>
      <c r="F5" s="20"/>
      <c r="K5" s="105"/>
    </row>
    <row r="6" spans="1:11" ht="14.4" thickBot="1">
      <c r="A6" s="204" t="s">
        <v>97</v>
      </c>
      <c r="B6" s="205"/>
      <c r="C6" s="206"/>
      <c r="D6" s="199">
        <v>10.210000000000001</v>
      </c>
      <c r="E6" s="200"/>
      <c r="F6" s="21"/>
    </row>
    <row r="7" spans="1:11" ht="14.4" thickBot="1">
      <c r="A7" s="204" t="s">
        <v>98</v>
      </c>
      <c r="B7" s="205"/>
      <c r="C7" s="206"/>
      <c r="D7" s="207">
        <f>ROUND(D5*D6,0)</f>
        <v>18663318</v>
      </c>
      <c r="E7" s="208"/>
      <c r="F7" s="22"/>
    </row>
    <row r="8" spans="1:11" ht="14.4" thickBot="1">
      <c r="A8" s="204" t="s">
        <v>151</v>
      </c>
      <c r="B8" s="205"/>
      <c r="C8" s="206"/>
      <c r="D8" s="215">
        <v>1500</v>
      </c>
      <c r="E8" s="216"/>
      <c r="F8" s="22"/>
    </row>
    <row r="9" spans="1:11" ht="14.4" thickBot="1">
      <c r="A9" s="204" t="s">
        <v>152</v>
      </c>
      <c r="B9" s="205"/>
      <c r="C9" s="206"/>
      <c r="D9" s="207">
        <f>D7+D8</f>
        <v>18664818</v>
      </c>
      <c r="E9" s="208"/>
      <c r="F9" s="22"/>
    </row>
    <row r="10" spans="1:11" ht="14.4" thickBot="1">
      <c r="A10" s="23"/>
      <c r="B10" s="24"/>
      <c r="C10" s="24"/>
      <c r="D10" s="22"/>
      <c r="E10" s="25"/>
      <c r="F10" s="22"/>
    </row>
    <row r="11" spans="1:11" ht="18.600000000000001" thickBot="1">
      <c r="A11" s="209" t="s">
        <v>99</v>
      </c>
      <c r="B11" s="210"/>
      <c r="C11" s="210"/>
      <c r="D11" s="210"/>
      <c r="E11" s="211"/>
      <c r="F11" s="26"/>
    </row>
    <row r="12" spans="1:11" s="16" customFormat="1" ht="24.75" customHeight="1" thickBot="1">
      <c r="A12" s="27" t="s">
        <v>100</v>
      </c>
      <c r="B12" s="28" t="s">
        <v>101</v>
      </c>
      <c r="C12" s="28" t="s">
        <v>102</v>
      </c>
      <c r="D12" s="28" t="s">
        <v>103</v>
      </c>
      <c r="E12" s="28" t="s">
        <v>104</v>
      </c>
      <c r="K12" s="106"/>
    </row>
    <row r="13" spans="1:11" ht="27.6">
      <c r="A13" s="29" t="s">
        <v>105</v>
      </c>
      <c r="B13" s="101">
        <f>D9</f>
        <v>18664818</v>
      </c>
      <c r="C13" s="30">
        <v>0.08</v>
      </c>
      <c r="D13" s="103">
        <f>ROUND(B13*C13,2)</f>
        <v>1493185.44</v>
      </c>
      <c r="E13" s="103">
        <f>ROUND(B13+D13,0)</f>
        <v>20158003</v>
      </c>
      <c r="F13" s="31"/>
    </row>
    <row r="14" spans="1:11" ht="28.2" thickBot="1">
      <c r="A14" s="32" t="s">
        <v>106</v>
      </c>
      <c r="B14" s="102">
        <f>D9</f>
        <v>18664818</v>
      </c>
      <c r="C14" s="33">
        <v>0.1</v>
      </c>
      <c r="D14" s="104">
        <f>ROUND(B14*C14,2)</f>
        <v>1866481.8</v>
      </c>
      <c r="E14" s="104">
        <f>ROUND(B14+D14,0)</f>
        <v>20531300</v>
      </c>
      <c r="F14" s="31"/>
    </row>
    <row r="15" spans="1:11">
      <c r="A15" s="34"/>
      <c r="B15" s="31"/>
      <c r="C15" s="35"/>
      <c r="D15" s="31"/>
      <c r="E15" s="31"/>
      <c r="F15" s="31"/>
    </row>
    <row r="17" spans="1:11" ht="43.5" customHeight="1" thickBot="1">
      <c r="A17" s="212" t="s">
        <v>142</v>
      </c>
      <c r="B17" s="213"/>
      <c r="C17" s="213"/>
      <c r="D17" s="213"/>
      <c r="E17" s="214"/>
      <c r="F17" s="19"/>
    </row>
    <row r="18" spans="1:11" ht="14.4" thickBot="1">
      <c r="A18" s="201" t="s">
        <v>107</v>
      </c>
      <c r="B18" s="202"/>
      <c r="C18" s="203"/>
      <c r="D18" s="201">
        <v>20</v>
      </c>
      <c r="E18" s="203"/>
      <c r="F18" s="127"/>
    </row>
    <row r="19" spans="1:11" ht="14.4" thickBot="1">
      <c r="A19" s="201" t="s">
        <v>108</v>
      </c>
      <c r="B19" s="202"/>
      <c r="C19" s="203"/>
      <c r="D19" s="201">
        <v>22</v>
      </c>
      <c r="E19" s="203"/>
      <c r="F19" s="127"/>
    </row>
    <row r="20" spans="1:11" ht="14.4" thickBot="1">
      <c r="A20" s="201" t="s">
        <v>109</v>
      </c>
      <c r="B20" s="202"/>
      <c r="C20" s="203"/>
      <c r="D20" s="201">
        <v>24</v>
      </c>
      <c r="E20" s="203"/>
      <c r="F20" s="127"/>
    </row>
    <row r="21" spans="1:11" ht="14.4" thickBot="1">
      <c r="A21" s="201" t="s">
        <v>110</v>
      </c>
      <c r="B21" s="202"/>
      <c r="C21" s="203"/>
      <c r="D21" s="201">
        <v>26</v>
      </c>
      <c r="E21" s="203"/>
      <c r="F21" s="127"/>
    </row>
    <row r="22" spans="1:11" ht="14.4" thickBot="1">
      <c r="A22" s="201" t="s">
        <v>111</v>
      </c>
      <c r="B22" s="202"/>
      <c r="C22" s="203"/>
      <c r="D22" s="201">
        <v>2</v>
      </c>
      <c r="E22" s="203"/>
      <c r="F22" s="127"/>
    </row>
    <row r="23" spans="1:11" ht="14.4" thickBot="1">
      <c r="A23" s="201" t="s">
        <v>112</v>
      </c>
      <c r="B23" s="202"/>
      <c r="C23" s="203"/>
      <c r="D23" s="201">
        <v>8</v>
      </c>
      <c r="E23" s="203"/>
      <c r="F23" s="127"/>
    </row>
    <row r="24" spans="1:11" ht="14.4" thickBot="1">
      <c r="A24" s="201" t="s">
        <v>113</v>
      </c>
      <c r="B24" s="202"/>
      <c r="C24" s="203"/>
      <c r="D24" s="201">
        <v>10</v>
      </c>
      <c r="E24" s="203"/>
      <c r="F24" s="127"/>
    </row>
    <row r="25" spans="1:11">
      <c r="A25" s="127"/>
      <c r="B25" s="127"/>
      <c r="C25" s="127"/>
      <c r="D25" s="255"/>
      <c r="E25" s="255"/>
      <c r="F25" s="127"/>
    </row>
    <row r="26" spans="1:11" ht="14.4" thickBot="1"/>
    <row r="27" spans="1:11" ht="53.25" customHeight="1" thickBot="1">
      <c r="A27" s="246" t="s">
        <v>114</v>
      </c>
      <c r="B27" s="247"/>
      <c r="C27" s="247"/>
      <c r="D27" s="247"/>
      <c r="E27" s="248"/>
      <c r="F27" s="11"/>
    </row>
    <row r="28" spans="1:11" s="15" customFormat="1" ht="43.5" customHeight="1" thickBot="1">
      <c r="A28" s="222" t="s">
        <v>115</v>
      </c>
      <c r="B28" s="223"/>
      <c r="C28" s="222" t="s">
        <v>116</v>
      </c>
      <c r="D28" s="224"/>
      <c r="E28" s="223"/>
      <c r="F28" s="37"/>
      <c r="G28" s="225"/>
      <c r="H28" s="225"/>
      <c r="I28" s="225"/>
      <c r="J28" s="225"/>
      <c r="K28" s="225"/>
    </row>
    <row r="29" spans="1:11" ht="17.25" customHeight="1">
      <c r="A29" s="256" t="s">
        <v>149</v>
      </c>
      <c r="B29" s="233"/>
      <c r="C29" s="231">
        <v>0.47589999999999999</v>
      </c>
      <c r="D29" s="232"/>
      <c r="E29" s="233"/>
      <c r="F29" s="127"/>
      <c r="G29" s="229"/>
      <c r="H29" s="229"/>
      <c r="I29" s="229"/>
      <c r="J29" s="229"/>
      <c r="K29" s="229"/>
    </row>
    <row r="30" spans="1:11" ht="17.25" customHeight="1" thickBot="1">
      <c r="A30" s="234"/>
      <c r="B30" s="236"/>
      <c r="C30" s="234"/>
      <c r="D30" s="235"/>
      <c r="E30" s="236"/>
      <c r="F30" s="127"/>
      <c r="G30" s="229"/>
      <c r="H30" s="229"/>
      <c r="I30" s="229"/>
      <c r="J30" s="229"/>
      <c r="K30" s="229"/>
    </row>
    <row r="31" spans="1:11" ht="17.25" customHeight="1" thickBot="1">
      <c r="A31" s="201" t="s">
        <v>150</v>
      </c>
      <c r="B31" s="203"/>
      <c r="C31" s="228">
        <v>0.52410000000000001</v>
      </c>
      <c r="D31" s="202"/>
      <c r="E31" s="203"/>
      <c r="F31" s="127"/>
      <c r="G31" s="229"/>
      <c r="H31" s="229"/>
      <c r="I31" s="229"/>
      <c r="J31" s="229"/>
      <c r="K31" s="229"/>
    </row>
    <row r="32" spans="1:11" ht="17.25" customHeight="1" thickBot="1">
      <c r="G32" s="230"/>
      <c r="H32" s="230"/>
      <c r="I32" s="230"/>
      <c r="J32" s="230"/>
      <c r="K32" s="230"/>
    </row>
    <row r="33" spans="1:15" ht="146.4" customHeight="1" thickBot="1">
      <c r="A33" s="237" t="s">
        <v>155</v>
      </c>
      <c r="B33" s="238"/>
      <c r="C33" s="238"/>
      <c r="D33" s="238"/>
      <c r="E33" s="239"/>
      <c r="F33" s="11"/>
    </row>
    <row r="34" spans="1:15" ht="18" customHeight="1">
      <c r="A34" s="254"/>
      <c r="B34" s="254"/>
      <c r="C34" s="254"/>
      <c r="D34" s="254"/>
      <c r="E34" s="254"/>
      <c r="F34" s="132"/>
      <c r="G34" s="133"/>
    </row>
    <row r="35" spans="1:15" ht="6" customHeight="1">
      <c r="A35" s="38"/>
      <c r="B35" s="10"/>
      <c r="C35" s="10"/>
      <c r="D35" s="10"/>
      <c r="E35" s="10"/>
      <c r="F35" s="10"/>
    </row>
    <row r="36" spans="1:15" ht="13.8" customHeight="1" thickBot="1">
      <c r="A36" s="38"/>
      <c r="B36" s="10"/>
      <c r="C36" s="10"/>
      <c r="D36" s="10"/>
      <c r="E36" s="10"/>
      <c r="F36" s="10"/>
    </row>
    <row r="37" spans="1:15" ht="26.25" customHeight="1" thickBot="1">
      <c r="A37" s="219" t="s">
        <v>118</v>
      </c>
      <c r="B37" s="220"/>
      <c r="C37" s="220"/>
      <c r="D37" s="220"/>
      <c r="E37" s="220"/>
      <c r="F37" s="220"/>
      <c r="G37" s="220"/>
      <c r="H37" s="221"/>
      <c r="I37" s="129"/>
      <c r="J37" s="129"/>
      <c r="K37" s="226" t="s">
        <v>167</v>
      </c>
      <c r="L37" s="227"/>
      <c r="M37" s="226" t="s">
        <v>168</v>
      </c>
      <c r="N37" s="227"/>
    </row>
    <row r="38" spans="1:15" s="17" customFormat="1" ht="77.25" customHeight="1" thickBot="1">
      <c r="A38" s="40" t="s">
        <v>120</v>
      </c>
      <c r="B38" s="41" t="s">
        <v>117</v>
      </c>
      <c r="C38" s="42" t="s">
        <v>121</v>
      </c>
      <c r="D38" s="42" t="s">
        <v>122</v>
      </c>
      <c r="E38" s="43" t="s">
        <v>123</v>
      </c>
      <c r="F38" s="217"/>
      <c r="G38" s="43" t="s">
        <v>124</v>
      </c>
      <c r="H38" s="43" t="s">
        <v>125</v>
      </c>
      <c r="I38" s="43" t="s">
        <v>126</v>
      </c>
      <c r="J38" s="43" t="s">
        <v>127</v>
      </c>
      <c r="K38" s="46" t="s">
        <v>160</v>
      </c>
      <c r="L38" s="146" t="s">
        <v>161</v>
      </c>
      <c r="M38" s="144" t="s">
        <v>170</v>
      </c>
      <c r="N38" s="144" t="s">
        <v>169</v>
      </c>
    </row>
    <row r="39" spans="1:15" ht="14.4" thickBot="1">
      <c r="A39" s="45" t="s">
        <v>129</v>
      </c>
      <c r="B39" s="45" t="s">
        <v>130</v>
      </c>
      <c r="C39" s="120">
        <v>30</v>
      </c>
      <c r="D39" s="109">
        <f>+B13</f>
        <v>18664818</v>
      </c>
      <c r="E39" s="121">
        <v>0.1</v>
      </c>
      <c r="F39" s="218"/>
      <c r="G39" s="108">
        <f>ROUND(D39*E39,0)</f>
        <v>1866482</v>
      </c>
      <c r="H39" s="108">
        <f>ROUND(D39+G39,0)</f>
        <v>20531300</v>
      </c>
      <c r="I39" s="108">
        <f>ROUND(H39*10%*19%,0)</f>
        <v>390095</v>
      </c>
      <c r="J39" s="108">
        <f>ROUND(H39+I39,0)</f>
        <v>20921395</v>
      </c>
      <c r="K39" s="120">
        <v>60</v>
      </c>
      <c r="L39" s="112">
        <f>ROUND(K39*J39,0)*1</f>
        <v>1255283700</v>
      </c>
      <c r="M39" s="134">
        <f>K39*12</f>
        <v>720</v>
      </c>
      <c r="N39" s="141">
        <f>ROUND((L39*12),0)</f>
        <v>15063404400</v>
      </c>
    </row>
    <row r="40" spans="1:15" ht="14.4" thickBot="1">
      <c r="A40" s="45" t="s">
        <v>131</v>
      </c>
      <c r="B40" s="45" t="s">
        <v>130</v>
      </c>
      <c r="C40" s="120">
        <v>30</v>
      </c>
      <c r="D40" s="109">
        <f>+B13</f>
        <v>18664818</v>
      </c>
      <c r="E40" s="122">
        <v>0.08</v>
      </c>
      <c r="F40" s="218"/>
      <c r="G40" s="108">
        <f>ROUND(D40*E40,0)</f>
        <v>1493185</v>
      </c>
      <c r="H40" s="108">
        <f>ROUND(D40+G40,0)</f>
        <v>20158003</v>
      </c>
      <c r="I40" s="138">
        <f>ROUND(H40*10%*19%,0)</f>
        <v>383002</v>
      </c>
      <c r="J40" s="108">
        <f>ROUND(H40+I40,0)</f>
        <v>20541005</v>
      </c>
      <c r="K40" s="120">
        <v>2</v>
      </c>
      <c r="L40" s="112">
        <f>ROUND(K40*J40,0)*1</f>
        <v>41082010</v>
      </c>
      <c r="M40" s="134">
        <f t="shared" ref="M40:M42" si="0">K40*12</f>
        <v>24</v>
      </c>
      <c r="N40" s="141">
        <f t="shared" ref="N40:N42" si="1">ROUND((L40*12),0)</f>
        <v>492984120</v>
      </c>
    </row>
    <row r="41" spans="1:15" ht="28.2" thickBot="1">
      <c r="A41" s="130" t="s">
        <v>156</v>
      </c>
      <c r="B41" s="45" t="s">
        <v>133</v>
      </c>
      <c r="C41" s="134">
        <v>20</v>
      </c>
      <c r="D41" s="136">
        <f>ROUND($D$9*$C$29/30*C41/13*12,0)</f>
        <v>5466207</v>
      </c>
      <c r="E41" s="137">
        <v>0.1</v>
      </c>
      <c r="F41" s="218"/>
      <c r="G41" s="138">
        <f>ROUND(D41*E41,0)</f>
        <v>546621</v>
      </c>
      <c r="H41" s="138">
        <f>ROUND(D41+G41,0)</f>
        <v>6012828</v>
      </c>
      <c r="I41" s="138">
        <f>ROUND(H41*10%*19%,0)</f>
        <v>114244</v>
      </c>
      <c r="J41" s="138">
        <f>ROUND(H41+I41,0)</f>
        <v>6127072</v>
      </c>
      <c r="K41" s="128">
        <v>58</v>
      </c>
      <c r="L41" s="141">
        <f>ROUND(K41*J41,0)*1</f>
        <v>355370176</v>
      </c>
      <c r="M41" s="134">
        <f t="shared" si="0"/>
        <v>696</v>
      </c>
      <c r="N41" s="141">
        <f t="shared" si="1"/>
        <v>4264442112</v>
      </c>
    </row>
    <row r="42" spans="1:15" ht="28.2" thickBot="1">
      <c r="A42" s="130" t="s">
        <v>132</v>
      </c>
      <c r="B42" s="130" t="s">
        <v>133</v>
      </c>
      <c r="C42" s="134">
        <v>20</v>
      </c>
      <c r="D42" s="135">
        <f>ROUND($D$9*$C$29/30*C42/13*12,0)</f>
        <v>5466207</v>
      </c>
      <c r="E42" s="139">
        <v>0.08</v>
      </c>
      <c r="F42" s="218"/>
      <c r="G42" s="135">
        <f>ROUND(D42*E42,0)</f>
        <v>437297</v>
      </c>
      <c r="H42" s="135">
        <f>ROUND(D42+G42,0)</f>
        <v>5903504</v>
      </c>
      <c r="I42" s="135">
        <f>ROUND(H42*10%*19%,0)</f>
        <v>112167</v>
      </c>
      <c r="J42" s="140">
        <f>ROUND(H42+I42,0)</f>
        <v>6015671</v>
      </c>
      <c r="K42" s="134">
        <v>24</v>
      </c>
      <c r="L42" s="142">
        <f>ROUND(K42*J42,0)*1</f>
        <v>144376104</v>
      </c>
      <c r="M42" s="134">
        <f t="shared" si="0"/>
        <v>288</v>
      </c>
      <c r="N42" s="141">
        <f t="shared" si="1"/>
        <v>1732513248</v>
      </c>
    </row>
    <row r="43" spans="1:15" ht="14.4" thickBot="1">
      <c r="G43" s="113"/>
      <c r="H43" s="113"/>
      <c r="I43" s="113"/>
      <c r="J43" s="113"/>
      <c r="K43" s="143">
        <f>SUM(K39:K42)</f>
        <v>144</v>
      </c>
      <c r="L43" s="147">
        <f>ROUND(SUM(L39:L42),0)</f>
        <v>1796111990</v>
      </c>
      <c r="M43" s="149">
        <f>SUM(M39:M42)</f>
        <v>1728</v>
      </c>
      <c r="N43" s="145">
        <f>ROUND(SUM(N39:N42),0)</f>
        <v>21553343880</v>
      </c>
      <c r="O43" s="50"/>
    </row>
    <row r="44" spans="1:15">
      <c r="M44" s="31"/>
      <c r="N44" s="153"/>
      <c r="O44" s="50"/>
    </row>
    <row r="45" spans="1:15">
      <c r="J45" s="47"/>
      <c r="O45" s="50"/>
    </row>
    <row r="46" spans="1:15">
      <c r="N46" s="153"/>
    </row>
    <row r="48" spans="1:15">
      <c r="N48" s="153"/>
    </row>
  </sheetData>
  <mergeCells count="47">
    <mergeCell ref="M37:N37"/>
    <mergeCell ref="A37:H37"/>
    <mergeCell ref="K37:L37"/>
    <mergeCell ref="F38:F42"/>
    <mergeCell ref="A31:B31"/>
    <mergeCell ref="C31:E31"/>
    <mergeCell ref="G31:K31"/>
    <mergeCell ref="G32:K32"/>
    <mergeCell ref="A33:E33"/>
    <mergeCell ref="A34:E34"/>
    <mergeCell ref="A28:B28"/>
    <mergeCell ref="C28:E28"/>
    <mergeCell ref="G28:K28"/>
    <mergeCell ref="A29:B30"/>
    <mergeCell ref="C29:E30"/>
    <mergeCell ref="G29:K30"/>
    <mergeCell ref="A27:E27"/>
    <mergeCell ref="A20:C20"/>
    <mergeCell ref="D20:E20"/>
    <mergeCell ref="A21:C21"/>
    <mergeCell ref="D21:E21"/>
    <mergeCell ref="A22:C22"/>
    <mergeCell ref="D22:E22"/>
    <mergeCell ref="A23:C23"/>
    <mergeCell ref="D23:E23"/>
    <mergeCell ref="A24:C24"/>
    <mergeCell ref="D24:E24"/>
    <mergeCell ref="D25:E25"/>
    <mergeCell ref="A11:E11"/>
    <mergeCell ref="A17:E17"/>
    <mergeCell ref="A18:C18"/>
    <mergeCell ref="D18:E18"/>
    <mergeCell ref="A19:C19"/>
    <mergeCell ref="D19:E19"/>
    <mergeCell ref="A7:C7"/>
    <mergeCell ref="D7:E7"/>
    <mergeCell ref="A8:C8"/>
    <mergeCell ref="D8:E8"/>
    <mergeCell ref="A9:C9"/>
    <mergeCell ref="D9:E9"/>
    <mergeCell ref="A6:C6"/>
    <mergeCell ref="D6:E6"/>
    <mergeCell ref="A1:E1"/>
    <mergeCell ref="B3:E3"/>
    <mergeCell ref="A4:E4"/>
    <mergeCell ref="A5:C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256" scale="65" orientation="landscape" horizontalDpi="300" verticalDpi="300" r:id="rId1"/>
  <ignoredErrors>
    <ignoredError sqref="M39:M43 L43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topLeftCell="C35" zoomScale="90" zoomScaleNormal="90" workbookViewId="0">
      <selection activeCell="M42" sqref="M42"/>
    </sheetView>
  </sheetViews>
  <sheetFormatPr baseColWidth="10" defaultColWidth="11.44140625" defaultRowHeight="13.8"/>
  <cols>
    <col min="1" max="1" width="43.5546875" style="18" customWidth="1"/>
    <col min="2" max="2" width="26.5546875" style="18" customWidth="1"/>
    <col min="3" max="3" width="17.6640625" style="18" customWidth="1"/>
    <col min="4" max="4" width="19" style="18" customWidth="1"/>
    <col min="5" max="5" width="17.33203125" style="18" customWidth="1"/>
    <col min="6" max="6" width="1.88671875" style="18" customWidth="1"/>
    <col min="7" max="7" width="17.44140625" style="18" customWidth="1"/>
    <col min="8" max="8" width="18.44140625" style="18" customWidth="1"/>
    <col min="9" max="9" width="13" style="18" customWidth="1"/>
    <col min="10" max="10" width="14.88671875" style="18" customWidth="1"/>
    <col min="11" max="11" width="14.109375" style="127" customWidth="1"/>
    <col min="12" max="13" width="18.6640625" style="18" customWidth="1"/>
    <col min="14" max="14" width="18.44140625" style="18" customWidth="1"/>
    <col min="15" max="15" width="26.6640625" style="18" customWidth="1"/>
    <col min="16" max="16" width="14.33203125" style="18" bestFit="1" customWidth="1"/>
    <col min="17" max="16384" width="11.44140625" style="18"/>
  </cols>
  <sheetData>
    <row r="1" spans="1:11" ht="37.5" customHeight="1" thickBot="1">
      <c r="A1" s="240" t="s">
        <v>165</v>
      </c>
      <c r="B1" s="241"/>
      <c r="C1" s="241"/>
      <c r="D1" s="241"/>
      <c r="E1" s="242"/>
    </row>
    <row r="2" spans="1:11" ht="29.25" customHeight="1" thickBot="1"/>
    <row r="3" spans="1:11" ht="153.6" customHeight="1" thickBot="1">
      <c r="A3" s="131" t="s">
        <v>154</v>
      </c>
      <c r="B3" s="243" t="s">
        <v>153</v>
      </c>
      <c r="C3" s="244"/>
      <c r="D3" s="244"/>
      <c r="E3" s="245"/>
    </row>
    <row r="4" spans="1:11" ht="60" customHeight="1" thickBot="1">
      <c r="A4" s="246" t="s">
        <v>141</v>
      </c>
      <c r="B4" s="247"/>
      <c r="C4" s="247"/>
      <c r="D4" s="247"/>
      <c r="E4" s="248"/>
      <c r="F4" s="19"/>
    </row>
    <row r="5" spans="1:11" s="15" customFormat="1" ht="63.6" customHeight="1" thickBot="1">
      <c r="A5" s="257" t="s">
        <v>171</v>
      </c>
      <c r="B5" s="250"/>
      <c r="C5" s="251"/>
      <c r="D5" s="252">
        <f>ROUND((1827945*(1+3%)),0)</f>
        <v>1882783</v>
      </c>
      <c r="E5" s="253"/>
      <c r="F5" s="20"/>
      <c r="K5" s="105"/>
    </row>
    <row r="6" spans="1:11" ht="14.4" thickBot="1">
      <c r="A6" s="204" t="s">
        <v>97</v>
      </c>
      <c r="B6" s="205"/>
      <c r="C6" s="206"/>
      <c r="D6" s="199">
        <v>10.210000000000001</v>
      </c>
      <c r="E6" s="200"/>
      <c r="F6" s="21"/>
    </row>
    <row r="7" spans="1:11" ht="14.4" thickBot="1">
      <c r="A7" s="204" t="s">
        <v>98</v>
      </c>
      <c r="B7" s="205"/>
      <c r="C7" s="206"/>
      <c r="D7" s="207">
        <f>ROUND(D5*D6,0)</f>
        <v>19223214</v>
      </c>
      <c r="E7" s="208"/>
      <c r="F7" s="22"/>
    </row>
    <row r="8" spans="1:11" ht="14.4" thickBot="1">
      <c r="A8" s="204" t="s">
        <v>151</v>
      </c>
      <c r="B8" s="205"/>
      <c r="C8" s="206"/>
      <c r="D8" s="215">
        <v>1500</v>
      </c>
      <c r="E8" s="216"/>
      <c r="F8" s="22"/>
    </row>
    <row r="9" spans="1:11" ht="14.4" thickBot="1">
      <c r="A9" s="204" t="s">
        <v>152</v>
      </c>
      <c r="B9" s="205"/>
      <c r="C9" s="206"/>
      <c r="D9" s="207">
        <f>D7+D8</f>
        <v>19224714</v>
      </c>
      <c r="E9" s="208"/>
      <c r="F9" s="22"/>
    </row>
    <row r="10" spans="1:11" ht="14.4" thickBot="1">
      <c r="A10" s="23"/>
      <c r="B10" s="24"/>
      <c r="C10" s="24"/>
      <c r="D10" s="22"/>
      <c r="E10" s="25"/>
      <c r="F10" s="22"/>
    </row>
    <row r="11" spans="1:11" ht="18.600000000000001" thickBot="1">
      <c r="A11" s="209" t="s">
        <v>99</v>
      </c>
      <c r="B11" s="210"/>
      <c r="C11" s="210"/>
      <c r="D11" s="210"/>
      <c r="E11" s="211"/>
      <c r="F11" s="26"/>
    </row>
    <row r="12" spans="1:11" s="16" customFormat="1" ht="24.75" customHeight="1" thickBot="1">
      <c r="A12" s="27" t="s">
        <v>100</v>
      </c>
      <c r="B12" s="28" t="s">
        <v>101</v>
      </c>
      <c r="C12" s="28" t="s">
        <v>102</v>
      </c>
      <c r="D12" s="28" t="s">
        <v>103</v>
      </c>
      <c r="E12" s="28" t="s">
        <v>104</v>
      </c>
      <c r="K12" s="106"/>
    </row>
    <row r="13" spans="1:11" ht="27.6">
      <c r="A13" s="29" t="s">
        <v>105</v>
      </c>
      <c r="B13" s="101">
        <f>D9</f>
        <v>19224714</v>
      </c>
      <c r="C13" s="30">
        <v>0.08</v>
      </c>
      <c r="D13" s="103">
        <f>ROUND(B13*C13,2)</f>
        <v>1537977.12</v>
      </c>
      <c r="E13" s="103">
        <f>ROUND(B13+D13,0)</f>
        <v>20762691</v>
      </c>
      <c r="F13" s="31"/>
    </row>
    <row r="14" spans="1:11" ht="28.2" thickBot="1">
      <c r="A14" s="32" t="s">
        <v>106</v>
      </c>
      <c r="B14" s="102">
        <f>D9</f>
        <v>19224714</v>
      </c>
      <c r="C14" s="33">
        <v>0.1</v>
      </c>
      <c r="D14" s="104">
        <f>ROUND(B14*C14,2)</f>
        <v>1922471.4</v>
      </c>
      <c r="E14" s="104">
        <f>ROUND(B14+D14,0)</f>
        <v>21147185</v>
      </c>
      <c r="F14" s="31"/>
    </row>
    <row r="15" spans="1:11">
      <c r="A15" s="34"/>
      <c r="B15" s="31"/>
      <c r="C15" s="35"/>
      <c r="D15" s="31"/>
      <c r="E15" s="31"/>
      <c r="F15" s="31"/>
    </row>
    <row r="17" spans="1:11" ht="43.5" customHeight="1" thickBot="1">
      <c r="A17" s="212" t="s">
        <v>142</v>
      </c>
      <c r="B17" s="213"/>
      <c r="C17" s="213"/>
      <c r="D17" s="213"/>
      <c r="E17" s="214"/>
      <c r="F17" s="19"/>
    </row>
    <row r="18" spans="1:11" ht="14.4" thickBot="1">
      <c r="A18" s="201" t="s">
        <v>107</v>
      </c>
      <c r="B18" s="202"/>
      <c r="C18" s="203"/>
      <c r="D18" s="201">
        <v>20</v>
      </c>
      <c r="E18" s="203"/>
      <c r="F18" s="127"/>
    </row>
    <row r="19" spans="1:11" ht="14.4" thickBot="1">
      <c r="A19" s="201" t="s">
        <v>108</v>
      </c>
      <c r="B19" s="202"/>
      <c r="C19" s="203"/>
      <c r="D19" s="201">
        <v>22</v>
      </c>
      <c r="E19" s="203"/>
      <c r="F19" s="127"/>
    </row>
    <row r="20" spans="1:11" ht="14.4" thickBot="1">
      <c r="A20" s="201" t="s">
        <v>109</v>
      </c>
      <c r="B20" s="202"/>
      <c r="C20" s="203"/>
      <c r="D20" s="201">
        <v>24</v>
      </c>
      <c r="E20" s="203"/>
      <c r="F20" s="127"/>
    </row>
    <row r="21" spans="1:11" ht="14.4" thickBot="1">
      <c r="A21" s="201" t="s">
        <v>110</v>
      </c>
      <c r="B21" s="202"/>
      <c r="C21" s="203"/>
      <c r="D21" s="201">
        <v>26</v>
      </c>
      <c r="E21" s="203"/>
      <c r="F21" s="127"/>
    </row>
    <row r="22" spans="1:11" ht="14.4" thickBot="1">
      <c r="A22" s="201" t="s">
        <v>111</v>
      </c>
      <c r="B22" s="202"/>
      <c r="C22" s="203"/>
      <c r="D22" s="201">
        <v>2</v>
      </c>
      <c r="E22" s="203"/>
      <c r="F22" s="127"/>
    </row>
    <row r="23" spans="1:11" ht="14.4" thickBot="1">
      <c r="A23" s="201" t="s">
        <v>112</v>
      </c>
      <c r="B23" s="202"/>
      <c r="C23" s="203"/>
      <c r="D23" s="201">
        <v>8</v>
      </c>
      <c r="E23" s="203"/>
      <c r="F23" s="127"/>
    </row>
    <row r="24" spans="1:11" ht="14.4" thickBot="1">
      <c r="A24" s="201" t="s">
        <v>113</v>
      </c>
      <c r="B24" s="202"/>
      <c r="C24" s="203"/>
      <c r="D24" s="201">
        <v>10</v>
      </c>
      <c r="E24" s="203"/>
      <c r="F24" s="127"/>
    </row>
    <row r="25" spans="1:11">
      <c r="A25" s="127"/>
      <c r="B25" s="127"/>
      <c r="C25" s="127"/>
      <c r="D25" s="255"/>
      <c r="E25" s="255"/>
      <c r="F25" s="127"/>
    </row>
    <row r="26" spans="1:11" ht="14.4" thickBot="1"/>
    <row r="27" spans="1:11" ht="53.25" customHeight="1" thickBot="1">
      <c r="A27" s="246" t="s">
        <v>114</v>
      </c>
      <c r="B27" s="247"/>
      <c r="C27" s="247"/>
      <c r="D27" s="247"/>
      <c r="E27" s="248"/>
      <c r="F27" s="11"/>
    </row>
    <row r="28" spans="1:11" s="15" customFormat="1" ht="43.5" customHeight="1" thickBot="1">
      <c r="A28" s="222" t="s">
        <v>115</v>
      </c>
      <c r="B28" s="223"/>
      <c r="C28" s="222" t="s">
        <v>116</v>
      </c>
      <c r="D28" s="224"/>
      <c r="E28" s="223"/>
      <c r="F28" s="37"/>
      <c r="G28" s="225"/>
      <c r="H28" s="225"/>
      <c r="I28" s="225"/>
      <c r="J28" s="225"/>
      <c r="K28" s="225"/>
    </row>
    <row r="29" spans="1:11" ht="17.25" customHeight="1">
      <c r="A29" s="256" t="s">
        <v>149</v>
      </c>
      <c r="B29" s="233"/>
      <c r="C29" s="231">
        <v>0.47589999999999999</v>
      </c>
      <c r="D29" s="232"/>
      <c r="E29" s="233"/>
      <c r="F29" s="127"/>
      <c r="G29" s="229"/>
      <c r="H29" s="229"/>
      <c r="I29" s="229"/>
      <c r="J29" s="229"/>
      <c r="K29" s="229"/>
    </row>
    <row r="30" spans="1:11" ht="17.25" customHeight="1" thickBot="1">
      <c r="A30" s="234"/>
      <c r="B30" s="236"/>
      <c r="C30" s="234"/>
      <c r="D30" s="235"/>
      <c r="E30" s="236"/>
      <c r="F30" s="127"/>
      <c r="G30" s="229"/>
      <c r="H30" s="229"/>
      <c r="I30" s="229"/>
      <c r="J30" s="229"/>
      <c r="K30" s="229"/>
    </row>
    <row r="31" spans="1:11" ht="17.25" customHeight="1" thickBot="1">
      <c r="A31" s="201" t="s">
        <v>150</v>
      </c>
      <c r="B31" s="203"/>
      <c r="C31" s="228">
        <v>0.52410000000000001</v>
      </c>
      <c r="D31" s="202"/>
      <c r="E31" s="203"/>
      <c r="F31" s="127"/>
      <c r="G31" s="229"/>
      <c r="H31" s="229"/>
      <c r="I31" s="229"/>
      <c r="J31" s="229"/>
      <c r="K31" s="229"/>
    </row>
    <row r="32" spans="1:11" ht="17.25" customHeight="1" thickBot="1">
      <c r="G32" s="230"/>
      <c r="H32" s="230"/>
      <c r="I32" s="230"/>
      <c r="J32" s="230"/>
      <c r="K32" s="230"/>
    </row>
    <row r="33" spans="1:15" ht="146.4" customHeight="1" thickBot="1">
      <c r="A33" s="237" t="s">
        <v>155</v>
      </c>
      <c r="B33" s="238"/>
      <c r="C33" s="238"/>
      <c r="D33" s="238"/>
      <c r="E33" s="239"/>
      <c r="F33" s="11"/>
    </row>
    <row r="34" spans="1:15" ht="18" customHeight="1">
      <c r="A34" s="254"/>
      <c r="B34" s="254"/>
      <c r="C34" s="254"/>
      <c r="D34" s="254"/>
      <c r="E34" s="254"/>
      <c r="F34" s="132"/>
      <c r="G34" s="133"/>
    </row>
    <row r="35" spans="1:15" ht="6" customHeight="1">
      <c r="A35" s="38"/>
      <c r="B35" s="10"/>
      <c r="C35" s="10"/>
      <c r="D35" s="10"/>
      <c r="E35" s="10"/>
      <c r="F35" s="10"/>
    </row>
    <row r="36" spans="1:15" ht="13.8" customHeight="1" thickBot="1">
      <c r="A36" s="38"/>
      <c r="B36" s="10"/>
      <c r="C36" s="10"/>
      <c r="D36" s="10"/>
      <c r="E36" s="10"/>
      <c r="F36" s="10"/>
    </row>
    <row r="37" spans="1:15" ht="26.25" customHeight="1" thickBot="1">
      <c r="A37" s="219" t="s">
        <v>163</v>
      </c>
      <c r="B37" s="220"/>
      <c r="C37" s="220"/>
      <c r="D37" s="220"/>
      <c r="E37" s="220"/>
      <c r="F37" s="220"/>
      <c r="G37" s="220"/>
      <c r="H37" s="221"/>
      <c r="I37" s="129"/>
      <c r="J37" s="129"/>
      <c r="K37" s="226" t="s">
        <v>172</v>
      </c>
      <c r="L37" s="227"/>
      <c r="M37" s="226" t="s">
        <v>173</v>
      </c>
      <c r="N37" s="227"/>
    </row>
    <row r="38" spans="1:15" s="17" customFormat="1" ht="77.25" customHeight="1" thickBot="1">
      <c r="A38" s="40" t="s">
        <v>120</v>
      </c>
      <c r="B38" s="41" t="s">
        <v>117</v>
      </c>
      <c r="C38" s="42" t="s">
        <v>121</v>
      </c>
      <c r="D38" s="42" t="s">
        <v>122</v>
      </c>
      <c r="E38" s="43" t="s">
        <v>123</v>
      </c>
      <c r="F38" s="217"/>
      <c r="G38" s="43" t="s">
        <v>124</v>
      </c>
      <c r="H38" s="43" t="s">
        <v>125</v>
      </c>
      <c r="I38" s="43" t="s">
        <v>126</v>
      </c>
      <c r="J38" s="43" t="s">
        <v>127</v>
      </c>
      <c r="K38" s="46" t="s">
        <v>160</v>
      </c>
      <c r="L38" s="146" t="s">
        <v>162</v>
      </c>
      <c r="M38" s="144" t="s">
        <v>178</v>
      </c>
      <c r="N38" s="144" t="s">
        <v>177</v>
      </c>
    </row>
    <row r="39" spans="1:15" ht="14.4" thickBot="1">
      <c r="A39" s="45" t="s">
        <v>129</v>
      </c>
      <c r="B39" s="45" t="s">
        <v>130</v>
      </c>
      <c r="C39" s="120">
        <v>30</v>
      </c>
      <c r="D39" s="109">
        <f>+B13</f>
        <v>19224714</v>
      </c>
      <c r="E39" s="121">
        <v>0.1</v>
      </c>
      <c r="F39" s="218"/>
      <c r="G39" s="108">
        <f>ROUND(D39*E39,0)</f>
        <v>1922471</v>
      </c>
      <c r="H39" s="108">
        <f>ROUND(D39+G39,0)</f>
        <v>21147185</v>
      </c>
      <c r="I39" s="108">
        <f>ROUND(H39*10%*19%,0)</f>
        <v>401797</v>
      </c>
      <c r="J39" s="108">
        <f>ROUND(H39+I39,0)</f>
        <v>21548982</v>
      </c>
      <c r="K39" s="120">
        <v>60</v>
      </c>
      <c r="L39" s="112">
        <f>ROUND(K39*J39,0)*1</f>
        <v>1292938920</v>
      </c>
      <c r="M39" s="134">
        <f>K39*11</f>
        <v>660</v>
      </c>
      <c r="N39" s="150">
        <f>ROUND((L39*11),0)</f>
        <v>14222328120</v>
      </c>
    </row>
    <row r="40" spans="1:15" ht="14.4" thickBot="1">
      <c r="A40" s="45" t="s">
        <v>131</v>
      </c>
      <c r="B40" s="45" t="s">
        <v>130</v>
      </c>
      <c r="C40" s="120">
        <v>30</v>
      </c>
      <c r="D40" s="109">
        <f>+B13</f>
        <v>19224714</v>
      </c>
      <c r="E40" s="122">
        <v>0.08</v>
      </c>
      <c r="F40" s="218"/>
      <c r="G40" s="108">
        <f>ROUND(D40*E40,0)</f>
        <v>1537977</v>
      </c>
      <c r="H40" s="108">
        <f>ROUND(D40+G40,0)</f>
        <v>20762691</v>
      </c>
      <c r="I40" s="138">
        <f>ROUND(H40*10%*19%,0)</f>
        <v>394491</v>
      </c>
      <c r="J40" s="108">
        <f>ROUND(H40+I40,0)</f>
        <v>21157182</v>
      </c>
      <c r="K40" s="120">
        <v>2</v>
      </c>
      <c r="L40" s="112">
        <f>ROUND(K40*J40,0)*1</f>
        <v>42314364</v>
      </c>
      <c r="M40" s="134">
        <f t="shared" ref="M40:M42" si="0">K40*11</f>
        <v>22</v>
      </c>
      <c r="N40" s="150">
        <f t="shared" ref="N40:N42" si="1">ROUND((L40*11),0)</f>
        <v>465458004</v>
      </c>
    </row>
    <row r="41" spans="1:15" ht="28.2" thickBot="1">
      <c r="A41" s="130" t="s">
        <v>156</v>
      </c>
      <c r="B41" s="45" t="s">
        <v>133</v>
      </c>
      <c r="C41" s="134">
        <v>20</v>
      </c>
      <c r="D41" s="136">
        <f>ROUND($D$9*$C$29/30*C41/13*12,0)</f>
        <v>5630179</v>
      </c>
      <c r="E41" s="137">
        <v>0.1</v>
      </c>
      <c r="F41" s="218"/>
      <c r="G41" s="138">
        <f>ROUND(D41*E41,0)</f>
        <v>563018</v>
      </c>
      <c r="H41" s="138">
        <f>ROUND(D41+G41,0)</f>
        <v>6193197</v>
      </c>
      <c r="I41" s="138">
        <f>ROUND(H41*10%*19%,0)</f>
        <v>117671</v>
      </c>
      <c r="J41" s="138">
        <f>ROUND(H41+I41,0)</f>
        <v>6310868</v>
      </c>
      <c r="K41" s="128">
        <v>58</v>
      </c>
      <c r="L41" s="141">
        <f>ROUND(K41*J41,0)*1</f>
        <v>366030344</v>
      </c>
      <c r="M41" s="134">
        <f t="shared" si="0"/>
        <v>638</v>
      </c>
      <c r="N41" s="150">
        <f t="shared" si="1"/>
        <v>4026333784</v>
      </c>
    </row>
    <row r="42" spans="1:15" ht="28.2" thickBot="1">
      <c r="A42" s="130" t="s">
        <v>132</v>
      </c>
      <c r="B42" s="130" t="s">
        <v>133</v>
      </c>
      <c r="C42" s="134">
        <v>20</v>
      </c>
      <c r="D42" s="135">
        <f>ROUND($D$9*$C$29/30*C42/13*12,0)</f>
        <v>5630179</v>
      </c>
      <c r="E42" s="139">
        <v>0.08</v>
      </c>
      <c r="F42" s="218"/>
      <c r="G42" s="135">
        <f>ROUND(D42*E42,0)</f>
        <v>450414</v>
      </c>
      <c r="H42" s="135">
        <f>ROUND(D42+G42,0)</f>
        <v>6080593</v>
      </c>
      <c r="I42" s="135">
        <f>ROUND(H42*10%*19%,0)</f>
        <v>115531</v>
      </c>
      <c r="J42" s="140">
        <f>ROUND(H42+I42,0)</f>
        <v>6196124</v>
      </c>
      <c r="K42" s="134">
        <v>24</v>
      </c>
      <c r="L42" s="142">
        <f>ROUND(K42*J42,0)*1</f>
        <v>148706976</v>
      </c>
      <c r="M42" s="134">
        <f t="shared" si="0"/>
        <v>264</v>
      </c>
      <c r="N42" s="150">
        <f t="shared" si="1"/>
        <v>1635776736</v>
      </c>
    </row>
    <row r="43" spans="1:15" ht="14.4" thickBot="1">
      <c r="G43" s="113"/>
      <c r="H43" s="113"/>
      <c r="I43" s="113"/>
      <c r="J43" s="113"/>
      <c r="K43" s="143">
        <f>SUM(K39:K42)</f>
        <v>144</v>
      </c>
      <c r="L43" s="147">
        <f>ROUND(SUM(L39:L42),0)</f>
        <v>1849990604</v>
      </c>
      <c r="M43" s="149">
        <f>SUM(M39:M42)</f>
        <v>1584</v>
      </c>
      <c r="N43" s="145">
        <f>ROUND(SUM(N39:N42),0)</f>
        <v>20349896644</v>
      </c>
      <c r="O43" s="50"/>
    </row>
    <row r="44" spans="1:15">
      <c r="M44" s="31"/>
      <c r="N44" s="153"/>
      <c r="O44" s="50"/>
    </row>
    <row r="45" spans="1:15">
      <c r="N45" s="113"/>
      <c r="O45" s="50"/>
    </row>
    <row r="46" spans="1:15">
      <c r="N46" s="153"/>
    </row>
    <row r="50" spans="14:14">
      <c r="N50" s="49"/>
    </row>
  </sheetData>
  <mergeCells count="47">
    <mergeCell ref="M37:N37"/>
    <mergeCell ref="A37:H37"/>
    <mergeCell ref="K37:L37"/>
    <mergeCell ref="F38:F42"/>
    <mergeCell ref="A31:B31"/>
    <mergeCell ref="C31:E31"/>
    <mergeCell ref="G31:K31"/>
    <mergeCell ref="G32:K32"/>
    <mergeCell ref="A33:E33"/>
    <mergeCell ref="A34:E34"/>
    <mergeCell ref="A28:B28"/>
    <mergeCell ref="C28:E28"/>
    <mergeCell ref="G28:K28"/>
    <mergeCell ref="A29:B30"/>
    <mergeCell ref="C29:E30"/>
    <mergeCell ref="G29:K30"/>
    <mergeCell ref="A27:E27"/>
    <mergeCell ref="A20:C20"/>
    <mergeCell ref="D20:E20"/>
    <mergeCell ref="A21:C21"/>
    <mergeCell ref="D21:E21"/>
    <mergeCell ref="A22:C22"/>
    <mergeCell ref="D22:E22"/>
    <mergeCell ref="A23:C23"/>
    <mergeCell ref="D23:E23"/>
    <mergeCell ref="A24:C24"/>
    <mergeCell ref="D24:E24"/>
    <mergeCell ref="D25:E25"/>
    <mergeCell ref="A11:E11"/>
    <mergeCell ref="A17:E17"/>
    <mergeCell ref="A18:C18"/>
    <mergeCell ref="D18:E18"/>
    <mergeCell ref="A19:C19"/>
    <mergeCell ref="D19:E19"/>
    <mergeCell ref="A7:C7"/>
    <mergeCell ref="D7:E7"/>
    <mergeCell ref="A8:C8"/>
    <mergeCell ref="D8:E8"/>
    <mergeCell ref="A9:C9"/>
    <mergeCell ref="D9:E9"/>
    <mergeCell ref="A6:C6"/>
    <mergeCell ref="D6:E6"/>
    <mergeCell ref="A1:E1"/>
    <mergeCell ref="B3:E3"/>
    <mergeCell ref="A4:E4"/>
    <mergeCell ref="A5:C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256" scale="65" orientation="landscape" horizontalDpi="300" verticalDpi="300" r:id="rId1"/>
  <ignoredErrors>
    <ignoredError sqref="L43:M43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2"/>
  <sheetViews>
    <sheetView showGridLines="0" zoomScale="90" zoomScaleNormal="90" workbookViewId="0">
      <selection activeCell="I10" sqref="I10"/>
    </sheetView>
  </sheetViews>
  <sheetFormatPr baseColWidth="10" defaultColWidth="11" defaultRowHeight="14.4"/>
  <cols>
    <col min="1" max="1" width="22.88671875" customWidth="1"/>
    <col min="2" max="2" width="27.109375" customWidth="1"/>
    <col min="3" max="3" width="17.6640625" customWidth="1"/>
    <col min="4" max="5" width="19.33203125" customWidth="1"/>
    <col min="6" max="6" width="19.44140625" customWidth="1"/>
    <col min="8" max="8" width="21.5546875" customWidth="1"/>
    <col min="9" max="9" width="23.5546875" customWidth="1"/>
  </cols>
  <sheetData>
    <row r="1" spans="1:11" ht="26.25" customHeight="1" thickBot="1">
      <c r="A1" s="258" t="s">
        <v>174</v>
      </c>
      <c r="B1" s="259"/>
      <c r="C1" s="259"/>
      <c r="D1" s="259"/>
      <c r="E1" s="259"/>
      <c r="F1" s="260"/>
      <c r="G1" s="1"/>
      <c r="H1" s="1"/>
      <c r="I1" s="1"/>
      <c r="J1" s="1"/>
      <c r="K1" s="1"/>
    </row>
    <row r="2" spans="1:11" ht="120" customHeight="1" thickBot="1">
      <c r="A2" s="152" t="s">
        <v>176</v>
      </c>
      <c r="B2" s="261" t="s">
        <v>153</v>
      </c>
      <c r="C2" s="261"/>
      <c r="D2" s="261"/>
      <c r="E2" s="261"/>
      <c r="F2" s="262"/>
      <c r="G2" s="2"/>
      <c r="H2" s="2"/>
      <c r="I2" s="2"/>
      <c r="J2" s="2"/>
      <c r="K2" s="2"/>
    </row>
    <row r="3" spans="1:11" ht="15" thickBot="1"/>
    <row r="4" spans="1:11" ht="15" customHeight="1">
      <c r="A4" s="266" t="s">
        <v>179</v>
      </c>
      <c r="B4" s="270" t="s">
        <v>134</v>
      </c>
      <c r="C4" s="270" t="s">
        <v>145</v>
      </c>
      <c r="D4" s="270" t="s">
        <v>146</v>
      </c>
      <c r="E4" s="270" t="s">
        <v>147</v>
      </c>
      <c r="F4" s="274" t="s">
        <v>148</v>
      </c>
    </row>
    <row r="5" spans="1:11" ht="45.75" customHeight="1">
      <c r="A5" s="267"/>
      <c r="B5" s="271"/>
      <c r="C5" s="271"/>
      <c r="D5" s="271" t="s">
        <v>135</v>
      </c>
      <c r="E5" s="271" t="s">
        <v>135</v>
      </c>
      <c r="F5" s="275"/>
    </row>
    <row r="6" spans="1:11" ht="22.5" customHeight="1">
      <c r="A6" s="267"/>
      <c r="B6" s="3" t="s">
        <v>136</v>
      </c>
      <c r="C6" s="115">
        <f>'Presupuesto 2026 (1-31 dic)'!L43</f>
        <v>1720419682</v>
      </c>
      <c r="D6" s="115">
        <f>'Presupuesto 2027 (12 meses)'!N43</f>
        <v>21553343880</v>
      </c>
      <c r="E6" s="115">
        <f>'Presupuesto 2028 (11 meses)'!N43</f>
        <v>20349896644</v>
      </c>
      <c r="F6" s="116">
        <f>+C6+D6+E6</f>
        <v>43623660206</v>
      </c>
      <c r="H6" s="5"/>
      <c r="I6" s="110"/>
    </row>
    <row r="7" spans="1:11" ht="27.75" customHeight="1">
      <c r="A7" s="268"/>
      <c r="B7" s="4" t="s">
        <v>137</v>
      </c>
      <c r="C7" s="117">
        <f>SUM(C6:C6)</f>
        <v>1720419682</v>
      </c>
      <c r="D7" s="117">
        <f>SUM(D6:D6)</f>
        <v>21553343880</v>
      </c>
      <c r="E7" s="117">
        <f>SUM(E6:E6)</f>
        <v>20349896644</v>
      </c>
      <c r="F7" s="118">
        <f t="shared" ref="F7" si="0">+C7+D7+E7</f>
        <v>43623660206</v>
      </c>
    </row>
    <row r="8" spans="1:11" ht="24" customHeight="1">
      <c r="A8" s="269" t="s">
        <v>180</v>
      </c>
      <c r="B8" s="271" t="s">
        <v>134</v>
      </c>
      <c r="C8" s="272" t="s">
        <v>145</v>
      </c>
      <c r="D8" s="272" t="s">
        <v>146</v>
      </c>
      <c r="E8" s="272" t="s">
        <v>147</v>
      </c>
      <c r="F8" s="276" t="s">
        <v>148</v>
      </c>
    </row>
    <row r="9" spans="1:11" ht="19.8" customHeight="1">
      <c r="A9" s="267"/>
      <c r="B9" s="271"/>
      <c r="C9" s="273"/>
      <c r="D9" s="273" t="s">
        <v>135</v>
      </c>
      <c r="E9" s="273" t="s">
        <v>135</v>
      </c>
      <c r="F9" s="276"/>
    </row>
    <row r="10" spans="1:11" ht="25.5" customHeight="1">
      <c r="A10" s="267"/>
      <c r="B10" s="3" t="s">
        <v>138</v>
      </c>
      <c r="C10" s="115">
        <f>'Presupuesto 2026 (1-31 dic)'!L48</f>
        <v>160317752</v>
      </c>
      <c r="D10" s="115">
        <v>0</v>
      </c>
      <c r="E10" s="115">
        <v>0</v>
      </c>
      <c r="F10" s="116">
        <f>+C10+D10+E10</f>
        <v>160317752</v>
      </c>
    </row>
    <row r="11" spans="1:11" ht="22.5" customHeight="1">
      <c r="A11" s="268"/>
      <c r="B11" s="4" t="s">
        <v>139</v>
      </c>
      <c r="C11" s="117">
        <f>C10</f>
        <v>160317752</v>
      </c>
      <c r="D11" s="117">
        <f>D10</f>
        <v>0</v>
      </c>
      <c r="E11" s="117">
        <f>E10</f>
        <v>0</v>
      </c>
      <c r="F11" s="118">
        <f>F10</f>
        <v>160317752</v>
      </c>
    </row>
    <row r="12" spans="1:11" ht="37.5" customHeight="1" thickBot="1">
      <c r="A12" s="263" t="s">
        <v>175</v>
      </c>
      <c r="B12" s="264"/>
      <c r="C12" s="264"/>
      <c r="D12" s="264"/>
      <c r="E12" s="265"/>
      <c r="F12" s="151">
        <f>+F11+F7</f>
        <v>43783977958</v>
      </c>
      <c r="H12" s="111"/>
      <c r="I12" s="111"/>
    </row>
    <row r="13" spans="1:11">
      <c r="H13" s="125"/>
      <c r="I13" s="111"/>
    </row>
    <row r="16" spans="1:11" s="18" customFormat="1" ht="13.8">
      <c r="K16" s="36"/>
    </row>
    <row r="17" spans="1:66" s="18" customFormat="1" ht="13.8">
      <c r="K17" s="36"/>
    </row>
    <row r="18" spans="1:66" s="18" customFormat="1" ht="13.8">
      <c r="K18" s="36"/>
    </row>
    <row r="19" spans="1:66" s="18" customFormat="1" ht="13.8">
      <c r="K19" s="36"/>
    </row>
    <row r="20" spans="1:66" s="18" customFormat="1" ht="13.8">
      <c r="K20" s="36"/>
    </row>
    <row r="21" spans="1:66" s="18" customFormat="1" ht="13.8">
      <c r="K21" s="49"/>
    </row>
    <row r="22" spans="1:66" ht="15.6">
      <c r="A22" s="12"/>
      <c r="B22" s="7"/>
      <c r="C22" s="7"/>
      <c r="D22" s="13"/>
      <c r="E22" s="14"/>
      <c r="F22" s="14"/>
      <c r="G22" s="14"/>
      <c r="H22" s="9"/>
      <c r="I22" s="9"/>
      <c r="J22" s="14"/>
      <c r="K22" s="14"/>
      <c r="L22" s="9"/>
      <c r="M22" s="14"/>
      <c r="N22" s="14"/>
      <c r="O22" s="14"/>
      <c r="P22" s="14"/>
      <c r="Q22" s="14"/>
      <c r="R22" s="14"/>
      <c r="S22" s="14"/>
      <c r="T22" s="8"/>
      <c r="U22" s="9"/>
      <c r="V22" s="14"/>
      <c r="W22" s="14"/>
      <c r="X22" s="9"/>
      <c r="Y22" s="14"/>
      <c r="Z22" s="14"/>
      <c r="AA22" s="14"/>
      <c r="AB22" s="9"/>
      <c r="AC22" s="14"/>
      <c r="AD22" s="14"/>
      <c r="AE22" s="14"/>
      <c r="AF22" s="6"/>
      <c r="AG22" s="9"/>
      <c r="AH22" s="14"/>
      <c r="AI22" s="14"/>
      <c r="AJ22" s="9"/>
      <c r="AK22" s="14"/>
      <c r="AL22" s="14"/>
      <c r="AM22" s="14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14"/>
      <c r="BE22" s="14"/>
      <c r="BF22" s="14"/>
      <c r="BG22" s="9"/>
      <c r="BH22" s="9"/>
      <c r="BI22" s="14"/>
      <c r="BJ22" s="14"/>
      <c r="BK22" s="9"/>
      <c r="BL22" s="14"/>
      <c r="BM22" s="14"/>
      <c r="BN22" s="14"/>
    </row>
  </sheetData>
  <mergeCells count="15">
    <mergeCell ref="A1:F1"/>
    <mergeCell ref="B2:F2"/>
    <mergeCell ref="A12:E12"/>
    <mergeCell ref="A4:A7"/>
    <mergeCell ref="A8:A11"/>
    <mergeCell ref="B4:B5"/>
    <mergeCell ref="B8:B9"/>
    <mergeCell ref="C4:C5"/>
    <mergeCell ref="C8:C9"/>
    <mergeCell ref="D4:D5"/>
    <mergeCell ref="D8:D9"/>
    <mergeCell ref="E4:E5"/>
    <mergeCell ref="E8:E9"/>
    <mergeCell ref="F4:F5"/>
    <mergeCell ref="F8:F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Solicitud cotizaciones</vt:lpstr>
      <vt:lpstr>GENERAL</vt:lpstr>
      <vt:lpstr>Anexo 1</vt:lpstr>
      <vt:lpstr>Anexo 2</vt:lpstr>
      <vt:lpstr>Presupuesto 2026 (1-31 dic)</vt:lpstr>
      <vt:lpstr>Presupuesto 2027 (12 meses)</vt:lpstr>
      <vt:lpstr>Presupuesto 2028 (11 meses)</vt:lpstr>
      <vt:lpstr>Presupuesto 3 Vigencias</vt:lpstr>
      <vt:lpstr>'Presupuesto 3 Vigencias'!Área_de_impresión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MI PC</cp:lastModifiedBy>
  <cp:lastPrinted>2026-10-01T16:38:20Z</cp:lastPrinted>
  <dcterms:created xsi:type="dcterms:W3CDTF">2017-01-13T15:55:00Z</dcterms:created>
  <dcterms:modified xsi:type="dcterms:W3CDTF">2026-10-13T22:25:21Z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0879C51D332F4ABC9DAF6792B29C1AE5_13</vt:lpwstr>
  </property>
  <property fmtid="{D5CDD505-2E9C-101B-9397-08002B2CF9AE}" pid="3" name="KSOProductBuildVer">
    <vt:lpwstr>1033-12.2.0.17119</vt:lpwstr>
  </property>
</Properties>
</file>